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filterPrivacy="1"/>
  <xr:revisionPtr revIDLastSave="0" documentId="13_ncr:1_{72B47E46-CB14-4781-B3FF-450FD45BE9C8}" xr6:coauthVersionLast="46" xr6:coauthVersionMax="46" xr10:uidLastSave="{00000000-0000-0000-0000-000000000000}"/>
  <bookViews>
    <workbookView xWindow="-120" yWindow="-120" windowWidth="19440" windowHeight="14040" activeTab="4" xr2:uid="{00000000-000D-0000-FFFF-FFFF00000000}"/>
  </bookViews>
  <sheets>
    <sheet name="Colour code" sheetId="6" r:id="rId1"/>
    <sheet name="Animal" sheetId="2" r:id="rId2"/>
    <sheet name="Standard data" sheetId="5" r:id="rId3"/>
    <sheet name="Feeds" sheetId="3" r:id="rId4"/>
    <sheet name="Manure" sheetId="4" r:id="rId5"/>
    <sheet name="Results" sheetId="7" r:id="rId6"/>
  </sheets>
  <externalReferences>
    <externalReference r:id="rId7"/>
  </externalReferences>
  <definedNames>
    <definedName name="complexfeedcows">'Standard data'!$C$140:$C$154</definedName>
    <definedName name="complexfeedpigs">'Standard data'!$C$165:$C$176</definedName>
    <definedName name="complexfeedpoultry">'Standard data'!$C$187:$C$190</definedName>
    <definedName name="complexfeedrum">'Standard data'!$C$207:$C$208</definedName>
    <definedName name="Forage">'Standard data'!$C$80:$C$98</definedName>
    <definedName name="mixedfeed">'Standard data'!#REF!</definedName>
    <definedName name="MMSdairy">'Standard data'!$B$334:$B$350</definedName>
    <definedName name="MMSgoat">'Standard data'!$F$334:$F$349</definedName>
    <definedName name="MMShens">'Standard data'!$J$334:$J$341</definedName>
    <definedName name="MMSmeatcattle">'Standard data'!$C$334:$C$350</definedName>
    <definedName name="MMSmeatsheep">'Standard data'!$E$334:$E$349</definedName>
    <definedName name="MMSmilksheep">'Standard data'!$D$334:$D$349</definedName>
    <definedName name="MMSpig">'Standard data'!$H$334:$H$351</definedName>
    <definedName name="MMSpoultry">'Standard data'!$I$334:$I$341</definedName>
    <definedName name="MMSrum">'Standard data'!$G$334:$G$342</definedName>
    <definedName name="simplefeedstuff">'Standard data'!$C$110:$C$127</definedName>
    <definedName name="Z_5E82D4E2_24FB_11D3_8B67_97723CDA1A47_.wvu.PrintArea" localSheetId="1" hidden="1">Animal!$B$1:$H$55</definedName>
    <definedName name="Z_5E82D4E2_24FB_11D3_8B67_97723CDA1A47_.wvu.PrintArea" localSheetId="3" hidden="1">Feeds!$B$1:$H$283</definedName>
    <definedName name="Z_5E82D4E2_24FB_11D3_8B67_97723CDA1A47_.wvu.PrintArea" localSheetId="4" hidden="1">Manure!$B$1:$H$38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6" i="4" l="1"/>
  <c r="S15" i="4"/>
  <c r="S14" i="4"/>
  <c r="S13" i="4"/>
  <c r="S12" i="4"/>
  <c r="S11" i="4"/>
  <c r="S10" i="4"/>
  <c r="U10" i="4"/>
  <c r="O21" i="2"/>
  <c r="O23" i="2"/>
  <c r="C45" i="2"/>
  <c r="G50" i="2"/>
  <c r="F18" i="2"/>
  <c r="F17" i="2"/>
  <c r="F16" i="2"/>
  <c r="F15" i="2"/>
  <c r="F13" i="2"/>
  <c r="AB10" i="4"/>
  <c r="AP10" i="4"/>
  <c r="B413" i="5"/>
  <c r="I45" i="2" l="1"/>
  <c r="M55" i="3"/>
  <c r="M215" i="3"/>
  <c r="D234" i="3"/>
  <c r="D274" i="3"/>
  <c r="D194" i="3"/>
  <c r="D114" i="3"/>
  <c r="D37" i="3"/>
  <c r="G31" i="2"/>
  <c r="H31" i="2"/>
  <c r="H32" i="2"/>
  <c r="F38" i="2"/>
  <c r="F37" i="2"/>
  <c r="F36" i="2"/>
  <c r="F32" i="2"/>
  <c r="F31" i="2"/>
  <c r="F26" i="2"/>
  <c r="F24" i="2"/>
  <c r="F23" i="2"/>
  <c r="F21" i="2"/>
  <c r="F20" i="2"/>
  <c r="F12" i="2"/>
  <c r="F10" i="2"/>
  <c r="F9" i="2"/>
  <c r="F8" i="2"/>
  <c r="F7" i="2"/>
  <c r="F6" i="2"/>
  <c r="C38" i="5"/>
  <c r="F11" i="2" l="1"/>
  <c r="M54" i="3" l="1"/>
  <c r="M53" i="3"/>
  <c r="D23" i="3"/>
  <c r="H112" i="3"/>
  <c r="H104" i="3"/>
  <c r="H96" i="3"/>
  <c r="H84" i="3"/>
  <c r="L96" i="3" s="1"/>
  <c r="I84" i="3"/>
  <c r="E86" i="3"/>
  <c r="M86" i="3" s="1"/>
  <c r="H86" i="3"/>
  <c r="J86" i="3" s="1"/>
  <c r="E87" i="3"/>
  <c r="M87" i="3" s="1"/>
  <c r="H87" i="3"/>
  <c r="I87" i="3" s="1"/>
  <c r="E88" i="3"/>
  <c r="M88" i="3" s="1"/>
  <c r="H88" i="3"/>
  <c r="J88" i="3" s="1"/>
  <c r="L88" i="3"/>
  <c r="E89" i="3"/>
  <c r="M89" i="3" s="1"/>
  <c r="H89" i="3"/>
  <c r="N89" i="3" s="1"/>
  <c r="L89" i="3"/>
  <c r="E90" i="3"/>
  <c r="M90" i="3" s="1"/>
  <c r="H90" i="3"/>
  <c r="L90" i="3" s="1"/>
  <c r="E91" i="3"/>
  <c r="M91" i="3" s="1"/>
  <c r="H91" i="3"/>
  <c r="N91" i="3" s="1"/>
  <c r="E92" i="3"/>
  <c r="M92" i="3" s="1"/>
  <c r="H92" i="3"/>
  <c r="N92" i="3" s="1"/>
  <c r="J92" i="3"/>
  <c r="H93" i="3"/>
  <c r="N93" i="3"/>
  <c r="N95" i="3" s="1"/>
  <c r="M95" i="3"/>
  <c r="I96" i="3"/>
  <c r="L93" i="3" s="1"/>
  <c r="H98" i="3"/>
  <c r="I98" i="3" s="1"/>
  <c r="H99" i="3"/>
  <c r="I99" i="3" s="1"/>
  <c r="H100" i="3"/>
  <c r="I100" i="3" s="1"/>
  <c r="H101" i="3"/>
  <c r="I101" i="3" s="1"/>
  <c r="H102" i="3"/>
  <c r="J102" i="3" s="1"/>
  <c r="C102" i="3"/>
  <c r="D102" i="3"/>
  <c r="I104" i="3"/>
  <c r="L94" i="3" s="1"/>
  <c r="H106" i="3"/>
  <c r="J106" i="3" s="1"/>
  <c r="H107" i="3"/>
  <c r="I107" i="3" s="1"/>
  <c r="H108" i="3"/>
  <c r="I108" i="3" s="1"/>
  <c r="H109" i="3"/>
  <c r="I109" i="3" s="1"/>
  <c r="H110" i="3"/>
  <c r="I110" i="3" s="1"/>
  <c r="D109" i="3"/>
  <c r="M94" i="3" s="1"/>
  <c r="I112" i="3"/>
  <c r="L95" i="3" s="1"/>
  <c r="H114" i="3"/>
  <c r="H115" i="3"/>
  <c r="H116" i="3"/>
  <c r="H119" i="3"/>
  <c r="J119" i="3" s="1"/>
  <c r="G270" i="3"/>
  <c r="G269" i="3"/>
  <c r="G268" i="3"/>
  <c r="G267" i="3"/>
  <c r="G266" i="3"/>
  <c r="N255" i="3"/>
  <c r="N253" i="3"/>
  <c r="G227" i="3"/>
  <c r="G228" i="3"/>
  <c r="G229" i="3"/>
  <c r="G230" i="3"/>
  <c r="G226" i="3"/>
  <c r="N215" i="3"/>
  <c r="N213" i="3"/>
  <c r="B451" i="5"/>
  <c r="H451" i="5"/>
  <c r="N451" i="5"/>
  <c r="T451" i="5"/>
  <c r="Z451" i="5"/>
  <c r="AF451" i="5"/>
  <c r="AL451" i="5"/>
  <c r="AR451" i="5"/>
  <c r="AX451" i="5"/>
  <c r="B452" i="5"/>
  <c r="H452" i="5"/>
  <c r="N452" i="5"/>
  <c r="T452" i="5"/>
  <c r="Z452" i="5"/>
  <c r="AF452" i="5"/>
  <c r="AL452" i="5"/>
  <c r="AR452" i="5"/>
  <c r="B453" i="5"/>
  <c r="H453" i="5"/>
  <c r="N453" i="5"/>
  <c r="T453" i="5"/>
  <c r="Z453" i="5"/>
  <c r="AF453" i="5"/>
  <c r="AL453" i="5"/>
  <c r="AR453" i="5"/>
  <c r="B454" i="5"/>
  <c r="H454" i="5"/>
  <c r="N454" i="5"/>
  <c r="T454" i="5"/>
  <c r="Z454" i="5"/>
  <c r="AF454" i="5"/>
  <c r="AL454" i="5"/>
  <c r="AR454" i="5"/>
  <c r="B455" i="5"/>
  <c r="H455" i="5"/>
  <c r="N455" i="5"/>
  <c r="O455" i="5"/>
  <c r="T455" i="5"/>
  <c r="U455" i="5"/>
  <c r="Z455" i="5"/>
  <c r="AA455" i="5"/>
  <c r="AF455" i="5"/>
  <c r="AL455" i="5"/>
  <c r="AM455" i="5"/>
  <c r="AR455" i="5"/>
  <c r="B456" i="5"/>
  <c r="C456" i="5"/>
  <c r="H456" i="5"/>
  <c r="I456" i="5"/>
  <c r="N456" i="5"/>
  <c r="T456" i="5"/>
  <c r="Z456" i="5"/>
  <c r="AF456" i="5"/>
  <c r="AL456" i="5"/>
  <c r="AR456" i="5"/>
  <c r="B457" i="5"/>
  <c r="H457" i="5"/>
  <c r="N457" i="5"/>
  <c r="T457" i="5"/>
  <c r="Z457" i="5"/>
  <c r="AF457" i="5"/>
  <c r="AL457" i="5"/>
  <c r="AR457" i="5"/>
  <c r="B458" i="5"/>
  <c r="H458" i="5"/>
  <c r="N458" i="5"/>
  <c r="T458" i="5"/>
  <c r="Z458" i="5"/>
  <c r="AF458" i="5"/>
  <c r="AL458" i="5"/>
  <c r="AR458" i="5"/>
  <c r="B459" i="5"/>
  <c r="H459" i="5"/>
  <c r="N459" i="5"/>
  <c r="T459" i="5"/>
  <c r="Z459" i="5"/>
  <c r="AF459" i="5"/>
  <c r="AL459" i="5"/>
  <c r="AR459" i="5"/>
  <c r="B460" i="5"/>
  <c r="H460" i="5"/>
  <c r="N460" i="5"/>
  <c r="T460" i="5"/>
  <c r="Z460" i="5"/>
  <c r="AF460" i="5"/>
  <c r="AL460" i="5"/>
  <c r="AR460" i="5"/>
  <c r="B461" i="5"/>
  <c r="H461" i="5"/>
  <c r="N461" i="5"/>
  <c r="T461" i="5"/>
  <c r="Z461" i="5"/>
  <c r="AF461" i="5"/>
  <c r="AL461" i="5"/>
  <c r="AR461" i="5"/>
  <c r="AX461" i="5"/>
  <c r="B462" i="5"/>
  <c r="H462" i="5"/>
  <c r="N462" i="5"/>
  <c r="T462" i="5"/>
  <c r="Z462" i="5"/>
  <c r="AF462" i="5"/>
  <c r="AL462" i="5"/>
  <c r="AR462" i="5"/>
  <c r="AX462" i="5"/>
  <c r="B463" i="5"/>
  <c r="H463" i="5"/>
  <c r="N463" i="5"/>
  <c r="T463" i="5"/>
  <c r="Z463" i="5"/>
  <c r="AF463" i="5"/>
  <c r="AL463" i="5"/>
  <c r="AR463" i="5"/>
  <c r="AX463" i="5"/>
  <c r="B464" i="5"/>
  <c r="H464" i="5"/>
  <c r="N464" i="5"/>
  <c r="T464" i="5"/>
  <c r="Z464" i="5"/>
  <c r="AF464" i="5"/>
  <c r="AL464" i="5"/>
  <c r="AR464" i="5"/>
  <c r="AX464" i="5"/>
  <c r="B465" i="5"/>
  <c r="H465" i="5"/>
  <c r="N465" i="5"/>
  <c r="T465" i="5"/>
  <c r="Z465" i="5"/>
  <c r="AF465" i="5"/>
  <c r="AL465" i="5"/>
  <c r="AR465" i="5"/>
  <c r="AX465" i="5"/>
  <c r="B466" i="5"/>
  <c r="H466" i="5"/>
  <c r="N466" i="5"/>
  <c r="T466" i="5"/>
  <c r="Z466" i="5"/>
  <c r="AF466" i="5"/>
  <c r="AL466" i="5"/>
  <c r="AR466" i="5"/>
  <c r="AX466" i="5"/>
  <c r="B467" i="5"/>
  <c r="H467" i="5"/>
  <c r="N467" i="5"/>
  <c r="T467" i="5"/>
  <c r="Z467" i="5"/>
  <c r="AF467" i="5"/>
  <c r="AL467" i="5"/>
  <c r="AR467" i="5"/>
  <c r="AX467" i="5"/>
  <c r="B468" i="5"/>
  <c r="H468" i="5"/>
  <c r="N468" i="5"/>
  <c r="T468" i="5"/>
  <c r="Z468" i="5"/>
  <c r="AF468" i="5"/>
  <c r="AL468" i="5"/>
  <c r="AR468" i="5"/>
  <c r="AX468" i="5"/>
  <c r="B469" i="5"/>
  <c r="H469" i="5"/>
  <c r="N469" i="5"/>
  <c r="T469" i="5"/>
  <c r="Z469" i="5"/>
  <c r="AF469" i="5"/>
  <c r="AL469" i="5"/>
  <c r="AR469" i="5"/>
  <c r="AX469" i="5"/>
  <c r="B470" i="5"/>
  <c r="H470" i="5"/>
  <c r="N470" i="5"/>
  <c r="T470" i="5"/>
  <c r="Z470" i="5"/>
  <c r="AF470" i="5"/>
  <c r="AL470" i="5"/>
  <c r="AR470" i="5"/>
  <c r="AX470" i="5"/>
  <c r="B471" i="5"/>
  <c r="H471" i="5"/>
  <c r="N471" i="5"/>
  <c r="T471" i="5"/>
  <c r="Z471" i="5"/>
  <c r="AF471" i="5"/>
  <c r="AL471" i="5"/>
  <c r="AR471" i="5"/>
  <c r="AX471" i="5"/>
  <c r="B472" i="5"/>
  <c r="H472" i="5"/>
  <c r="N472" i="5"/>
  <c r="T472" i="5"/>
  <c r="Z472" i="5"/>
  <c r="AF472" i="5"/>
  <c r="AL472" i="5"/>
  <c r="AR472" i="5"/>
  <c r="AX472" i="5"/>
  <c r="B473" i="5"/>
  <c r="H473" i="5"/>
  <c r="N473" i="5"/>
  <c r="T473" i="5"/>
  <c r="Z473" i="5"/>
  <c r="AF473" i="5"/>
  <c r="AL473" i="5"/>
  <c r="AR473" i="5"/>
  <c r="AX473" i="5"/>
  <c r="B414" i="5"/>
  <c r="B415" i="5"/>
  <c r="B416" i="5"/>
  <c r="B417" i="5"/>
  <c r="B418" i="5"/>
  <c r="B419" i="5"/>
  <c r="B420" i="5"/>
  <c r="B421" i="5"/>
  <c r="B422" i="5"/>
  <c r="B423" i="5"/>
  <c r="B424" i="5"/>
  <c r="B425" i="5"/>
  <c r="B426" i="5"/>
  <c r="B427" i="5"/>
  <c r="B428" i="5"/>
  <c r="B429" i="5"/>
  <c r="B430" i="5"/>
  <c r="B431" i="5"/>
  <c r="B432" i="5"/>
  <c r="B433" i="5"/>
  <c r="B434" i="5"/>
  <c r="B435" i="5"/>
  <c r="I102" i="3" l="1"/>
  <c r="I92" i="3"/>
  <c r="I89" i="3"/>
  <c r="I88" i="3"/>
  <c r="L92" i="3"/>
  <c r="L86" i="3"/>
  <c r="I86" i="3"/>
  <c r="M93" i="3"/>
  <c r="I119" i="3"/>
  <c r="J110" i="3"/>
  <c r="J98" i="3"/>
  <c r="J89" i="3"/>
  <c r="N87" i="3"/>
  <c r="N94" i="3"/>
  <c r="J100" i="3"/>
  <c r="E93" i="3"/>
  <c r="I103" i="3"/>
  <c r="L91" i="3"/>
  <c r="I106" i="3"/>
  <c r="I111" i="3" s="1"/>
  <c r="I91" i="3"/>
  <c r="L97" i="3"/>
  <c r="J108" i="3"/>
  <c r="J90" i="3"/>
  <c r="J91" i="3"/>
  <c r="I90" i="3"/>
  <c r="N86" i="3"/>
  <c r="J107" i="3"/>
  <c r="J101" i="3"/>
  <c r="J99" i="3"/>
  <c r="N88" i="3"/>
  <c r="L87" i="3"/>
  <c r="J109" i="3"/>
  <c r="J87" i="3"/>
  <c r="N90" i="3"/>
  <c r="J111" i="3" l="1"/>
  <c r="J93" i="3"/>
  <c r="J103" i="3"/>
  <c r="I93" i="3"/>
  <c r="N96" i="3"/>
  <c r="N97" i="3" s="1"/>
  <c r="J333" i="5" l="1"/>
  <c r="AX452" i="5" s="1"/>
  <c r="J334" i="5"/>
  <c r="AX453" i="5" s="1"/>
  <c r="J335" i="5"/>
  <c r="AX454" i="5" s="1"/>
  <c r="J336" i="5"/>
  <c r="AX455" i="5" s="1"/>
  <c r="J337" i="5"/>
  <c r="AX456" i="5" s="1"/>
  <c r="J338" i="5"/>
  <c r="AX457" i="5" s="1"/>
  <c r="J339" i="5"/>
  <c r="AX458" i="5" s="1"/>
  <c r="J340" i="5"/>
  <c r="AX459" i="5" s="1"/>
  <c r="J341" i="5"/>
  <c r="AX460" i="5" s="1"/>
  <c r="B319" i="5" l="1"/>
  <c r="C319" i="5"/>
  <c r="D319" i="5"/>
  <c r="J114" i="3" s="1"/>
  <c r="E319" i="5"/>
  <c r="F319" i="5"/>
  <c r="G319" i="5"/>
  <c r="J115" i="3" s="1"/>
  <c r="H319" i="5"/>
  <c r="I319" i="5"/>
  <c r="J319" i="5"/>
  <c r="J116" i="3" s="1"/>
  <c r="B283" i="5"/>
  <c r="B284" i="5"/>
  <c r="B285" i="5"/>
  <c r="B286" i="5"/>
  <c r="B287" i="5"/>
  <c r="B288" i="5"/>
  <c r="B289" i="5"/>
  <c r="B290" i="5"/>
  <c r="B291" i="5"/>
  <c r="B292" i="5"/>
  <c r="B293" i="5"/>
  <c r="B294" i="5"/>
  <c r="B295" i="5"/>
  <c r="B296" i="5"/>
  <c r="B297" i="5"/>
  <c r="B298" i="5"/>
  <c r="B305" i="5"/>
  <c r="B306" i="5"/>
  <c r="B277" i="5"/>
  <c r="B276" i="5"/>
  <c r="B263" i="5"/>
  <c r="B262" i="5"/>
  <c r="B261" i="5"/>
  <c r="B260" i="5"/>
  <c r="B259" i="5"/>
  <c r="B258" i="5"/>
  <c r="B257" i="5"/>
  <c r="B256" i="5"/>
  <c r="B255" i="5"/>
  <c r="B254" i="5"/>
  <c r="D127" i="5"/>
  <c r="D98" i="5"/>
  <c r="F97" i="5"/>
  <c r="D96" i="5"/>
  <c r="F94" i="5"/>
  <c r="F93" i="5"/>
  <c r="F90" i="5"/>
  <c r="F86" i="5"/>
  <c r="F84" i="5"/>
  <c r="F83" i="5"/>
  <c r="F81" i="5"/>
  <c r="J286" i="3"/>
  <c r="D253" i="3"/>
  <c r="C253" i="3"/>
  <c r="D212" i="3"/>
  <c r="C212" i="3"/>
  <c r="D172" i="3"/>
  <c r="C172" i="3"/>
  <c r="D133" i="3"/>
  <c r="C133" i="3"/>
  <c r="D154" i="3"/>
  <c r="D13" i="3"/>
  <c r="C13" i="3"/>
  <c r="H72" i="3"/>
  <c r="H64" i="3"/>
  <c r="H56" i="3"/>
  <c r="H44" i="3"/>
  <c r="H39" i="3"/>
  <c r="I39" i="3" l="1"/>
  <c r="J39" i="3"/>
  <c r="J117" i="3"/>
  <c r="L62" i="5"/>
  <c r="G62" i="5"/>
  <c r="H38" i="2" s="1"/>
  <c r="L61" i="5"/>
  <c r="G61" i="5"/>
  <c r="H37" i="2" s="1"/>
  <c r="G60" i="5"/>
  <c r="H36" i="2" s="1"/>
  <c r="D45" i="5"/>
  <c r="D43" i="5"/>
  <c r="D35" i="5"/>
  <c r="D33" i="5"/>
  <c r="D31" i="5"/>
  <c r="D30" i="5"/>
  <c r="G46" i="2"/>
  <c r="G47" i="2"/>
  <c r="G48" i="2"/>
  <c r="G49" i="2"/>
  <c r="G51" i="2"/>
  <c r="G45" i="2"/>
  <c r="F51" i="2"/>
  <c r="F50" i="2"/>
  <c r="F49" i="2"/>
  <c r="F48" i="2"/>
  <c r="F47" i="2"/>
  <c r="F46" i="2"/>
  <c r="F45" i="2"/>
  <c r="C46" i="2"/>
  <c r="C47" i="2"/>
  <c r="C48" i="2"/>
  <c r="C49" i="2"/>
  <c r="C50" i="2"/>
  <c r="C51" i="2"/>
  <c r="AB16" i="4" l="1"/>
  <c r="B39" i="4"/>
  <c r="B38" i="4"/>
  <c r="B37" i="4"/>
  <c r="O31" i="4"/>
  <c r="O30" i="4"/>
  <c r="O29" i="4"/>
  <c r="J21" i="4"/>
  <c r="J28" i="4" s="1"/>
  <c r="K36" i="4" s="1"/>
  <c r="Y36" i="4" s="1"/>
  <c r="I21" i="4"/>
  <c r="I28" i="4" s="1"/>
  <c r="J36" i="4" s="1"/>
  <c r="X36" i="4" s="1"/>
  <c r="H21" i="4"/>
  <c r="H28" i="4" s="1"/>
  <c r="I36" i="4" s="1"/>
  <c r="W36" i="4" s="1"/>
  <c r="G21" i="4"/>
  <c r="G28" i="4" s="1"/>
  <c r="H36" i="4" s="1"/>
  <c r="V36" i="4" s="1"/>
  <c r="F21" i="4"/>
  <c r="F28" i="4" s="1"/>
  <c r="G36" i="4" s="1"/>
  <c r="U36" i="4" s="1"/>
  <c r="T36" i="4"/>
  <c r="E21" i="4"/>
  <c r="E28" i="4" s="1"/>
  <c r="E36" i="4" s="1"/>
  <c r="S36" i="4" s="1"/>
  <c r="D21" i="4"/>
  <c r="D28" i="4" s="1"/>
  <c r="D36" i="4" s="1"/>
  <c r="R36" i="4" s="1"/>
  <c r="C21" i="4"/>
  <c r="C28" i="4" s="1"/>
  <c r="C36" i="4" s="1"/>
  <c r="Q36" i="4" s="1"/>
  <c r="Q17" i="4"/>
  <c r="Q18" i="4" s="1"/>
  <c r="O17" i="4"/>
  <c r="O18" i="4" s="1"/>
  <c r="M17" i="4"/>
  <c r="M18" i="4" s="1"/>
  <c r="K17" i="4"/>
  <c r="K18" i="4" s="1"/>
  <c r="I17" i="4"/>
  <c r="I18" i="4" s="1"/>
  <c r="G17" i="4"/>
  <c r="G18" i="4" s="1"/>
  <c r="F17" i="4"/>
  <c r="E17" i="4"/>
  <c r="E18" i="4" s="1"/>
  <c r="D17" i="4"/>
  <c r="C17" i="4"/>
  <c r="C18" i="4" s="1"/>
  <c r="B17" i="4"/>
  <c r="CA16" i="4"/>
  <c r="BU16" i="4"/>
  <c r="BO16" i="4"/>
  <c r="BI16" i="4"/>
  <c r="BC16" i="4"/>
  <c r="AW16" i="4"/>
  <c r="AQ16" i="4"/>
  <c r="AK16" i="4"/>
  <c r="AG16" i="4"/>
  <c r="AE16" i="4"/>
  <c r="AD16" i="4"/>
  <c r="AC16" i="4"/>
  <c r="AA16" i="4"/>
  <c r="Y16" i="4"/>
  <c r="X16" i="4"/>
  <c r="W16" i="4"/>
  <c r="U16" i="4"/>
  <c r="CA15" i="4"/>
  <c r="BU15" i="4"/>
  <c r="BO15" i="4"/>
  <c r="BI15" i="4"/>
  <c r="BC15" i="4"/>
  <c r="AW15" i="4"/>
  <c r="AQ15" i="4"/>
  <c r="AK15" i="4"/>
  <c r="AH15" i="4"/>
  <c r="AG15" i="4"/>
  <c r="AF15" i="4"/>
  <c r="AD15" i="4"/>
  <c r="AB15" i="4"/>
  <c r="Z15" i="4"/>
  <c r="Y15" i="4"/>
  <c r="X15" i="4"/>
  <c r="W15" i="4"/>
  <c r="V15" i="4"/>
  <c r="T15" i="4"/>
  <c r="CA14" i="4"/>
  <c r="BU14" i="4"/>
  <c r="BO14" i="4"/>
  <c r="BI14" i="4"/>
  <c r="BC14" i="4"/>
  <c r="AW14" i="4"/>
  <c r="AQ14" i="4"/>
  <c r="AK14" i="4"/>
  <c r="AG14" i="4"/>
  <c r="AF14" i="4"/>
  <c r="AE14" i="4"/>
  <c r="AC14" i="4"/>
  <c r="AB14" i="4"/>
  <c r="AA14" i="4"/>
  <c r="Y14" i="4"/>
  <c r="W14" i="4"/>
  <c r="V14" i="4"/>
  <c r="U14" i="4"/>
  <c r="CA13" i="4"/>
  <c r="BU13" i="4"/>
  <c r="BO13" i="4"/>
  <c r="BI13" i="4"/>
  <c r="BC13" i="4"/>
  <c r="AW13" i="4"/>
  <c r="AQ13" i="4"/>
  <c r="AK13" i="4"/>
  <c r="AH13" i="4"/>
  <c r="AF13" i="4"/>
  <c r="AE13" i="4"/>
  <c r="AD13" i="4"/>
  <c r="AB13" i="4"/>
  <c r="AA13" i="4"/>
  <c r="Z13" i="4"/>
  <c r="X13" i="4"/>
  <c r="V13" i="4"/>
  <c r="U13" i="4"/>
  <c r="T13" i="4"/>
  <c r="CA12" i="4"/>
  <c r="BU12" i="4"/>
  <c r="BO12" i="4"/>
  <c r="BI12" i="4"/>
  <c r="BC12" i="4"/>
  <c r="AW12" i="4"/>
  <c r="AQ12" i="4"/>
  <c r="AK12" i="4"/>
  <c r="AH12" i="4"/>
  <c r="AG12" i="4"/>
  <c r="AF12" i="4"/>
  <c r="AE12" i="4"/>
  <c r="AD12" i="4"/>
  <c r="AC12" i="4"/>
  <c r="AB12" i="4"/>
  <c r="AA12" i="4"/>
  <c r="Z12" i="4"/>
  <c r="Y12" i="4"/>
  <c r="X12" i="4"/>
  <c r="W12" i="4"/>
  <c r="V12" i="4"/>
  <c r="U12" i="4"/>
  <c r="T12" i="4"/>
  <c r="CA11" i="4"/>
  <c r="BU11" i="4"/>
  <c r="BO11" i="4"/>
  <c r="BI11" i="4"/>
  <c r="BC11" i="4"/>
  <c r="AW11" i="4"/>
  <c r="AQ11" i="4"/>
  <c r="AK11" i="4"/>
  <c r="AH11" i="4"/>
  <c r="AG11" i="4"/>
  <c r="AF11" i="4"/>
  <c r="AE11" i="4"/>
  <c r="AD11" i="4"/>
  <c r="AC11" i="4"/>
  <c r="AB11" i="4"/>
  <c r="AA11" i="4"/>
  <c r="Z11" i="4"/>
  <c r="Y11" i="4"/>
  <c r="X11" i="4"/>
  <c r="W11" i="4"/>
  <c r="V11" i="4"/>
  <c r="U11" i="4"/>
  <c r="T11" i="4"/>
  <c r="CA10" i="4"/>
  <c r="BU10" i="4"/>
  <c r="BO10" i="4"/>
  <c r="BI10" i="4"/>
  <c r="BC10" i="4"/>
  <c r="AW10" i="4"/>
  <c r="AQ10" i="4"/>
  <c r="AK10" i="4"/>
  <c r="AG10" i="4"/>
  <c r="AE10" i="4"/>
  <c r="AC10" i="4"/>
  <c r="AA10" i="4"/>
  <c r="Y10" i="4"/>
  <c r="W10" i="4"/>
  <c r="CA7" i="4"/>
  <c r="BU7" i="4"/>
  <c r="BO7" i="4"/>
  <c r="BI7" i="4"/>
  <c r="BC7" i="4"/>
  <c r="AW7" i="4"/>
  <c r="AQ7" i="4"/>
  <c r="AK7" i="4"/>
  <c r="AG7" i="4"/>
  <c r="AH10" i="4" s="1"/>
  <c r="AE7" i="4"/>
  <c r="AF10" i="4" s="1"/>
  <c r="AC7" i="4"/>
  <c r="AD10" i="4" s="1"/>
  <c r="AA7" i="4"/>
  <c r="Y7" i="4"/>
  <c r="Z10" i="4" s="1"/>
  <c r="W7" i="4"/>
  <c r="X10" i="4" s="1"/>
  <c r="U7" i="4"/>
  <c r="V10" i="4" s="1"/>
  <c r="S7" i="4"/>
  <c r="T10" i="4" s="1"/>
  <c r="I286" i="3"/>
  <c r="H286" i="3"/>
  <c r="G286" i="3"/>
  <c r="F286" i="3"/>
  <c r="E286" i="3"/>
  <c r="D286" i="3"/>
  <c r="C286" i="3"/>
  <c r="H276" i="3"/>
  <c r="H275" i="3"/>
  <c r="H274" i="3"/>
  <c r="I272" i="3"/>
  <c r="L255" i="3" s="1"/>
  <c r="D269" i="3"/>
  <c r="H270" i="3"/>
  <c r="I270" i="3" s="1"/>
  <c r="H269" i="3"/>
  <c r="H268" i="3"/>
  <c r="I268" i="3" s="1"/>
  <c r="H267" i="3"/>
  <c r="J267" i="3" s="1"/>
  <c r="H266" i="3"/>
  <c r="I266" i="3" s="1"/>
  <c r="I264" i="3"/>
  <c r="L254" i="3" s="1"/>
  <c r="D262" i="3"/>
  <c r="C262" i="3"/>
  <c r="H262" i="3"/>
  <c r="I262" i="3" s="1"/>
  <c r="H261" i="3"/>
  <c r="H260" i="3"/>
  <c r="I260" i="3" s="1"/>
  <c r="H259" i="3"/>
  <c r="J259" i="3" s="1"/>
  <c r="H258" i="3"/>
  <c r="I258" i="3" s="1"/>
  <c r="I256" i="3"/>
  <c r="L253" i="3" s="1"/>
  <c r="M255" i="3"/>
  <c r="H252" i="3"/>
  <c r="N252" i="3" s="1"/>
  <c r="E252" i="3"/>
  <c r="H251" i="3"/>
  <c r="N251" i="3" s="1"/>
  <c r="E251" i="3"/>
  <c r="M251" i="3" s="1"/>
  <c r="H250" i="3"/>
  <c r="E250" i="3"/>
  <c r="H249" i="3"/>
  <c r="E249" i="3"/>
  <c r="M249" i="3" s="1"/>
  <c r="H248" i="3"/>
  <c r="N248" i="3" s="1"/>
  <c r="E248" i="3"/>
  <c r="H247" i="3"/>
  <c r="N247" i="3" s="1"/>
  <c r="E247" i="3"/>
  <c r="M247" i="3" s="1"/>
  <c r="H246" i="3"/>
  <c r="E246" i="3"/>
  <c r="I244" i="3"/>
  <c r="H236" i="3"/>
  <c r="H235" i="3"/>
  <c r="H234" i="3"/>
  <c r="I232" i="3"/>
  <c r="L215" i="3" s="1"/>
  <c r="D229" i="3"/>
  <c r="H230" i="3"/>
  <c r="H229" i="3"/>
  <c r="I229" i="3" s="1"/>
  <c r="H228" i="3"/>
  <c r="J228" i="3" s="1"/>
  <c r="H227" i="3"/>
  <c r="I227" i="3" s="1"/>
  <c r="H226" i="3"/>
  <c r="I224" i="3"/>
  <c r="L214" i="3" s="1"/>
  <c r="D222" i="3"/>
  <c r="C222" i="3"/>
  <c r="H222" i="3"/>
  <c r="H221" i="3"/>
  <c r="I221" i="3" s="1"/>
  <c r="H220" i="3"/>
  <c r="J220" i="3" s="1"/>
  <c r="H219" i="3"/>
  <c r="I219" i="3" s="1"/>
  <c r="H218" i="3"/>
  <c r="I216" i="3"/>
  <c r="L213" i="3" s="1"/>
  <c r="H212" i="3"/>
  <c r="N212" i="3" s="1"/>
  <c r="E211" i="3"/>
  <c r="M212" i="3" s="1"/>
  <c r="H211" i="3"/>
  <c r="N211" i="3" s="1"/>
  <c r="E210" i="3"/>
  <c r="H210" i="3"/>
  <c r="E209" i="3"/>
  <c r="M210" i="3" s="1"/>
  <c r="H209" i="3"/>
  <c r="E208" i="3"/>
  <c r="H208" i="3"/>
  <c r="N208" i="3" s="1"/>
  <c r="E207" i="3"/>
  <c r="M208" i="3" s="1"/>
  <c r="H207" i="3"/>
  <c r="N207" i="3" s="1"/>
  <c r="E206" i="3"/>
  <c r="M207" i="3" s="1"/>
  <c r="H206" i="3"/>
  <c r="N206" i="3" s="1"/>
  <c r="E205" i="3"/>
  <c r="I204" i="3"/>
  <c r="L216" i="3"/>
  <c r="H199" i="3"/>
  <c r="I199" i="3" s="1"/>
  <c r="H196" i="3"/>
  <c r="H195" i="3"/>
  <c r="H194" i="3"/>
  <c r="I192" i="3"/>
  <c r="L175" i="3" s="1"/>
  <c r="D189" i="3"/>
  <c r="H190" i="3"/>
  <c r="I190" i="3" s="1"/>
  <c r="H189" i="3"/>
  <c r="I189" i="3" s="1"/>
  <c r="H188" i="3"/>
  <c r="H187" i="3"/>
  <c r="H186" i="3"/>
  <c r="J186" i="3" s="1"/>
  <c r="I184" i="3"/>
  <c r="L174" i="3" s="1"/>
  <c r="D182" i="3"/>
  <c r="C182" i="3"/>
  <c r="H182" i="3"/>
  <c r="J182" i="3" s="1"/>
  <c r="H181" i="3"/>
  <c r="I181" i="3" s="1"/>
  <c r="H180" i="3"/>
  <c r="H179" i="3"/>
  <c r="I179" i="3" s="1"/>
  <c r="H178" i="3"/>
  <c r="I176" i="3"/>
  <c r="L173" i="3" s="1"/>
  <c r="M175" i="3"/>
  <c r="N173" i="3"/>
  <c r="H172" i="3"/>
  <c r="E171" i="3"/>
  <c r="H171" i="3"/>
  <c r="N171" i="3" s="1"/>
  <c r="E170" i="3"/>
  <c r="M171" i="3" s="1"/>
  <c r="H170" i="3"/>
  <c r="N170" i="3" s="1"/>
  <c r="E169" i="3"/>
  <c r="H169" i="3"/>
  <c r="N169" i="3" s="1"/>
  <c r="E168" i="3"/>
  <c r="M169" i="3" s="1"/>
  <c r="H168" i="3"/>
  <c r="E167" i="3"/>
  <c r="H167" i="3"/>
  <c r="N167" i="3" s="1"/>
  <c r="E166" i="3"/>
  <c r="H166" i="3"/>
  <c r="N166" i="3" s="1"/>
  <c r="E165" i="3"/>
  <c r="I164" i="3"/>
  <c r="L177" i="3"/>
  <c r="H159" i="3"/>
  <c r="I159" i="3" s="1"/>
  <c r="H156" i="3"/>
  <c r="H155" i="3"/>
  <c r="H154" i="3"/>
  <c r="I152" i="3"/>
  <c r="L135" i="3" s="1"/>
  <c r="D149" i="3"/>
  <c r="H150" i="3"/>
  <c r="I150" i="3" s="1"/>
  <c r="H149" i="3"/>
  <c r="H148" i="3"/>
  <c r="J148" i="3" s="1"/>
  <c r="H147" i="3"/>
  <c r="J147" i="3" s="1"/>
  <c r="H146" i="3"/>
  <c r="I146" i="3" s="1"/>
  <c r="I144" i="3"/>
  <c r="L134" i="3" s="1"/>
  <c r="D142" i="3"/>
  <c r="C142" i="3"/>
  <c r="H142" i="3"/>
  <c r="J142" i="3" s="1"/>
  <c r="H141" i="3"/>
  <c r="H140" i="3"/>
  <c r="J140" i="3" s="1"/>
  <c r="H139" i="3"/>
  <c r="H138" i="3"/>
  <c r="J138" i="3" s="1"/>
  <c r="I136" i="3"/>
  <c r="L133" i="3" s="1"/>
  <c r="M135" i="3"/>
  <c r="N133" i="3"/>
  <c r="N135" i="3" s="1"/>
  <c r="H132" i="3"/>
  <c r="E132" i="3"/>
  <c r="M132" i="3" s="1"/>
  <c r="H131" i="3"/>
  <c r="N131" i="3" s="1"/>
  <c r="E131" i="3"/>
  <c r="M131" i="3" s="1"/>
  <c r="H130" i="3"/>
  <c r="N130" i="3" s="1"/>
  <c r="E130" i="3"/>
  <c r="H129" i="3"/>
  <c r="N129" i="3" s="1"/>
  <c r="E129" i="3"/>
  <c r="M129" i="3" s="1"/>
  <c r="H128" i="3"/>
  <c r="N128" i="3" s="1"/>
  <c r="E128" i="3"/>
  <c r="H127" i="3"/>
  <c r="E127" i="3"/>
  <c r="M127" i="3" s="1"/>
  <c r="H126" i="3"/>
  <c r="E126" i="3"/>
  <c r="I124" i="3"/>
  <c r="L136" i="3"/>
  <c r="E291" i="3"/>
  <c r="H79" i="3"/>
  <c r="I79" i="3" s="1"/>
  <c r="H76" i="3"/>
  <c r="H75" i="3"/>
  <c r="H74" i="3"/>
  <c r="I72" i="3"/>
  <c r="L55" i="3" s="1"/>
  <c r="H70" i="3"/>
  <c r="J70" i="3" s="1"/>
  <c r="H69" i="3"/>
  <c r="J69" i="3" s="1"/>
  <c r="H68" i="3"/>
  <c r="H67" i="3"/>
  <c r="J67" i="3" s="1"/>
  <c r="H66" i="3"/>
  <c r="J66" i="3" s="1"/>
  <c r="I64" i="3"/>
  <c r="L54" i="3" s="1"/>
  <c r="H62" i="3"/>
  <c r="J62" i="3" s="1"/>
  <c r="H61" i="3"/>
  <c r="J61" i="3" s="1"/>
  <c r="H60" i="3"/>
  <c r="J60" i="3" s="1"/>
  <c r="H59" i="3"/>
  <c r="J59" i="3" s="1"/>
  <c r="H58" i="3"/>
  <c r="J58" i="3" s="1"/>
  <c r="I56" i="3"/>
  <c r="L53" i="3" s="1"/>
  <c r="N55" i="3"/>
  <c r="N54" i="3"/>
  <c r="H52" i="3"/>
  <c r="N52" i="3" s="1"/>
  <c r="E52" i="3"/>
  <c r="M52" i="3" s="1"/>
  <c r="H51" i="3"/>
  <c r="N51" i="3" s="1"/>
  <c r="E51" i="3"/>
  <c r="H50" i="3"/>
  <c r="E50" i="3"/>
  <c r="M50" i="3" s="1"/>
  <c r="H49" i="3"/>
  <c r="E49" i="3"/>
  <c r="M49" i="3" s="1"/>
  <c r="H48" i="3"/>
  <c r="N48" i="3" s="1"/>
  <c r="E48" i="3"/>
  <c r="M48" i="3" s="1"/>
  <c r="H47" i="3"/>
  <c r="N47" i="3" s="1"/>
  <c r="E47" i="3"/>
  <c r="H46" i="3"/>
  <c r="E46" i="3"/>
  <c r="I44" i="3"/>
  <c r="C291" i="3"/>
  <c r="H36" i="3"/>
  <c r="H35" i="3"/>
  <c r="H34" i="3"/>
  <c r="I32" i="3"/>
  <c r="L15" i="3" s="1"/>
  <c r="D31" i="3"/>
  <c r="M14" i="3" s="1"/>
  <c r="H30" i="3"/>
  <c r="J30" i="3" s="1"/>
  <c r="H29" i="3"/>
  <c r="I29" i="3" s="1"/>
  <c r="H28" i="3"/>
  <c r="J28" i="3" s="1"/>
  <c r="H27" i="3"/>
  <c r="J27" i="3" s="1"/>
  <c r="H26" i="3"/>
  <c r="J26" i="3" s="1"/>
  <c r="I24" i="3"/>
  <c r="H22" i="3"/>
  <c r="H21" i="3"/>
  <c r="J21" i="3" s="1"/>
  <c r="H20" i="3"/>
  <c r="J20" i="3" s="1"/>
  <c r="H19" i="3"/>
  <c r="J19" i="3" s="1"/>
  <c r="H18" i="3"/>
  <c r="I16" i="3"/>
  <c r="L13" i="3" s="1"/>
  <c r="N15" i="3"/>
  <c r="M15" i="3"/>
  <c r="N16" i="3" s="1"/>
  <c r="N14" i="3"/>
  <c r="H12" i="3"/>
  <c r="E12" i="3"/>
  <c r="M12" i="3" s="1"/>
  <c r="H11" i="3"/>
  <c r="E11" i="3"/>
  <c r="M11" i="3" s="1"/>
  <c r="H10" i="3"/>
  <c r="E10" i="3"/>
  <c r="M10" i="3" s="1"/>
  <c r="H9" i="3"/>
  <c r="E9" i="3"/>
  <c r="H8" i="3"/>
  <c r="E8" i="3"/>
  <c r="M8" i="3" s="1"/>
  <c r="H7" i="3"/>
  <c r="E7" i="3"/>
  <c r="M7" i="3" s="1"/>
  <c r="H6" i="3"/>
  <c r="E6" i="3"/>
  <c r="I4" i="3"/>
  <c r="J194" i="3"/>
  <c r="I18" i="2"/>
  <c r="J18" i="2" s="1"/>
  <c r="I16" i="2"/>
  <c r="J16" i="2" s="1"/>
  <c r="I8" i="2"/>
  <c r="J8" i="2" s="1"/>
  <c r="I6" i="2"/>
  <c r="J6" i="2" s="1"/>
  <c r="I21" i="2"/>
  <c r="J21" i="2" s="1"/>
  <c r="I38" i="2"/>
  <c r="J38" i="2" s="1"/>
  <c r="I37" i="2"/>
  <c r="J37" i="2" s="1"/>
  <c r="I36" i="2"/>
  <c r="J36" i="2" s="1"/>
  <c r="I32" i="2"/>
  <c r="J32" i="2" s="1"/>
  <c r="I31" i="2"/>
  <c r="J31" i="2" s="1"/>
  <c r="G30" i="2"/>
  <c r="I26" i="2"/>
  <c r="J26" i="2" s="1"/>
  <c r="I25" i="2"/>
  <c r="G25" i="2"/>
  <c r="I17" i="2"/>
  <c r="J17" i="2" s="1"/>
  <c r="I15" i="2"/>
  <c r="J15" i="2" s="1"/>
  <c r="I14" i="2"/>
  <c r="G14" i="2"/>
  <c r="I13" i="2"/>
  <c r="J13" i="2" s="1"/>
  <c r="I12" i="2"/>
  <c r="J12" i="2" s="1"/>
  <c r="I11" i="2"/>
  <c r="J11" i="2" s="1"/>
  <c r="I10" i="2"/>
  <c r="J10" i="2" s="1"/>
  <c r="I9" i="2"/>
  <c r="J9" i="2" s="1"/>
  <c r="I7" i="2"/>
  <c r="J7" i="2" s="1"/>
  <c r="I5" i="2"/>
  <c r="H5" i="2"/>
  <c r="H14" i="2" s="1"/>
  <c r="H25" i="2" s="1"/>
  <c r="G5" i="2"/>
  <c r="I20" i="2"/>
  <c r="J20" i="2" s="1"/>
  <c r="I19" i="2"/>
  <c r="G19" i="2"/>
  <c r="I24" i="2"/>
  <c r="J24" i="2" s="1"/>
  <c r="I23" i="2"/>
  <c r="J23" i="2" s="1"/>
  <c r="I22" i="2"/>
  <c r="G22" i="2"/>
  <c r="N38" i="2" l="1"/>
  <c r="N37" i="2"/>
  <c r="N36" i="2"/>
  <c r="N31" i="2"/>
  <c r="N32" i="2"/>
  <c r="L12" i="3"/>
  <c r="N12" i="3"/>
  <c r="L9" i="3"/>
  <c r="N9" i="3"/>
  <c r="L8" i="3"/>
  <c r="N8" i="3"/>
  <c r="L132" i="3"/>
  <c r="N132" i="3"/>
  <c r="J209" i="3"/>
  <c r="N209" i="3"/>
  <c r="L249" i="3"/>
  <c r="N249" i="3"/>
  <c r="L6" i="3"/>
  <c r="N6" i="3"/>
  <c r="L10" i="3"/>
  <c r="N10" i="3"/>
  <c r="J127" i="3"/>
  <c r="N127" i="3"/>
  <c r="J49" i="3"/>
  <c r="N49" i="3"/>
  <c r="I210" i="3"/>
  <c r="N210" i="3"/>
  <c r="J246" i="3"/>
  <c r="N246" i="3"/>
  <c r="J250" i="3"/>
  <c r="N250" i="3"/>
  <c r="J7" i="3"/>
  <c r="N7" i="3"/>
  <c r="J11" i="3"/>
  <c r="N11" i="3"/>
  <c r="I168" i="3"/>
  <c r="N168" i="3"/>
  <c r="I172" i="3"/>
  <c r="N172" i="3"/>
  <c r="L46" i="3"/>
  <c r="N46" i="3"/>
  <c r="L50" i="3"/>
  <c r="N50" i="3"/>
  <c r="I126" i="3"/>
  <c r="N126" i="3"/>
  <c r="S17" i="4"/>
  <c r="Y13" i="4"/>
  <c r="Y18" i="4" s="1"/>
  <c r="AG13" i="4"/>
  <c r="AG18" i="4" s="1"/>
  <c r="X14" i="4"/>
  <c r="AD14" i="4"/>
  <c r="U15" i="4"/>
  <c r="U18" i="4" s="1"/>
  <c r="AA15" i="4"/>
  <c r="AA17" i="4" s="1"/>
  <c r="AF16" i="4"/>
  <c r="AC15" i="4"/>
  <c r="T16" i="4"/>
  <c r="Z16" i="4"/>
  <c r="AH16" i="4"/>
  <c r="W13" i="4"/>
  <c r="W18" i="4" s="1"/>
  <c r="AC13" i="4"/>
  <c r="T14" i="4"/>
  <c r="Z14" i="4"/>
  <c r="AH14" i="4"/>
  <c r="AE15" i="4"/>
  <c r="AE18" i="4" s="1"/>
  <c r="V16" i="4"/>
  <c r="AW17" i="4"/>
  <c r="G26" i="4"/>
  <c r="G23" i="4"/>
  <c r="I25" i="4"/>
  <c r="M246" i="3"/>
  <c r="E253" i="3"/>
  <c r="E133" i="3"/>
  <c r="E212" i="3"/>
  <c r="M166" i="3"/>
  <c r="E172" i="3"/>
  <c r="M214" i="3"/>
  <c r="E13" i="3"/>
  <c r="L207" i="3"/>
  <c r="J199" i="3"/>
  <c r="G291" i="3" s="1"/>
  <c r="J159" i="3"/>
  <c r="F291" i="3" s="1"/>
  <c r="J206" i="3"/>
  <c r="I147" i="3"/>
  <c r="J79" i="3"/>
  <c r="D291" i="3" s="1"/>
  <c r="N134" i="3"/>
  <c r="J146" i="3"/>
  <c r="M173" i="3"/>
  <c r="G231" i="3"/>
  <c r="N214" i="3" s="1"/>
  <c r="J12" i="3"/>
  <c r="L7" i="3"/>
  <c r="I148" i="3"/>
  <c r="L248" i="3"/>
  <c r="L206" i="3"/>
  <c r="I212" i="3"/>
  <c r="I206" i="3"/>
  <c r="J210" i="3"/>
  <c r="I129" i="3"/>
  <c r="J29" i="3"/>
  <c r="J31" i="3" s="1"/>
  <c r="C289" i="3" s="1"/>
  <c r="I26" i="3"/>
  <c r="I30" i="3"/>
  <c r="J219" i="3"/>
  <c r="J181" i="3"/>
  <c r="I138" i="3"/>
  <c r="I140" i="3"/>
  <c r="I142" i="3"/>
  <c r="I19" i="3"/>
  <c r="I21" i="3"/>
  <c r="I6" i="3"/>
  <c r="J6" i="3"/>
  <c r="I247" i="3"/>
  <c r="J247" i="3"/>
  <c r="L246" i="3"/>
  <c r="J212" i="3"/>
  <c r="L210" i="3"/>
  <c r="J129" i="3"/>
  <c r="L129" i="3"/>
  <c r="J126" i="3"/>
  <c r="L126" i="3"/>
  <c r="I12" i="3"/>
  <c r="L11" i="3"/>
  <c r="I10" i="3"/>
  <c r="J10" i="3"/>
  <c r="J8" i="3"/>
  <c r="I8" i="3"/>
  <c r="I58" i="3"/>
  <c r="L127" i="3"/>
  <c r="J190" i="3"/>
  <c r="I259" i="3"/>
  <c r="J266" i="3"/>
  <c r="I66" i="3"/>
  <c r="J166" i="3"/>
  <c r="J227" i="3"/>
  <c r="I249" i="3"/>
  <c r="I251" i="3"/>
  <c r="M133" i="3"/>
  <c r="J221" i="3"/>
  <c r="J229" i="3"/>
  <c r="J251" i="3"/>
  <c r="I267" i="3"/>
  <c r="I48" i="3"/>
  <c r="I70" i="3"/>
  <c r="L251" i="3"/>
  <c r="M254" i="3"/>
  <c r="J260" i="3"/>
  <c r="J48" i="3"/>
  <c r="J179" i="3"/>
  <c r="I186" i="3"/>
  <c r="L217" i="3"/>
  <c r="L48" i="3"/>
  <c r="I127" i="3"/>
  <c r="J172" i="3"/>
  <c r="L172" i="3"/>
  <c r="J268" i="3"/>
  <c r="J34" i="3"/>
  <c r="J74" i="3"/>
  <c r="I50" i="3"/>
  <c r="I131" i="3"/>
  <c r="J189" i="3"/>
  <c r="L209" i="3"/>
  <c r="J50" i="3"/>
  <c r="I52" i="3"/>
  <c r="I69" i="3"/>
  <c r="J131" i="3"/>
  <c r="I208" i="3"/>
  <c r="L212" i="3"/>
  <c r="L247" i="3"/>
  <c r="L250" i="3"/>
  <c r="J270" i="3"/>
  <c r="J52" i="3"/>
  <c r="L131" i="3"/>
  <c r="J208" i="3"/>
  <c r="I46" i="3"/>
  <c r="L49" i="3"/>
  <c r="L52" i="3"/>
  <c r="I59" i="3"/>
  <c r="I61" i="3"/>
  <c r="J150" i="3"/>
  <c r="L166" i="3"/>
  <c r="J168" i="3"/>
  <c r="J170" i="3"/>
  <c r="L208" i="3"/>
  <c r="L211" i="3"/>
  <c r="J249" i="3"/>
  <c r="J258" i="3"/>
  <c r="J262" i="3"/>
  <c r="J46" i="3"/>
  <c r="L168" i="3"/>
  <c r="L170" i="3"/>
  <c r="M174" i="3"/>
  <c r="L252" i="3"/>
  <c r="M253" i="3"/>
  <c r="I62" i="3"/>
  <c r="J63" i="3"/>
  <c r="D288" i="3" s="1"/>
  <c r="E32" i="4"/>
  <c r="E30" i="4"/>
  <c r="E25" i="4"/>
  <c r="E26" i="4"/>
  <c r="E33" i="4"/>
  <c r="H33" i="4"/>
  <c r="H23" i="4"/>
  <c r="H32" i="4"/>
  <c r="H30" i="4"/>
  <c r="H25" i="4"/>
  <c r="H26" i="4"/>
  <c r="AK17" i="4"/>
  <c r="BO17" i="4"/>
  <c r="E23" i="4"/>
  <c r="J26" i="4"/>
  <c r="D32" i="4"/>
  <c r="D31" i="4"/>
  <c r="D24" i="4"/>
  <c r="D25" i="4"/>
  <c r="D26" i="4"/>
  <c r="D33" i="4"/>
  <c r="I33" i="4"/>
  <c r="P38" i="4"/>
  <c r="AQ17" i="4"/>
  <c r="BI17" i="4"/>
  <c r="C32" i="4"/>
  <c r="C31" i="4"/>
  <c r="C24" i="4"/>
  <c r="C25" i="4"/>
  <c r="C33" i="4"/>
  <c r="F33" i="4"/>
  <c r="F32" i="4"/>
  <c r="F31" i="4"/>
  <c r="F24" i="4"/>
  <c r="J32" i="4"/>
  <c r="J31" i="4"/>
  <c r="J24" i="4"/>
  <c r="J25" i="4"/>
  <c r="J33" i="4"/>
  <c r="BC17" i="4"/>
  <c r="F25" i="4"/>
  <c r="G33" i="4"/>
  <c r="G32" i="4"/>
  <c r="G30" i="4"/>
  <c r="G25" i="4"/>
  <c r="CA17" i="4"/>
  <c r="C26" i="4"/>
  <c r="BU17" i="4"/>
  <c r="I32" i="4"/>
  <c r="I31" i="4"/>
  <c r="I24" i="4"/>
  <c r="I26" i="4"/>
  <c r="F26" i="4"/>
  <c r="P39" i="4"/>
  <c r="P37" i="4"/>
  <c r="J235" i="3"/>
  <c r="J275" i="3"/>
  <c r="J195" i="3"/>
  <c r="J75" i="3"/>
  <c r="J155" i="3"/>
  <c r="L14" i="3"/>
  <c r="J22" i="3"/>
  <c r="I22" i="3"/>
  <c r="I27" i="3"/>
  <c r="L51" i="3"/>
  <c r="J51" i="3"/>
  <c r="I51" i="3"/>
  <c r="J236" i="3"/>
  <c r="J276" i="3"/>
  <c r="J156" i="3"/>
  <c r="J36" i="3"/>
  <c r="J196" i="3"/>
  <c r="J9" i="3"/>
  <c r="I9" i="3"/>
  <c r="M13" i="3"/>
  <c r="J68" i="3"/>
  <c r="J71" i="3" s="1"/>
  <c r="D289" i="3" s="1"/>
  <c r="I68" i="3"/>
  <c r="L169" i="3"/>
  <c r="J169" i="3"/>
  <c r="I169" i="3"/>
  <c r="J35" i="3"/>
  <c r="J76" i="3"/>
  <c r="L47" i="3"/>
  <c r="J47" i="3"/>
  <c r="I47" i="3"/>
  <c r="J178" i="3"/>
  <c r="I178" i="3"/>
  <c r="M6" i="3"/>
  <c r="J18" i="3"/>
  <c r="I18" i="3"/>
  <c r="M128" i="3"/>
  <c r="M167" i="3"/>
  <c r="J188" i="3"/>
  <c r="I188" i="3"/>
  <c r="I20" i="3"/>
  <c r="J132" i="3"/>
  <c r="I132" i="3"/>
  <c r="J141" i="3"/>
  <c r="I141" i="3"/>
  <c r="J130" i="3"/>
  <c r="I130" i="3"/>
  <c r="J180" i="3"/>
  <c r="I180" i="3"/>
  <c r="L257" i="3"/>
  <c r="M46" i="3"/>
  <c r="L130" i="3"/>
  <c r="J149" i="3"/>
  <c r="I149" i="3"/>
  <c r="I182" i="3"/>
  <c r="J128" i="3"/>
  <c r="I128" i="3"/>
  <c r="M130" i="3"/>
  <c r="L167" i="3"/>
  <c r="J167" i="3"/>
  <c r="J222" i="3"/>
  <c r="I222" i="3"/>
  <c r="J269" i="3"/>
  <c r="I269" i="3"/>
  <c r="M47" i="3"/>
  <c r="M51" i="3"/>
  <c r="I60" i="3"/>
  <c r="I67" i="3"/>
  <c r="L128" i="3"/>
  <c r="I167" i="3"/>
  <c r="N174" i="3"/>
  <c r="N175" i="3"/>
  <c r="L176" i="3"/>
  <c r="J218" i="3"/>
  <c r="I218" i="3"/>
  <c r="J226" i="3"/>
  <c r="I226" i="3"/>
  <c r="M9" i="3"/>
  <c r="J234" i="3"/>
  <c r="J274" i="3"/>
  <c r="I7" i="3"/>
  <c r="I11" i="3"/>
  <c r="I28" i="3"/>
  <c r="I49" i="3"/>
  <c r="L137" i="3"/>
  <c r="M126" i="3"/>
  <c r="L171" i="3"/>
  <c r="J171" i="3"/>
  <c r="L256" i="3"/>
  <c r="J261" i="3"/>
  <c r="I261" i="3"/>
  <c r="M134" i="3"/>
  <c r="J139" i="3"/>
  <c r="I139" i="3"/>
  <c r="J154" i="3"/>
  <c r="I171" i="3"/>
  <c r="J187" i="3"/>
  <c r="I187" i="3"/>
  <c r="M206" i="3"/>
  <c r="J230" i="3"/>
  <c r="I230" i="3"/>
  <c r="M209" i="3"/>
  <c r="M213" i="3"/>
  <c r="M250" i="3"/>
  <c r="M168" i="3"/>
  <c r="M172" i="3"/>
  <c r="I207" i="3"/>
  <c r="I211" i="3"/>
  <c r="I248" i="3"/>
  <c r="I252" i="3"/>
  <c r="I166" i="3"/>
  <c r="I170" i="3"/>
  <c r="J207" i="3"/>
  <c r="J211" i="3"/>
  <c r="J248" i="3"/>
  <c r="J252" i="3"/>
  <c r="G271" i="3"/>
  <c r="N254" i="3" s="1"/>
  <c r="M211" i="3"/>
  <c r="I220" i="3"/>
  <c r="I228" i="3"/>
  <c r="M248" i="3"/>
  <c r="M252" i="3"/>
  <c r="M170" i="3"/>
  <c r="I209" i="3"/>
  <c r="I246" i="3"/>
  <c r="I250" i="3"/>
  <c r="G36" i="2"/>
  <c r="G37" i="2"/>
  <c r="G38" i="2"/>
  <c r="G32" i="2"/>
  <c r="E45" i="2" l="1"/>
  <c r="U17" i="4"/>
  <c r="AA18" i="4"/>
  <c r="AE17" i="4"/>
  <c r="AC17" i="4"/>
  <c r="Y17" i="4"/>
  <c r="W17" i="4"/>
  <c r="AG17" i="4"/>
  <c r="AC18" i="4"/>
  <c r="S18" i="4"/>
  <c r="P31" i="4"/>
  <c r="I271" i="3"/>
  <c r="K291" i="3"/>
  <c r="I143" i="3"/>
  <c r="I63" i="3"/>
  <c r="E289" i="3"/>
  <c r="J23" i="3"/>
  <c r="C288" i="3" s="1"/>
  <c r="J271" i="3"/>
  <c r="I289" i="3" s="1"/>
  <c r="I23" i="3"/>
  <c r="J197" i="3"/>
  <c r="G290" i="3" s="1"/>
  <c r="J37" i="3"/>
  <c r="C290" i="3" s="1"/>
  <c r="J289" i="3"/>
  <c r="E288" i="3"/>
  <c r="J263" i="3"/>
  <c r="I288" i="3" s="1"/>
  <c r="J287" i="3"/>
  <c r="I151" i="3"/>
  <c r="I31" i="3"/>
  <c r="J213" i="3"/>
  <c r="H287" i="3" s="1"/>
  <c r="I263" i="3"/>
  <c r="J143" i="3"/>
  <c r="F288" i="3" s="1"/>
  <c r="J13" i="3"/>
  <c r="C287" i="3" s="1"/>
  <c r="J173" i="3"/>
  <c r="G287" i="3" s="1"/>
  <c r="I13" i="3"/>
  <c r="J223" i="3"/>
  <c r="H288" i="3" s="1"/>
  <c r="J77" i="3"/>
  <c r="D290" i="3" s="1"/>
  <c r="N176" i="3"/>
  <c r="I191" i="3"/>
  <c r="I53" i="3"/>
  <c r="J53" i="3"/>
  <c r="D287" i="3" s="1"/>
  <c r="J288" i="3"/>
  <c r="K32" i="4"/>
  <c r="J277" i="3"/>
  <c r="I290" i="3" s="1"/>
  <c r="J5" i="2"/>
  <c r="AL7" i="4" s="1"/>
  <c r="N35" i="2"/>
  <c r="J25" i="2"/>
  <c r="BJ7" i="4" s="1"/>
  <c r="N30" i="2"/>
  <c r="J191" i="3"/>
  <c r="G289" i="3" s="1"/>
  <c r="J151" i="3"/>
  <c r="F289" i="3" s="1"/>
  <c r="N256" i="3"/>
  <c r="E51" i="2" s="1"/>
  <c r="J157" i="3"/>
  <c r="F290" i="3" s="1"/>
  <c r="I71" i="3"/>
  <c r="I133" i="3"/>
  <c r="E290" i="3"/>
  <c r="I253" i="3"/>
  <c r="I213" i="3"/>
  <c r="N216" i="3"/>
  <c r="E50" i="2" s="1"/>
  <c r="J290" i="3"/>
  <c r="J133" i="3"/>
  <c r="F287" i="3" s="1"/>
  <c r="E287" i="3"/>
  <c r="J253" i="3"/>
  <c r="I287" i="3" s="1"/>
  <c r="J14" i="2"/>
  <c r="AR7" i="4" s="1"/>
  <c r="J22" i="2"/>
  <c r="BD7" i="4" s="1"/>
  <c r="K33" i="4"/>
  <c r="K25" i="4"/>
  <c r="K26" i="4"/>
  <c r="J237" i="3"/>
  <c r="H290" i="3" s="1"/>
  <c r="N136" i="3"/>
  <c r="I183" i="3"/>
  <c r="I173" i="3"/>
  <c r="J183" i="3"/>
  <c r="G288" i="3" s="1"/>
  <c r="I231" i="3"/>
  <c r="N56" i="3"/>
  <c r="J231" i="3"/>
  <c r="H289" i="3" s="1"/>
  <c r="I223" i="3"/>
  <c r="J30" i="2"/>
  <c r="BP7" i="4" s="1"/>
  <c r="J19" i="2"/>
  <c r="AX7" i="4" s="1"/>
  <c r="H45" i="2" l="1"/>
  <c r="J35" i="2"/>
  <c r="BD15" i="4"/>
  <c r="BD16" i="4"/>
  <c r="BD12" i="4"/>
  <c r="BD13" i="4"/>
  <c r="BD10" i="4"/>
  <c r="BD14" i="4"/>
  <c r="BD11" i="4"/>
  <c r="BP16" i="4"/>
  <c r="BP12" i="4"/>
  <c r="BP11" i="4"/>
  <c r="BP10" i="4"/>
  <c r="BP14" i="4"/>
  <c r="BP13" i="4"/>
  <c r="BP15" i="4"/>
  <c r="BJ16" i="4"/>
  <c r="BJ13" i="4"/>
  <c r="BJ14" i="4"/>
  <c r="BJ15" i="4"/>
  <c r="BJ10" i="4"/>
  <c r="BJ11" i="4"/>
  <c r="BJ12" i="4"/>
  <c r="AR16" i="4"/>
  <c r="AR10" i="4"/>
  <c r="AR14" i="4"/>
  <c r="AR11" i="4"/>
  <c r="AR15" i="4"/>
  <c r="AR12" i="4"/>
  <c r="AR13" i="4"/>
  <c r="AX15" i="4"/>
  <c r="AX16" i="4"/>
  <c r="AX10" i="4"/>
  <c r="AX12" i="4"/>
  <c r="AX11" i="4"/>
  <c r="AX14" i="4"/>
  <c r="AX13" i="4"/>
  <c r="AL16" i="4"/>
  <c r="AL12" i="4"/>
  <c r="AL15" i="4"/>
  <c r="AL10" i="4"/>
  <c r="AL13" i="4"/>
  <c r="AL11" i="4"/>
  <c r="AL14" i="4"/>
  <c r="J292" i="3"/>
  <c r="I292" i="3"/>
  <c r="G292" i="3"/>
  <c r="C292" i="3"/>
  <c r="D292" i="3"/>
  <c r="K37" i="2"/>
  <c r="O37" i="2" s="1"/>
  <c r="K36" i="2"/>
  <c r="O36" i="2" s="1"/>
  <c r="K38" i="2"/>
  <c r="O38" i="2" s="1"/>
  <c r="K31" i="2"/>
  <c r="O31" i="2" s="1"/>
  <c r="K32" i="2"/>
  <c r="O32" i="2" s="1"/>
  <c r="N177" i="3"/>
  <c r="D49" i="2" s="1"/>
  <c r="E49" i="2"/>
  <c r="N137" i="3"/>
  <c r="D48" i="2" s="1"/>
  <c r="E48" i="2"/>
  <c r="D47" i="2"/>
  <c r="E47" i="2"/>
  <c r="N57" i="3"/>
  <c r="D46" i="2" s="1"/>
  <c r="E46" i="2"/>
  <c r="F292" i="3"/>
  <c r="H292" i="3"/>
  <c r="N17" i="3"/>
  <c r="D45" i="2" s="1"/>
  <c r="K287" i="3"/>
  <c r="K290" i="3"/>
  <c r="E292" i="3"/>
  <c r="K289" i="3"/>
  <c r="K288" i="3"/>
  <c r="CB7" i="4" l="1"/>
  <c r="CB16" i="4" s="1"/>
  <c r="CC16" i="4" s="1"/>
  <c r="BV7" i="4"/>
  <c r="BK14" i="4"/>
  <c r="BN14" i="4"/>
  <c r="BL14" i="4"/>
  <c r="BT12" i="4"/>
  <c r="BR12" i="4"/>
  <c r="BQ12" i="4"/>
  <c r="BF15" i="4"/>
  <c r="BE15" i="4"/>
  <c r="BH15" i="4"/>
  <c r="BK13" i="4"/>
  <c r="BN13" i="4"/>
  <c r="BL13" i="4"/>
  <c r="BQ16" i="4"/>
  <c r="BR16" i="4"/>
  <c r="BT16" i="4"/>
  <c r="BL16" i="4"/>
  <c r="BK16" i="4"/>
  <c r="BN16" i="4"/>
  <c r="F23" i="4"/>
  <c r="BE11" i="4"/>
  <c r="BF11" i="4"/>
  <c r="BH11" i="4"/>
  <c r="BR15" i="4"/>
  <c r="BQ15" i="4"/>
  <c r="BT15" i="4"/>
  <c r="BH14" i="4"/>
  <c r="BE14" i="4"/>
  <c r="BF14" i="4"/>
  <c r="BK12" i="4"/>
  <c r="BN12" i="4"/>
  <c r="BL12" i="4"/>
  <c r="BR13" i="4"/>
  <c r="BT13" i="4"/>
  <c r="BQ13" i="4"/>
  <c r="F22" i="4"/>
  <c r="BH10" i="4"/>
  <c r="BD17" i="4"/>
  <c r="BE10" i="4"/>
  <c r="BF10" i="4"/>
  <c r="G24" i="4"/>
  <c r="BL11" i="4"/>
  <c r="BK11" i="4"/>
  <c r="BN11" i="4"/>
  <c r="BR14" i="4"/>
  <c r="BT14" i="4"/>
  <c r="BQ14" i="4"/>
  <c r="BE13" i="4"/>
  <c r="BH13" i="4"/>
  <c r="BF13" i="4"/>
  <c r="BN10" i="4"/>
  <c r="BJ17" i="4"/>
  <c r="BL10" i="4"/>
  <c r="BK10" i="4"/>
  <c r="G22" i="4"/>
  <c r="BQ10" i="4"/>
  <c r="BT10" i="4"/>
  <c r="BR10" i="4"/>
  <c r="H22" i="4"/>
  <c r="BP17" i="4"/>
  <c r="BF12" i="4"/>
  <c r="BE12" i="4"/>
  <c r="BH12" i="4"/>
  <c r="BK15" i="4"/>
  <c r="BL15" i="4"/>
  <c r="BN15" i="4"/>
  <c r="H24" i="4"/>
  <c r="BQ11" i="4"/>
  <c r="BT11" i="4"/>
  <c r="BR11" i="4"/>
  <c r="BH16" i="4"/>
  <c r="BF16" i="4"/>
  <c r="BE16" i="4"/>
  <c r="AZ16" i="4"/>
  <c r="BB16" i="4"/>
  <c r="AY16" i="4"/>
  <c r="AS16" i="4"/>
  <c r="AV16" i="4"/>
  <c r="AT16" i="4"/>
  <c r="AY15" i="4"/>
  <c r="AZ15" i="4"/>
  <c r="BB15" i="4"/>
  <c r="AT13" i="4"/>
  <c r="AS13" i="4"/>
  <c r="AV13" i="4"/>
  <c r="AZ13" i="4"/>
  <c r="AY13" i="4"/>
  <c r="BB13" i="4"/>
  <c r="AS12" i="4"/>
  <c r="AV12" i="4"/>
  <c r="AT12" i="4"/>
  <c r="BB14" i="4"/>
  <c r="AY14" i="4"/>
  <c r="AZ14" i="4"/>
  <c r="AS15" i="4"/>
  <c r="AT15" i="4"/>
  <c r="AV15" i="4"/>
  <c r="BB11" i="4"/>
  <c r="E24" i="4"/>
  <c r="AZ11" i="4"/>
  <c r="AY11" i="4"/>
  <c r="D23" i="4"/>
  <c r="AS11" i="4"/>
  <c r="AT11" i="4"/>
  <c r="AV11" i="4"/>
  <c r="AY12" i="4"/>
  <c r="AZ12" i="4"/>
  <c r="BB12" i="4"/>
  <c r="AT14" i="4"/>
  <c r="AS14" i="4"/>
  <c r="AV14" i="4"/>
  <c r="AY10" i="4"/>
  <c r="AX17" i="4"/>
  <c r="BB10" i="4"/>
  <c r="AZ10" i="4"/>
  <c r="E22" i="4"/>
  <c r="AT10" i="4"/>
  <c r="D22" i="4"/>
  <c r="AV10" i="4"/>
  <c r="AR17" i="4"/>
  <c r="AS10" i="4"/>
  <c r="AN14" i="4"/>
  <c r="AM14" i="4"/>
  <c r="AP14" i="4"/>
  <c r="C23" i="4"/>
  <c r="AP11" i="4"/>
  <c r="AM11" i="4"/>
  <c r="AN11" i="4"/>
  <c r="AN13" i="4"/>
  <c r="AM13" i="4"/>
  <c r="AP13" i="4"/>
  <c r="AM10" i="4"/>
  <c r="AN10" i="4"/>
  <c r="AL17" i="4"/>
  <c r="C22" i="4"/>
  <c r="AP15" i="4"/>
  <c r="AM15" i="4"/>
  <c r="AN15" i="4"/>
  <c r="AN12" i="4"/>
  <c r="AM12" i="4"/>
  <c r="AP12" i="4"/>
  <c r="AN16" i="4"/>
  <c r="AM16" i="4"/>
  <c r="AP16" i="4"/>
  <c r="K35" i="2"/>
  <c r="K30" i="2"/>
  <c r="I49" i="2"/>
  <c r="H49" i="2" s="1"/>
  <c r="I48" i="2"/>
  <c r="H48" i="2" s="1"/>
  <c r="I47" i="2"/>
  <c r="H47" i="2" s="1"/>
  <c r="I46" i="2"/>
  <c r="H46" i="2" s="1"/>
  <c r="K292" i="3"/>
  <c r="B16" i="7" s="1"/>
  <c r="CF16" i="4" l="1"/>
  <c r="CD16" i="4"/>
  <c r="CE16" i="4" s="1"/>
  <c r="CB14" i="4"/>
  <c r="CD14" i="4" s="1"/>
  <c r="CB13" i="4"/>
  <c r="CF13" i="4" s="1"/>
  <c r="CB11" i="4"/>
  <c r="CD11" i="4" s="1"/>
  <c r="CB10" i="4"/>
  <c r="CC10" i="4" s="1"/>
  <c r="CB15" i="4"/>
  <c r="CD15" i="4" s="1"/>
  <c r="CB12" i="4"/>
  <c r="CF12" i="4" s="1"/>
  <c r="BV14" i="4"/>
  <c r="BV16" i="4"/>
  <c r="BV13" i="4"/>
  <c r="BV15" i="4"/>
  <c r="BV11" i="4"/>
  <c r="BV12" i="4"/>
  <c r="BV10" i="4"/>
  <c r="F27" i="4"/>
  <c r="BG13" i="4"/>
  <c r="BM13" i="4"/>
  <c r="BA16" i="4"/>
  <c r="BS14" i="4"/>
  <c r="H27" i="4"/>
  <c r="BA14" i="4"/>
  <c r="BA13" i="4"/>
  <c r="BG16" i="4"/>
  <c r="BG12" i="4"/>
  <c r="BM11" i="4"/>
  <c r="BS15" i="4"/>
  <c r="E27" i="4"/>
  <c r="BG15" i="4"/>
  <c r="AU16" i="4"/>
  <c r="BM16" i="4"/>
  <c r="BS16" i="4"/>
  <c r="BS12" i="4"/>
  <c r="AT17" i="4"/>
  <c r="AO12" i="4"/>
  <c r="K24" i="4"/>
  <c r="BG11" i="4"/>
  <c r="BM10" i="4"/>
  <c r="BK17" i="4"/>
  <c r="BL17" i="4"/>
  <c r="BS13" i="4"/>
  <c r="AO14" i="4"/>
  <c r="BA11" i="4"/>
  <c r="BM15" i="4"/>
  <c r="BN17" i="4"/>
  <c r="AU15" i="4"/>
  <c r="BR17" i="4"/>
  <c r="BF17" i="4"/>
  <c r="AU12" i="4"/>
  <c r="BA15" i="4"/>
  <c r="BT17" i="4"/>
  <c r="BG10" i="4"/>
  <c r="BE17" i="4"/>
  <c r="BG14" i="4"/>
  <c r="D27" i="4"/>
  <c r="AU13" i="4"/>
  <c r="BS11" i="4"/>
  <c r="BQ17" i="4"/>
  <c r="BS10" i="4"/>
  <c r="BM12" i="4"/>
  <c r="G27" i="4"/>
  <c r="BH17" i="4"/>
  <c r="BM14" i="4"/>
  <c r="BA10" i="4"/>
  <c r="AZ17" i="4"/>
  <c r="BA12" i="4"/>
  <c r="AU11" i="4"/>
  <c r="BB17" i="4"/>
  <c r="AS17" i="4"/>
  <c r="AU10" i="4"/>
  <c r="AY17" i="4"/>
  <c r="AV17" i="4"/>
  <c r="AU14" i="4"/>
  <c r="AO16" i="4"/>
  <c r="AO11" i="4"/>
  <c r="C27" i="4"/>
  <c r="AN17" i="4"/>
  <c r="AO10" i="4"/>
  <c r="AM17" i="4"/>
  <c r="AP17" i="4"/>
  <c r="AO15" i="4"/>
  <c r="AO13" i="4"/>
  <c r="O35" i="2"/>
  <c r="O30" i="2"/>
  <c r="G26" i="2"/>
  <c r="H26" i="2" s="1"/>
  <c r="N26" i="2" s="1"/>
  <c r="G23" i="2"/>
  <c r="H23" i="2" s="1"/>
  <c r="N23" i="2" s="1"/>
  <c r="G24" i="2"/>
  <c r="H24" i="2" s="1"/>
  <c r="N24" i="2" s="1"/>
  <c r="G20" i="2"/>
  <c r="G21" i="2"/>
  <c r="G16" i="2"/>
  <c r="G17" i="2"/>
  <c r="H17" i="2" s="1"/>
  <c r="G15" i="2"/>
  <c r="H15" i="2" s="1"/>
  <c r="K15" i="2" s="1"/>
  <c r="G18" i="2"/>
  <c r="G9" i="2"/>
  <c r="H9" i="2" s="1"/>
  <c r="G8" i="2"/>
  <c r="G11" i="2"/>
  <c r="H11" i="2" s="1"/>
  <c r="N11" i="2" s="1"/>
  <c r="G10" i="2"/>
  <c r="H10" i="2" s="1"/>
  <c r="G12" i="2"/>
  <c r="G13" i="2"/>
  <c r="G7" i="2"/>
  <c r="G6" i="2"/>
  <c r="H6" i="2" s="1"/>
  <c r="K6" i="2" s="1"/>
  <c r="O6" i="2" s="1"/>
  <c r="H20" i="2" l="1"/>
  <c r="N20" i="2" s="1"/>
  <c r="H13" i="2"/>
  <c r="K13" i="2" s="1"/>
  <c r="O13" i="2" s="1"/>
  <c r="H21" i="2"/>
  <c r="N21" i="2" s="1"/>
  <c r="CC14" i="4"/>
  <c r="CE14" i="4" s="1"/>
  <c r="CF15" i="4"/>
  <c r="CF14" i="4"/>
  <c r="CC13" i="4"/>
  <c r="CD13" i="4"/>
  <c r="H7" i="2"/>
  <c r="N7" i="2" s="1"/>
  <c r="N17" i="2"/>
  <c r="H12" i="2"/>
  <c r="N12" i="2" s="1"/>
  <c r="H16" i="2"/>
  <c r="N16" i="2" s="1"/>
  <c r="N15" i="2"/>
  <c r="H8" i="2"/>
  <c r="N8" i="2" s="1"/>
  <c r="N9" i="2"/>
  <c r="N10" i="2"/>
  <c r="N6" i="2"/>
  <c r="H18" i="2"/>
  <c r="K18" i="2" s="1"/>
  <c r="O18" i="2" s="1"/>
  <c r="J23" i="4"/>
  <c r="CC12" i="4"/>
  <c r="CD12" i="4"/>
  <c r="CC11" i="4"/>
  <c r="CE11" i="4" s="1"/>
  <c r="BX15" i="4"/>
  <c r="BW15" i="4"/>
  <c r="BZ15" i="4"/>
  <c r="CB17" i="4"/>
  <c r="BX13" i="4"/>
  <c r="BZ13" i="4"/>
  <c r="BW13" i="4"/>
  <c r="J22" i="4"/>
  <c r="CF11" i="4"/>
  <c r="BW16" i="4"/>
  <c r="BZ16" i="4"/>
  <c r="BX16" i="4"/>
  <c r="CD10" i="4"/>
  <c r="CE10" i="4" s="1"/>
  <c r="J29" i="4" s="1"/>
  <c r="BZ14" i="4"/>
  <c r="BX14" i="4"/>
  <c r="BW14" i="4"/>
  <c r="CC15" i="4"/>
  <c r="CE15" i="4" s="1"/>
  <c r="I22" i="4"/>
  <c r="BX10" i="4"/>
  <c r="BV17" i="4"/>
  <c r="BZ10" i="4"/>
  <c r="BW10" i="4"/>
  <c r="BZ12" i="4"/>
  <c r="BX12" i="4"/>
  <c r="BW12" i="4"/>
  <c r="CF10" i="4"/>
  <c r="BX11" i="4"/>
  <c r="BW11" i="4"/>
  <c r="I23" i="4"/>
  <c r="K23" i="4" s="1"/>
  <c r="BZ11" i="4"/>
  <c r="N25" i="2"/>
  <c r="E31" i="4"/>
  <c r="T38" i="4"/>
  <c r="F30" i="4"/>
  <c r="R37" i="4"/>
  <c r="G31" i="4"/>
  <c r="R39" i="4"/>
  <c r="H31" i="4"/>
  <c r="D38" i="4"/>
  <c r="G37" i="4"/>
  <c r="G39" i="4"/>
  <c r="U38" i="4"/>
  <c r="U39" i="4"/>
  <c r="G38" i="4"/>
  <c r="F29" i="4"/>
  <c r="U37" i="4"/>
  <c r="BG17" i="4"/>
  <c r="BS17" i="4"/>
  <c r="W37" i="4"/>
  <c r="I38" i="4"/>
  <c r="I39" i="4"/>
  <c r="H29" i="4"/>
  <c r="W38" i="4"/>
  <c r="W39" i="4"/>
  <c r="I37" i="4"/>
  <c r="C37" i="4"/>
  <c r="E37" i="4"/>
  <c r="V37" i="4"/>
  <c r="H38" i="4"/>
  <c r="H39" i="4"/>
  <c r="BM17" i="4"/>
  <c r="H37" i="4"/>
  <c r="G29" i="4"/>
  <c r="V39" i="4"/>
  <c r="V38" i="4"/>
  <c r="T39" i="4"/>
  <c r="D30" i="4"/>
  <c r="D37" i="4"/>
  <c r="R38" i="4"/>
  <c r="AU17" i="4"/>
  <c r="D29" i="4"/>
  <c r="D39" i="4"/>
  <c r="E29" i="4"/>
  <c r="BA17" i="4"/>
  <c r="S37" i="4"/>
  <c r="E38" i="4"/>
  <c r="S38" i="4"/>
  <c r="E39" i="4"/>
  <c r="S39" i="4"/>
  <c r="T37" i="4"/>
  <c r="C30" i="4"/>
  <c r="C38" i="4"/>
  <c r="Q39" i="4"/>
  <c r="Q37" i="4"/>
  <c r="C29" i="4"/>
  <c r="Q38" i="4"/>
  <c r="AO17" i="4"/>
  <c r="C39" i="4"/>
  <c r="K26" i="2"/>
  <c r="O26" i="2" s="1"/>
  <c r="K24" i="2"/>
  <c r="O24" i="2" s="1"/>
  <c r="K23" i="2"/>
  <c r="K20" i="2"/>
  <c r="O20" i="2" s="1"/>
  <c r="K11" i="2"/>
  <c r="O11" i="2" s="1"/>
  <c r="K21" i="2" l="1"/>
  <c r="N13" i="2"/>
  <c r="K17" i="2"/>
  <c r="O17" i="2" s="1"/>
  <c r="O15" i="2"/>
  <c r="K7" i="2"/>
  <c r="O7" i="2" s="1"/>
  <c r="K9" i="2"/>
  <c r="O9" i="2" s="1"/>
  <c r="K8" i="2"/>
  <c r="O8" i="2" s="1"/>
  <c r="CE13" i="4"/>
  <c r="K10" i="2"/>
  <c r="O10" i="2" s="1"/>
  <c r="K16" i="2"/>
  <c r="O16" i="2" s="1"/>
  <c r="K12" i="2"/>
  <c r="O12" i="2" s="1"/>
  <c r="CF17" i="4"/>
  <c r="BY10" i="4"/>
  <c r="I29" i="4" s="1"/>
  <c r="K29" i="4" s="1"/>
  <c r="CE12" i="4"/>
  <c r="Y38" i="4" s="1"/>
  <c r="J27" i="4"/>
  <c r="N18" i="2"/>
  <c r="N14" i="2" s="1"/>
  <c r="BY15" i="4"/>
  <c r="BY11" i="4"/>
  <c r="BY12" i="4"/>
  <c r="BY14" i="4"/>
  <c r="BZ17" i="4"/>
  <c r="CC17" i="4"/>
  <c r="BY16" i="4"/>
  <c r="CD17" i="4"/>
  <c r="BX17" i="4"/>
  <c r="I27" i="4"/>
  <c r="K22" i="4"/>
  <c r="K27" i="4" s="1"/>
  <c r="BY13" i="4"/>
  <c r="BW17" i="4"/>
  <c r="K39" i="4"/>
  <c r="Y37" i="4"/>
  <c r="J30" i="4"/>
  <c r="E34" i="4"/>
  <c r="O19" i="2"/>
  <c r="D34" i="4"/>
  <c r="G34" i="4"/>
  <c r="F34" i="4"/>
  <c r="H34" i="4"/>
  <c r="K31" i="4"/>
  <c r="Q31" i="4" s="1"/>
  <c r="Z39" i="4"/>
  <c r="Z37" i="4"/>
  <c r="Z38" i="4"/>
  <c r="C34" i="4"/>
  <c r="K25" i="2"/>
  <c r="K22" i="2"/>
  <c r="N22" i="2"/>
  <c r="N19" i="2"/>
  <c r="K19" i="2"/>
  <c r="N5" i="2"/>
  <c r="N40" i="2" l="1"/>
  <c r="B7" i="7" s="1"/>
  <c r="K38" i="4"/>
  <c r="K37" i="4"/>
  <c r="K14" i="2"/>
  <c r="K5" i="2"/>
  <c r="CE17" i="4"/>
  <c r="Y39" i="4"/>
  <c r="I30" i="4"/>
  <c r="I34" i="4" s="1"/>
  <c r="X38" i="4"/>
  <c r="X37" i="4"/>
  <c r="J37" i="4"/>
  <c r="J39" i="4"/>
  <c r="L39" i="4" s="1"/>
  <c r="X39" i="4"/>
  <c r="J38" i="4"/>
  <c r="BY17" i="4"/>
  <c r="J34" i="4"/>
  <c r="N29" i="4"/>
  <c r="O25" i="2"/>
  <c r="O22" i="2"/>
  <c r="O14" i="2"/>
  <c r="O5" i="2"/>
  <c r="O40" i="2" l="1"/>
  <c r="B8" i="7" s="1"/>
  <c r="L37" i="4"/>
  <c r="B9" i="7" s="1"/>
  <c r="B15" i="7" s="1"/>
  <c r="L38" i="4"/>
  <c r="B10" i="7" s="1"/>
  <c r="K30" i="4"/>
  <c r="K34" i="4" s="1"/>
  <c r="P30" i="4"/>
  <c r="P32" i="4" s="1"/>
  <c r="B13" i="7"/>
  <c r="B14" i="7" l="1"/>
  <c r="Q30" i="4"/>
  <c r="Q3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79" authorId="0" shapeId="0" xr:uid="{00000000-0006-0000-0200-000001000000}">
      <text>
        <r>
          <rPr>
            <b/>
            <sz val="8"/>
            <color indexed="81"/>
            <rFont val="Tahoma"/>
            <family val="2"/>
          </rPr>
          <t>Autor:</t>
        </r>
        <r>
          <rPr>
            <sz val="8"/>
            <color indexed="81"/>
            <rFont val="Tahoma"/>
            <family val="2"/>
          </rPr>
          <t xml:space="preserve">
1 GJ / tDM = 1 MJ / kg DM</t>
        </r>
      </text>
    </comment>
    <comment ref="B448" authorId="0" shapeId="0" xr:uid="{00000000-0006-0000-0200-000002000000}">
      <text>
        <r>
          <rPr>
            <b/>
            <sz val="9"/>
            <color indexed="81"/>
            <rFont val="Segoe UI"/>
            <family val="2"/>
          </rPr>
          <t>Autor:</t>
        </r>
        <r>
          <rPr>
            <sz val="9"/>
            <color indexed="81"/>
            <rFont val="Segoe UI"/>
            <family val="2"/>
          </rPr>
          <t xml:space="preserve">
Not needed at the moment</t>
        </r>
      </text>
    </comment>
  </commentList>
</comments>
</file>

<file path=xl/sharedStrings.xml><?xml version="1.0" encoding="utf-8"?>
<sst xmlns="http://schemas.openxmlformats.org/spreadsheetml/2006/main" count="1853" uniqueCount="731">
  <si>
    <t>Average number</t>
  </si>
  <si>
    <t>Average live weight BEGIN / END (kg)</t>
  </si>
  <si>
    <t>Nema</t>
  </si>
  <si>
    <t>total kgDM ingested  /day/animal</t>
  </si>
  <si>
    <t>N excreted kgN/yr</t>
  </si>
  <si>
    <t>CH4 enteric fermentation kg/year</t>
  </si>
  <si>
    <t>Volatils Solids Excretion kgDM/d</t>
  </si>
  <si>
    <t>CH4 manure management kg/year</t>
  </si>
  <si>
    <t>DAIRY CATTLE</t>
  </si>
  <si>
    <t>Dairy cows 4000 kg milk</t>
  </si>
  <si>
    <t>Dairy cows 6000 kg milk</t>
  </si>
  <si>
    <t>Dairy cow 8000 kg milk</t>
  </si>
  <si>
    <t>Dairy cow 10000 kg milk</t>
  </si>
  <si>
    <t>MEAT CATTLE</t>
  </si>
  <si>
    <t>Forage</t>
  </si>
  <si>
    <t>Purchased</t>
  </si>
  <si>
    <t>Calculation of average digestibility of the diet</t>
  </si>
  <si>
    <t>GJ / year</t>
  </si>
  <si>
    <t>tCO2 / year</t>
  </si>
  <si>
    <t>type of feed</t>
  </si>
  <si>
    <t>quantity (tDM)</t>
  </si>
  <si>
    <t>%DE</t>
  </si>
  <si>
    <t>Grazing (grasslands)</t>
  </si>
  <si>
    <t>pasture fed animals-moderate quality forage (mid season legumes and grasses)-medium moderate DE60%</t>
  </si>
  <si>
    <t>Maize silage</t>
  </si>
  <si>
    <t>Hay from natural or temporary grasslands</t>
  </si>
  <si>
    <t>Grass silage</t>
  </si>
  <si>
    <t>Barn dried hay</t>
  </si>
  <si>
    <t>Beet feed</t>
  </si>
  <si>
    <t>Average DE (%)</t>
  </si>
  <si>
    <t>Ym</t>
  </si>
  <si>
    <t xml:space="preserve">Maize for grain </t>
  </si>
  <si>
    <t>nothing</t>
  </si>
  <si>
    <t>Dried beet flesh</t>
  </si>
  <si>
    <t>Rape seed</t>
  </si>
  <si>
    <t>Soya bean meal</t>
  </si>
  <si>
    <t>Oat</t>
  </si>
  <si>
    <t>Complex feedstuffs</t>
  </si>
  <si>
    <t>Suckler cow, 18% crude protein, pellet form</t>
  </si>
  <si>
    <t>Suckler cow, 20% crude protein, pellet form</t>
  </si>
  <si>
    <t>Suckler cow, 25% crude protein, pellet form</t>
  </si>
  <si>
    <t>Suckler cow, 30% crude protein, pellet form</t>
  </si>
  <si>
    <t>Suckler cow, 40% crude protein, pellet form</t>
  </si>
  <si>
    <t>Personal mixt feedstuffs</t>
  </si>
  <si>
    <t>milk powder</t>
  </si>
  <si>
    <t>Milk powder</t>
  </si>
  <si>
    <t>T52 : Standard data for cattle</t>
  </si>
  <si>
    <t>Average live weight (kg)</t>
  </si>
  <si>
    <t>N excreted (kgN / anl)</t>
  </si>
  <si>
    <t>standard DMI (kg/day)</t>
  </si>
  <si>
    <t>Animal purchased (kg eCO2 / anl)</t>
  </si>
  <si>
    <t>Goats</t>
  </si>
  <si>
    <t>Dairy cattle</t>
  </si>
  <si>
    <t>Meat cattle</t>
  </si>
  <si>
    <t>Others ruminants</t>
  </si>
  <si>
    <t>Potential CH4 and N2O by livestock category</t>
  </si>
  <si>
    <t>Livestock category</t>
  </si>
  <si>
    <t>B0 m3CH4 /kgVS</t>
  </si>
  <si>
    <t>Digestibility of the diet (%DE)</t>
  </si>
  <si>
    <t>ashes %</t>
  </si>
  <si>
    <t>% urinary energy (%UE)</t>
  </si>
  <si>
    <t>REM</t>
  </si>
  <si>
    <t>Horses, others</t>
  </si>
  <si>
    <t>Pigs</t>
  </si>
  <si>
    <t>GOATS (milk and meat)</t>
  </si>
  <si>
    <t>kg DM ingested /day</t>
  </si>
  <si>
    <t>MEAT SHEEP</t>
  </si>
  <si>
    <t>Other Ruminants</t>
  </si>
  <si>
    <t>Monosgastrics</t>
  </si>
  <si>
    <t>N kg excreted / animal sold /year</t>
  </si>
  <si>
    <t>CH4 manure management DA kg/year</t>
  </si>
  <si>
    <t>PIGS</t>
  </si>
  <si>
    <t>Laying HENS</t>
  </si>
  <si>
    <t>poultry</t>
  </si>
  <si>
    <t>source : ADEME, Climagri, Diaterre TVA37</t>
  </si>
  <si>
    <t>T50 : Potential CH4 and N2O by livestock category</t>
  </si>
  <si>
    <t>T53 : Standard data for pigs and swine</t>
  </si>
  <si>
    <t>T54 : Standard data for hens, poultries and rabbits</t>
  </si>
  <si>
    <t>Swine</t>
  </si>
  <si>
    <t>Days for growth / on the farm</t>
  </si>
  <si>
    <t>live weight BEGIN (kg)</t>
  </si>
  <si>
    <t>live weight FINAL (kg)</t>
  </si>
  <si>
    <t>nb of flocks /yr</t>
  </si>
  <si>
    <t>Poultry, rabbits</t>
  </si>
  <si>
    <t>Days for growth / nb eggs</t>
  </si>
  <si>
    <t>N excreted in housind (g /anl)</t>
  </si>
  <si>
    <t>N excreted on free-range (g / anl)</t>
  </si>
  <si>
    <t>T51 : Standard conversion ratios for methan (constant)</t>
  </si>
  <si>
    <t>Diet energy ratio</t>
  </si>
  <si>
    <t>MJ/kgMS</t>
  </si>
  <si>
    <t>Methan energy</t>
  </si>
  <si>
    <t>MJ/kgCH4</t>
  </si>
  <si>
    <t>methan density</t>
  </si>
  <si>
    <t>kgCH4 / m3</t>
  </si>
  <si>
    <t>Txx : Standard values for milks (FAO, Wikipedia)</t>
  </si>
  <si>
    <t>type of milk</t>
  </si>
  <si>
    <t>density (kg / litre)</t>
  </si>
  <si>
    <t>Fat content (g / litre)</t>
  </si>
  <si>
    <t>Protein content (g / litre)</t>
  </si>
  <si>
    <t>Dyr matter (g / litre)</t>
  </si>
  <si>
    <t>Dairy cows</t>
  </si>
  <si>
    <t>Dairy sheeps</t>
  </si>
  <si>
    <t>Dairy goats</t>
  </si>
  <si>
    <t>Emission Factor for feedstuffs (JRC)</t>
  </si>
  <si>
    <t>FCER- CO2 FTR</t>
  </si>
  <si>
    <t>FCER total</t>
  </si>
  <si>
    <t>FPRO -CO2FTR</t>
  </si>
  <si>
    <t>FPRO total</t>
  </si>
  <si>
    <t>FENE-CO2 FTR</t>
  </si>
  <si>
    <t>FENE total</t>
  </si>
  <si>
    <t>Green rape</t>
  </si>
  <si>
    <t>Lucerne hay</t>
  </si>
  <si>
    <t>Wheat</t>
  </si>
  <si>
    <t xml:space="preserve">Barley </t>
  </si>
  <si>
    <t>triticale</t>
  </si>
  <si>
    <t>MILK SHEEP</t>
  </si>
  <si>
    <t>pasture fed animals-moderate quality forage (mid season legumes and grasses)-better moderate DE65%</t>
  </si>
  <si>
    <t>Dehydrated alfalfa</t>
  </si>
  <si>
    <t>feedlot animals (or similar)-high grain diet &gt; 90% concentrate-medium concentrate DE80%</t>
  </si>
  <si>
    <t>Soya seed</t>
  </si>
  <si>
    <t>Dairy sheep, 20% crude protein, pellet form</t>
  </si>
  <si>
    <t>Meat sheep, 16% crude protein, pellet form</t>
  </si>
  <si>
    <t>GOAT (milk and meat)</t>
  </si>
  <si>
    <t>pasture fed animals-high quality forage (vegetative legumes and grasses)-high high DE75%</t>
  </si>
  <si>
    <t>Goat, 24% crude protein, pellet form</t>
  </si>
  <si>
    <t>Other RUMINANTS</t>
  </si>
  <si>
    <t>Horse, 14% crude protein, pellet form</t>
  </si>
  <si>
    <t>Suckler calf, flour form</t>
  </si>
  <si>
    <t>Rapeseed cake</t>
  </si>
  <si>
    <t>Pregnant sow, pellet form</t>
  </si>
  <si>
    <t>Piglets, first stage feed, pellet form</t>
  </si>
  <si>
    <t>Piglets, 2nd stage feed, pellet form</t>
  </si>
  <si>
    <t>Pigs for fattening, pellet form</t>
  </si>
  <si>
    <t>Growing- finishing pig, pellet form</t>
  </si>
  <si>
    <t>POULTRIES</t>
  </si>
  <si>
    <t>Milling products</t>
  </si>
  <si>
    <t>Wheat-based, pellet form</t>
  </si>
  <si>
    <t>Maize-based, pellet form</t>
  </si>
  <si>
    <t>Wheat-based, flour form</t>
  </si>
  <si>
    <t>Maize-based, flour form</t>
  </si>
  <si>
    <t>teq CO2/yr</t>
  </si>
  <si>
    <t>total FEEDS for LIVESTOCK</t>
  </si>
  <si>
    <t>Forages</t>
  </si>
  <si>
    <t>Simple feedstuffs</t>
  </si>
  <si>
    <t>Personnal mixt feedstuffs</t>
  </si>
  <si>
    <t>total FEEDS by livestock category</t>
  </si>
  <si>
    <t>Source: ADEME (2012-Diaterre)</t>
  </si>
  <si>
    <t>Source: ADEME (2012), Diaterre</t>
  </si>
  <si>
    <t>Source : IPCC 2006, chapter 10.</t>
  </si>
  <si>
    <t xml:space="preserve">Source: </t>
  </si>
  <si>
    <t>T60 : EF for FORAGE purchased</t>
  </si>
  <si>
    <t>T61 : EF for SIMPLE FEEDSTUFFS purchased</t>
  </si>
  <si>
    <t>T62 : EF for COWS FEEDSTUFFS (purchased)</t>
  </si>
  <si>
    <t>T63 : EF for SWINE FEEDSTUFFS (purchased)</t>
  </si>
  <si>
    <t>T64 : EF for POULTRIES FEEDSTUFFS (purchased)</t>
  </si>
  <si>
    <t>T65 : EF for Sheep, Goats and other cattle FEEDSTUFFS (purchased)</t>
  </si>
  <si>
    <t>T67 : type of diets for %DE calculation of CATTLE</t>
  </si>
  <si>
    <t>T68 : type of diets for %DE calculation of SWINE</t>
  </si>
  <si>
    <t>T69 : type of diets for %DE calculation of POULTRY</t>
  </si>
  <si>
    <t>T70 : Ym (Enteric fermentation) for pigs and poultries</t>
  </si>
  <si>
    <t>TXT en français</t>
  </si>
  <si>
    <t>%DM / fresh product</t>
  </si>
  <si>
    <t>kg CO2 /tDM</t>
  </si>
  <si>
    <t>GJ /tDM</t>
  </si>
  <si>
    <t>N content / DM</t>
  </si>
  <si>
    <t>Default Value of DE</t>
  </si>
  <si>
    <t>Feedstuffs</t>
  </si>
  <si>
    <t>kg CO2 /t fresh matter</t>
  </si>
  <si>
    <t>GJ / t fresh matter</t>
  </si>
  <si>
    <t>kg CO2 / t crude product</t>
  </si>
  <si>
    <t>GJ / t crude product</t>
  </si>
  <si>
    <t>concatener</t>
  </si>
  <si>
    <t>category</t>
  </si>
  <si>
    <t>sub-category</t>
  </si>
  <si>
    <t>type of practices</t>
  </si>
  <si>
    <t>class of diet (annual mean)</t>
  </si>
  <si>
    <t>%DE selected</t>
  </si>
  <si>
    <t>Livestock</t>
  </si>
  <si>
    <t>Paturage</t>
  </si>
  <si>
    <t>blé</t>
  </si>
  <si>
    <t>VL 18 granulé</t>
  </si>
  <si>
    <t>Dairy cows, 18% crude protein, pellet form</t>
  </si>
  <si>
    <t>Porcelet 1er âge granulé</t>
  </si>
  <si>
    <t xml:space="preserve">A base blé, granulé </t>
  </si>
  <si>
    <t>Caprin 24% MAT, granulé</t>
  </si>
  <si>
    <t>animals fed-low quality forage-low quality forage (straw, mature grasses etc)-very low DE45%</t>
  </si>
  <si>
    <t>Cattle, ruminants</t>
  </si>
  <si>
    <t>animals fed-low quality forage</t>
  </si>
  <si>
    <t>low quality forage (straw, mature grasses etc)</t>
  </si>
  <si>
    <t>very low DE</t>
  </si>
  <si>
    <t>mature swine</t>
  </si>
  <si>
    <t>confinement</t>
  </si>
  <si>
    <t>low DE</t>
  </si>
  <si>
    <t>Poultry</t>
  </si>
  <si>
    <t>Layer hens</t>
  </si>
  <si>
    <t>pigs</t>
  </si>
  <si>
    <t>Ensilage herbe (+ enrubanné)</t>
  </si>
  <si>
    <t>orge</t>
  </si>
  <si>
    <t>VL 20 granulé</t>
  </si>
  <si>
    <t>Dairy cows, 20% crude protein, pellet form</t>
  </si>
  <si>
    <t>Porcelet 2ème âge granulé</t>
  </si>
  <si>
    <t>A base maïs, granulé</t>
  </si>
  <si>
    <t>Ovin viande 16% MAT, granulé</t>
  </si>
  <si>
    <t>animals fed-low quality forage-low quality forage (straw, mature grasses etc)-medium low DE50%</t>
  </si>
  <si>
    <t>medium low DE</t>
  </si>
  <si>
    <t>medium DE</t>
  </si>
  <si>
    <t>Ensilage maïs</t>
  </si>
  <si>
    <t>maïs grain</t>
  </si>
  <si>
    <t>VL 22 granulé</t>
  </si>
  <si>
    <t>Dairy cows, 22% crude protein, pellet form</t>
  </si>
  <si>
    <t>Porc croissance granulé</t>
  </si>
  <si>
    <t>A base blé, farine</t>
  </si>
  <si>
    <t>Ovin lait 20% MAT, granulé</t>
  </si>
  <si>
    <t>animals fed-low quality forage-low quality forage (straw, mature grasses etc)-better low DE55%</t>
  </si>
  <si>
    <t>better low DE</t>
  </si>
  <si>
    <t>high DE</t>
  </si>
  <si>
    <t>foin PN ou PT</t>
  </si>
  <si>
    <t>Triticale</t>
  </si>
  <si>
    <t>VL 25 granulé</t>
  </si>
  <si>
    <t>Dairy cows, 25% crude protein, pellet form</t>
  </si>
  <si>
    <t>Porc finition granulé</t>
  </si>
  <si>
    <t>A base maïs, farine</t>
  </si>
  <si>
    <t>Equin 14% MAT, granulé</t>
  </si>
  <si>
    <t>pasture fed animals-moderate quality forage (mid season legumes and grasses)-low moderate DE55%</t>
  </si>
  <si>
    <t>pasture fed animals</t>
  </si>
  <si>
    <t>moderate quality forage (mid season legumes and grasses)</t>
  </si>
  <si>
    <t>low moderate DE</t>
  </si>
  <si>
    <t>growing swine</t>
  </si>
  <si>
    <t>broiler chickens</t>
  </si>
  <si>
    <t>foin luzerne pure</t>
  </si>
  <si>
    <t>avoine</t>
  </si>
  <si>
    <t>VL 30 granulé</t>
  </si>
  <si>
    <t>Dairy cows, 30% crude protein, pellet form</t>
  </si>
  <si>
    <t>Truie gestation granulé</t>
  </si>
  <si>
    <t>Veau de boucherie, farine</t>
  </si>
  <si>
    <t>medium moderate DE</t>
  </si>
  <si>
    <t>foin séché en grange</t>
  </si>
  <si>
    <t>sorgho grain</t>
  </si>
  <si>
    <t>Sorghum seed</t>
  </si>
  <si>
    <t>VL 35 granulé</t>
  </si>
  <si>
    <t>Dairy cows, 35% crude protein, pellet form</t>
  </si>
  <si>
    <t>Truie lactation granulé</t>
  </si>
  <si>
    <t>Suckling sow, pellet form</t>
  </si>
  <si>
    <t>better moderate DE</t>
  </si>
  <si>
    <t>betteraves fourragères</t>
  </si>
  <si>
    <t>soja graines</t>
  </si>
  <si>
    <t>VL 40 granulé</t>
  </si>
  <si>
    <t>Dairy cows, 40% crude protein, pellet form</t>
  </si>
  <si>
    <t>Porcelet 1er âge farine</t>
  </si>
  <si>
    <t>Piglets, first stage feed, flour form</t>
  </si>
  <si>
    <t>pasture fed animals-high quality forage (vegetative legumes and grasses)-low high DE65%</t>
  </si>
  <si>
    <t>high quality forage (vegetative legumes and grasses)</t>
  </si>
  <si>
    <t>low high DE</t>
  </si>
  <si>
    <t>swine</t>
  </si>
  <si>
    <t>free-range</t>
  </si>
  <si>
    <t>turkeys</t>
  </si>
  <si>
    <t>colza fourrager</t>
  </si>
  <si>
    <t>pois graines</t>
  </si>
  <si>
    <t>Peas seed</t>
  </si>
  <si>
    <t>VA 18 granulé</t>
  </si>
  <si>
    <t>Porcelet 2ème âge farine</t>
  </si>
  <si>
    <t>Piglets, 2nd stage feed, flour form</t>
  </si>
  <si>
    <t>pasture fed animals-high quality forage (vegetative legumes and grasses)-medium high DE70%</t>
  </si>
  <si>
    <t>medium high DE</t>
  </si>
  <si>
    <t>sorgho fourrager</t>
  </si>
  <si>
    <t>Sorghum feed</t>
  </si>
  <si>
    <t>colza graines</t>
  </si>
  <si>
    <t>VA 20 granulé</t>
  </si>
  <si>
    <t>Porc croissance farine</t>
  </si>
  <si>
    <t>Pigs for fattening, flour form</t>
  </si>
  <si>
    <t>high high DE</t>
  </si>
  <si>
    <t>choux fourrager</t>
  </si>
  <si>
    <t>Fodder kale</t>
  </si>
  <si>
    <t>tournesol graines</t>
  </si>
  <si>
    <t>Sunflower seed</t>
  </si>
  <si>
    <t>VA 22 granulé</t>
  </si>
  <si>
    <t>Suckler cow, 22% crude protein, pellet form</t>
  </si>
  <si>
    <t>Porc finition farine</t>
  </si>
  <si>
    <t>Growing- finishing pig, flour form</t>
  </si>
  <si>
    <t>feedlot animals (or similar)-high grain diet &gt; 90% concentrate-low concentrate DE75%</t>
  </si>
  <si>
    <t>feedlot animals (or similar)</t>
  </si>
  <si>
    <t>high grain diet &gt; 90% concentrate</t>
  </si>
  <si>
    <t>low concentrate DE</t>
  </si>
  <si>
    <t>like confinement DE</t>
  </si>
  <si>
    <t>Geese</t>
  </si>
  <si>
    <t>Pulpes bett. déshyd.</t>
  </si>
  <si>
    <t>Dehydrated beet pulp</t>
  </si>
  <si>
    <t>tourteau soja brésil</t>
  </si>
  <si>
    <t>VA 25 granulé</t>
  </si>
  <si>
    <t>Truie gestation farine</t>
  </si>
  <si>
    <t>Pregnant sow, flour form</t>
  </si>
  <si>
    <t>medium concentrate DE</t>
  </si>
  <si>
    <t>Pulpes bett. surpressées</t>
  </si>
  <si>
    <t>Squeezed beet pulp</t>
  </si>
  <si>
    <t>tourteau colza</t>
  </si>
  <si>
    <t>VA 30 granulé</t>
  </si>
  <si>
    <t>Truie lactation farine</t>
  </si>
  <si>
    <t>Suckling sow, flour form</t>
  </si>
  <si>
    <t>feedlot animals (or similar)-high grain diet &gt; 90% concentrate-high concentrate DE85%</t>
  </si>
  <si>
    <t>high concentrate</t>
  </si>
  <si>
    <t>Mélasses betteraves</t>
  </si>
  <si>
    <t>Sugar beet molasses</t>
  </si>
  <si>
    <t>tourteau tournesol</t>
  </si>
  <si>
    <t>Sunflower cake</t>
  </si>
  <si>
    <t>VA 35 granulé</t>
  </si>
  <si>
    <t>Suckler cow, 35% crude protein, pellet form</t>
  </si>
  <si>
    <t>Drèches brasserie surpressées</t>
  </si>
  <si>
    <t>By-products of beer production (squeezed)</t>
  </si>
  <si>
    <t>tourteau de lin</t>
  </si>
  <si>
    <t>Flax seed</t>
  </si>
  <si>
    <t>VA 40 granulé</t>
  </si>
  <si>
    <t>Luzerne déshydratée</t>
  </si>
  <si>
    <t>issues de meunerie</t>
  </si>
  <si>
    <t>mash granulé</t>
  </si>
  <si>
    <t>Mash, pellet form</t>
  </si>
  <si>
    <t>Pulpe de betterave fraiche</t>
  </si>
  <si>
    <t>Fresh beet pulp</t>
  </si>
  <si>
    <t>corn gluten feed</t>
  </si>
  <si>
    <t>Corn gluten feed</t>
  </si>
  <si>
    <t>Paille traitée NH3</t>
  </si>
  <si>
    <t>NH3 treated straw</t>
  </si>
  <si>
    <t>pulpe de betterave sèche</t>
  </si>
  <si>
    <t>Paille non traitée</t>
  </si>
  <si>
    <t>Non-treated straw</t>
  </si>
  <si>
    <t>blé dur</t>
  </si>
  <si>
    <t>Hard wheat</t>
  </si>
  <si>
    <t>Paille Pois</t>
  </si>
  <si>
    <t>Pea straw</t>
  </si>
  <si>
    <t>default value</t>
  </si>
  <si>
    <t>free=range</t>
  </si>
  <si>
    <t>concentré Herbivores</t>
  </si>
  <si>
    <t>Feedstuffs for Ruminants</t>
  </si>
  <si>
    <t>poudre de lait /veaux</t>
  </si>
  <si>
    <t>Average Temperature (°C)</t>
  </si>
  <si>
    <t>Manure management system (MMS) by type of livestock</t>
  </si>
  <si>
    <t>%MCF for each MMS and livestock category</t>
  </si>
  <si>
    <t>EF3-N2O (%)</t>
  </si>
  <si>
    <t>pasture : liquid : solid</t>
  </si>
  <si>
    <t>N excreted / MMS</t>
  </si>
  <si>
    <t>N loss due to NH3</t>
  </si>
  <si>
    <t>N loss due to N2</t>
  </si>
  <si>
    <t>N spreadable (excreted - losses)</t>
  </si>
  <si>
    <t>kg N-N2O due to MMS storage</t>
  </si>
  <si>
    <t>pasture : liquid :solid</t>
  </si>
  <si>
    <t>N excreted</t>
  </si>
  <si>
    <t>N épandable</t>
  </si>
  <si>
    <t>Pasture, range, paddock</t>
  </si>
  <si>
    <t>all sgda</t>
  </si>
  <si>
    <t>erreur total</t>
  </si>
  <si>
    <t>without pasture</t>
  </si>
  <si>
    <t>N from LIVESTOCKS</t>
  </si>
  <si>
    <t>N excreted by MMS (kgN/yr)</t>
  </si>
  <si>
    <t>pasture</t>
  </si>
  <si>
    <t>liquid</t>
  </si>
  <si>
    <t>solid</t>
  </si>
  <si>
    <t>total N excreted by livestock category</t>
  </si>
  <si>
    <t>N spredable by MMS (kgN/yr)</t>
  </si>
  <si>
    <t>total N for LIVESTOCK</t>
  </si>
  <si>
    <t>Outputs MMS</t>
  </si>
  <si>
    <t>Inputs MMS</t>
  </si>
  <si>
    <t>N for NH3 emissions from spreading OM</t>
  </si>
  <si>
    <t xml:space="preserve"> kgN-NH3 poultry spreadable</t>
  </si>
  <si>
    <t>kgN-NH3 other livestock spreadable</t>
  </si>
  <si>
    <t>EF for N-NH3 emission furing applications</t>
  </si>
  <si>
    <t>total N-NH3 from spreading manures spreading</t>
  </si>
  <si>
    <t>total N spreadable by livestock category</t>
  </si>
  <si>
    <t>kg N-N2O from animals manure and pasture</t>
  </si>
  <si>
    <t>total N-N2O for LIVESTOCK</t>
  </si>
  <si>
    <t>kg N-NH3 from manure storage and pasture</t>
  </si>
  <si>
    <t>total N-NH3 for LIVESTOCK</t>
  </si>
  <si>
    <t>T71 : type of MMS by category of livestock</t>
  </si>
  <si>
    <t>T72 : N2O from pasture</t>
  </si>
  <si>
    <t>T73 : Help : definition of the different systems</t>
  </si>
  <si>
    <t>T74 : Emission Factors for N2O and CH4 storage</t>
  </si>
  <si>
    <t>N2O emissions</t>
  </si>
  <si>
    <t>Methan emissions from storage : MCF values (%) by temperature (annual average)</t>
  </si>
  <si>
    <t>T75 : N losses from MMS for livestock</t>
  </si>
  <si>
    <t>T76 : N losses from MMS for livestock</t>
  </si>
  <si>
    <t>T77 : N losses from MMS for livestock</t>
  </si>
  <si>
    <t>T78 : N losses from MMS for livestock</t>
  </si>
  <si>
    <t>T79 : N losses from MMS for livestock</t>
  </si>
  <si>
    <t>T80 : N losses from MMS for livestock</t>
  </si>
  <si>
    <t>T81 : N losses from MMS for livestock</t>
  </si>
  <si>
    <t>T82 : N losses from MMS for livestock</t>
  </si>
  <si>
    <t>T83 : N losses from MMS for livestock</t>
  </si>
  <si>
    <t>type of livestock</t>
  </si>
  <si>
    <t>EF3 (kg N2O-N/kg nitrogen excreted)</t>
  </si>
  <si>
    <t>type of system (all)</t>
  </si>
  <si>
    <t>Definition, comments</t>
  </si>
  <si>
    <t>pasture/ liquid / solide manure</t>
  </si>
  <si>
    <t>%N volatisation N-NH3 and N-NOx</t>
  </si>
  <si>
    <t>total N loss from MMS</t>
  </si>
  <si>
    <t xml:space="preserve">Source : </t>
  </si>
  <si>
    <t>The manure from pasture and range grazing animals is allowed to lie as deposited, and is not managed.</t>
  </si>
  <si>
    <t>see table on left</t>
  </si>
  <si>
    <t>IPCC 2006</t>
  </si>
  <si>
    <t>Daily spread</t>
  </si>
  <si>
    <t>Solid storage</t>
  </si>
  <si>
    <t>Dry lot</t>
  </si>
  <si>
    <t>Manure is routinely removed from a confinement facility and is applied to cropland or pasture within 24 hours of excretion.</t>
  </si>
  <si>
    <t xml:space="preserve">Uncovered anaerobic lagoon </t>
  </si>
  <si>
    <t>The storage of manure, typically for a period of several months, in unconfined piles or stacks. Manure is able to be stacked due to the presence of a sufficient amount of bedding material or loss of moisture by evaporation.</t>
  </si>
  <si>
    <t>Liquid / Slurry with natural crust cover</t>
  </si>
  <si>
    <t xml:space="preserve">Anaerobic digester </t>
  </si>
  <si>
    <t>Composting In-vessel</t>
  </si>
  <si>
    <t>A paved or unpaved open confinement area without any significant vegetative cover where accumulating manure may be removed periodically.</t>
  </si>
  <si>
    <t>Liquid / slurry without natural crust cover</t>
  </si>
  <si>
    <t>Cattle and swine deep bedding-no mixing, &lt;1 month</t>
  </si>
  <si>
    <t>Composting Static Pile</t>
  </si>
  <si>
    <t>Manure is stored as excreted or with some minimal addition of water in either tanks or earthen ponds outside the animal housing, usually for periods less than one year.</t>
  </si>
  <si>
    <t>Cattle and swine deep bedding-no mixing, &gt;1 month</t>
  </si>
  <si>
    <t>Composting intensive windrow</t>
  </si>
  <si>
    <t>Idem without natural crust cover</t>
  </si>
  <si>
    <t>Pit storage below animal confinements, &lt;1 month</t>
  </si>
  <si>
    <t>Composting passive windrow</t>
  </si>
  <si>
    <t>A type of liquid storage system designed and operated to combine waste stabilization and storage. Lagoon supernatant is usually used to remove manure from the associated confinement facilities to the lagoon. Anaerobic lagoons are designed with varying lengths of storage (up to a year or greater), depending on the climate region, the volatile solids loading rate, and other operational factors. The water from the lagoon may be recycled as flush water or used to irrigate and fertilise fields.</t>
  </si>
  <si>
    <t>Pit storage below animal confinements, &gt; 1 month</t>
  </si>
  <si>
    <t>Poultry manure with litter</t>
  </si>
  <si>
    <t>Collection and storage of manure usually with little or no added water typically below a slatted floor in an enclosed animal confinement facility, usually for periods less than one year.</t>
  </si>
  <si>
    <t>Poultry without litter</t>
  </si>
  <si>
    <t>Idem with more than 1 month</t>
  </si>
  <si>
    <t>Animal excreta with or without straw are collected and anaerobically digested in a large containment vessel or covered lagoon. Digesters are designed and operated for waste stabilization by the microbial reduction of complex organic compounds to CO2 and CH4, which is captured and flared or used as a fuel.</t>
  </si>
  <si>
    <t>As manure accumulates, bedding is continually added to absorb moisture over a production cycle and possibly for as long as 6 to 12 months. This manure management system also is known as a bedded pack manure management system and may be combined with a dry lot or pasture. No Mixing and less than 1 month</t>
  </si>
  <si>
    <t>Cattle and swine deep bedding-active mixing, &lt; 1 month</t>
  </si>
  <si>
    <t>Idem excepted "No Mixing and more than 1 month"</t>
  </si>
  <si>
    <t>Cattle and swine deep bedding-active mixing, &gt; 1 month</t>
  </si>
  <si>
    <t>Idem excepted "active Mixing and less than 1 month"</t>
  </si>
  <si>
    <t>Idem excepted "active Mixing and more than 1 month"</t>
  </si>
  <si>
    <t>Composting, typically in an enclosed channel, with forced aeration and continuous mixing.</t>
  </si>
  <si>
    <t>Composting in piles with forced aeration but no mixing.</t>
  </si>
  <si>
    <t>Composting in windrows with regular (at least daily) turning for mixing and aeration.</t>
  </si>
  <si>
    <t>Aerobic treatment - natural aeration systems</t>
  </si>
  <si>
    <t>Composting in windrows with infrequent turning for mixing and aeration.</t>
  </si>
  <si>
    <t>Aerobic treatment -  Forced aeration systems</t>
  </si>
  <si>
    <t>Similar to cattle and swine deep bedding except usually not combined with a dry lot or pasture. Typically used for all poultry breeder flocks and for the production of meat type chickens (broilers) and other fowl.</t>
  </si>
  <si>
    <t>May be similar to open pits in enclosed animal confinement facilities or may be designed and operated to dry the manure as it accumulates. The latter is known as a high-rise manure management system and is a form of passive windrow composting when designed and operated properly.</t>
  </si>
  <si>
    <t>The biological oxidation of manure collected as a liquid with either forced or natural aeration. Natural aeration is limited to aerobic and facultative ponds and wetland systems and is due primarily to photosynthesis. Hence, these systems typically become anoxic during periods without sunlight.</t>
  </si>
  <si>
    <t>Excreted on fields, sun dried dung are burned for fuel</t>
  </si>
  <si>
    <t>CH4 enteric fermentation</t>
  </si>
  <si>
    <t>CH4 manure management</t>
  </si>
  <si>
    <t>ANIMALS</t>
  </si>
  <si>
    <t>FFEDS</t>
  </si>
  <si>
    <t xml:space="preserve">Cereals </t>
  </si>
  <si>
    <t>Proteins (pulses, soy, distilled grains,…)</t>
  </si>
  <si>
    <t>Energy (molasses, starch, co-products,…)</t>
  </si>
  <si>
    <t>Sum</t>
  </si>
  <si>
    <t>Complex feed</t>
  </si>
  <si>
    <t>SUM</t>
  </si>
  <si>
    <t>Self mixed feed</t>
  </si>
  <si>
    <t>DE%</t>
  </si>
  <si>
    <t>CO2 emissions from FEEDS purchased for LIVESTOCKS</t>
  </si>
  <si>
    <t>MANURE</t>
  </si>
  <si>
    <t>FORAGE</t>
  </si>
  <si>
    <t>FEED - Simple</t>
  </si>
  <si>
    <t>FEED - Complex</t>
  </si>
  <si>
    <t>FEED - Self mixed</t>
  </si>
  <si>
    <t>Type Manure management system</t>
  </si>
  <si>
    <t>Share of dry matter (%)</t>
  </si>
  <si>
    <r>
      <rPr>
        <b/>
        <sz val="12"/>
        <color theme="1" tint="0.499984740745262"/>
        <rFont val="Times New Roman"/>
        <family val="1"/>
      </rPr>
      <t>Δ</t>
    </r>
    <r>
      <rPr>
        <b/>
        <sz val="12"/>
        <color theme="1" tint="0.499984740745262"/>
        <rFont val="Arial"/>
        <family val="2"/>
      </rPr>
      <t xml:space="preserve"> MMS</t>
    </r>
  </si>
  <si>
    <t>OUTPUT</t>
  </si>
  <si>
    <t>N Losses</t>
  </si>
  <si>
    <t>Variables</t>
  </si>
  <si>
    <t>d_c-4000</t>
  </si>
  <si>
    <t>d_c-6000</t>
  </si>
  <si>
    <t>d_c-8000</t>
  </si>
  <si>
    <t>d_c-10000</t>
  </si>
  <si>
    <t>d_c_calves</t>
  </si>
  <si>
    <t>m_c_calves</t>
  </si>
  <si>
    <t xml:space="preserve">SHEEP (milk and meat) </t>
  </si>
  <si>
    <t>SHEEP (milk and meat)</t>
  </si>
  <si>
    <t>sum for Laying HENS</t>
  </si>
  <si>
    <t>sum for POULTRIES</t>
  </si>
  <si>
    <t>sum for Other RUMINANTS</t>
  </si>
  <si>
    <t>sum for GOAT (milk and meat)</t>
  </si>
  <si>
    <t>sum for PIGS</t>
  </si>
  <si>
    <t>Sheep (milk and meat)</t>
  </si>
  <si>
    <t>goats</t>
  </si>
  <si>
    <t>weight_av</t>
  </si>
  <si>
    <t>Amount of feed per year (t/year))</t>
  </si>
  <si>
    <t>feed_year</t>
  </si>
  <si>
    <t>d_c</t>
  </si>
  <si>
    <t>m_c</t>
  </si>
  <si>
    <t>Sheep</t>
  </si>
  <si>
    <t>sheep</t>
  </si>
  <si>
    <t>horse</t>
  </si>
  <si>
    <t>pig</t>
  </si>
  <si>
    <t>hen</t>
  </si>
  <si>
    <t>B0_CH4</t>
  </si>
  <si>
    <t>ash</t>
  </si>
  <si>
    <t>UE</t>
  </si>
  <si>
    <t>DMIstand</t>
  </si>
  <si>
    <r>
      <t xml:space="preserve">kg  DM </t>
    </r>
    <r>
      <rPr>
        <vertAlign val="subscript"/>
        <sz val="11"/>
        <color theme="2" tint="-9.9978637043366805E-2"/>
        <rFont val="Arial"/>
        <family val="2"/>
      </rPr>
      <t>Intake</t>
    </r>
    <r>
      <rPr>
        <sz val="11"/>
        <color theme="2" tint="-9.9978637043366805E-2"/>
        <rFont val="Arial"/>
        <family val="2"/>
      </rPr>
      <t> / kg AWG</t>
    </r>
  </si>
  <si>
    <t>Nexcr_pigs</t>
  </si>
  <si>
    <t>Nexcr_cattle</t>
  </si>
  <si>
    <t>weight_av_pig</t>
  </si>
  <si>
    <t>weight_av_hen</t>
  </si>
  <si>
    <t>DM_hen</t>
  </si>
  <si>
    <t>DM_pig</t>
  </si>
  <si>
    <t>Nexcr_hen</t>
  </si>
  <si>
    <t>f_graz</t>
  </si>
  <si>
    <t>f_by-p</t>
  </si>
  <si>
    <t>f_sil_gr</t>
  </si>
  <si>
    <t>f_sil_ma</t>
  </si>
  <si>
    <t>f_gra_ha</t>
  </si>
  <si>
    <t>f_hay_lu</t>
  </si>
  <si>
    <t>f_hay_ba</t>
  </si>
  <si>
    <t>f_fee_be</t>
  </si>
  <si>
    <t>f_rap_gr</t>
  </si>
  <si>
    <t>f_fee_so</t>
  </si>
  <si>
    <t>f_kal_fo</t>
  </si>
  <si>
    <t>f_pul_de</t>
  </si>
  <si>
    <t>f_pul_sq</t>
  </si>
  <si>
    <t>f_mol_su</t>
  </si>
  <si>
    <t>f_alf_de</t>
  </si>
  <si>
    <t>f_pul_fr</t>
  </si>
  <si>
    <t>f_str_nh</t>
  </si>
  <si>
    <t>f_str_no</t>
  </si>
  <si>
    <t>f_str_pe</t>
  </si>
  <si>
    <t>f_dm</t>
  </si>
  <si>
    <t>f_CO2</t>
  </si>
  <si>
    <t>f_ener</t>
  </si>
  <si>
    <t>f_DE_def</t>
  </si>
  <si>
    <t>feed_wh</t>
  </si>
  <si>
    <t>feed_ba</t>
  </si>
  <si>
    <t>feed_tr</t>
  </si>
  <si>
    <t>feed_oa</t>
  </si>
  <si>
    <t>feed_so</t>
  </si>
  <si>
    <t>feed_fl</t>
  </si>
  <si>
    <t>feed_mi</t>
  </si>
  <si>
    <t>feed_co</t>
  </si>
  <si>
    <t>feed_dr</t>
  </si>
  <si>
    <t>feed_sor</t>
  </si>
  <si>
    <t>feed_pea</t>
  </si>
  <si>
    <t>feed_mai</t>
  </si>
  <si>
    <t>feed_soy</t>
  </si>
  <si>
    <t>feed_rap</t>
  </si>
  <si>
    <t>feed_sun</t>
  </si>
  <si>
    <t>feed_har</t>
  </si>
  <si>
    <t>feed_rap_cak</t>
  </si>
  <si>
    <t>feed_sun_cak</t>
  </si>
  <si>
    <t>feed_milk</t>
  </si>
  <si>
    <t>feed_DM</t>
  </si>
  <si>
    <t>feed_CO2</t>
  </si>
  <si>
    <t>feed_ener</t>
  </si>
  <si>
    <t>feed_dair_18</t>
  </si>
  <si>
    <t>feed_dair_20</t>
  </si>
  <si>
    <t>feed_dair_22</t>
  </si>
  <si>
    <t>feed_dair_25</t>
  </si>
  <si>
    <t>feed_dair_30</t>
  </si>
  <si>
    <t>feed_dair_35</t>
  </si>
  <si>
    <t>feed_dair_40</t>
  </si>
  <si>
    <t>feed_mas</t>
  </si>
  <si>
    <t>feed_suck_40</t>
  </si>
  <si>
    <t>feed_suck_35</t>
  </si>
  <si>
    <t>feed_suck_30</t>
  </si>
  <si>
    <t>feed_suck_25</t>
  </si>
  <si>
    <t>feed_suck_22</t>
  </si>
  <si>
    <t>feed_suck_20</t>
  </si>
  <si>
    <t>feed_suck_18</t>
  </si>
  <si>
    <t>feed_DM_cow</t>
  </si>
  <si>
    <t>feed_CO2_cow</t>
  </si>
  <si>
    <t>feed_ener_cow</t>
  </si>
  <si>
    <t>feed_pig_firs</t>
  </si>
  <si>
    <t>feed_pig_sec</t>
  </si>
  <si>
    <t>feed_pig_fat</t>
  </si>
  <si>
    <t>feed_gro_pig</t>
  </si>
  <si>
    <t>feed_pre_pel</t>
  </si>
  <si>
    <t>feed_suc_pel</t>
  </si>
  <si>
    <t>feed_pre_flo</t>
  </si>
  <si>
    <t>feed_suc_flo</t>
  </si>
  <si>
    <t>feed_pig_firs_fl</t>
  </si>
  <si>
    <t>feed_pig_sec_fl</t>
  </si>
  <si>
    <t>feed_pig_fat_fl</t>
  </si>
  <si>
    <t>feed_gro_pig_fl</t>
  </si>
  <si>
    <t>feed_DM_pig</t>
  </si>
  <si>
    <t>feed_CO2_pig</t>
  </si>
  <si>
    <t>feed_ener_pig</t>
  </si>
  <si>
    <t>feed_pou_wh_pe</t>
  </si>
  <si>
    <t>feed_pou_ma_pe</t>
  </si>
  <si>
    <t>feed_pou_wh_fl</t>
  </si>
  <si>
    <t>feed_pou_ma_fl</t>
  </si>
  <si>
    <t>feed_DM_pou</t>
  </si>
  <si>
    <t>feed_CO2_pou</t>
  </si>
  <si>
    <t>feed_ener_pou</t>
  </si>
  <si>
    <t>feed_go_24</t>
  </si>
  <si>
    <t>feed_ho_14</t>
  </si>
  <si>
    <t>feed_sh_16</t>
  </si>
  <si>
    <t>feed_sh_20</t>
  </si>
  <si>
    <t>feed_su_fl</t>
  </si>
  <si>
    <t>feed_DM_oth</t>
  </si>
  <si>
    <t>feed_CO2_oth</t>
  </si>
  <si>
    <t>feed_ener_oth</t>
  </si>
  <si>
    <t>MMS_past</t>
  </si>
  <si>
    <t>MMS_dai</t>
  </si>
  <si>
    <t>MMS_sol</t>
  </si>
  <si>
    <t>MMS_dry</t>
  </si>
  <si>
    <t>MMS_unc</t>
  </si>
  <si>
    <t>MMS_li_cov</t>
  </si>
  <si>
    <t>MMS_li_ncov</t>
  </si>
  <si>
    <t>MMS_pit_sh</t>
  </si>
  <si>
    <t>MMS_pit_lo</t>
  </si>
  <si>
    <t>MMS_an</t>
  </si>
  <si>
    <t>MMS_nom_sh</t>
  </si>
  <si>
    <t>MMS_nom_lo</t>
  </si>
  <si>
    <t>MMS_am_sh</t>
  </si>
  <si>
    <t>MMS_am_lo</t>
  </si>
  <si>
    <t>MMS_com_ve</t>
  </si>
  <si>
    <t>MMS_com_st</t>
  </si>
  <si>
    <t>MMS_com_in</t>
  </si>
  <si>
    <t>MMS_com_pa</t>
  </si>
  <si>
    <t>MMS_po_l</t>
  </si>
  <si>
    <t>MMS_po_nl</t>
  </si>
  <si>
    <t>MMS_ae_na</t>
  </si>
  <si>
    <t>MMS_ae_fo</t>
  </si>
  <si>
    <t>MMS-exc</t>
  </si>
  <si>
    <t>MMS_EF3</t>
  </si>
  <si>
    <t>MMS_type_ca</t>
  </si>
  <si>
    <t>MMS_shar_ca</t>
  </si>
  <si>
    <t>MMS_type_cam</t>
  </si>
  <si>
    <t>MMS_shar_cam</t>
  </si>
  <si>
    <t>MMS_shar_sh</t>
  </si>
  <si>
    <t>MMS_type_sh</t>
  </si>
  <si>
    <t>MMS_type_go</t>
  </si>
  <si>
    <t>MMS_shar_go</t>
  </si>
  <si>
    <t>MMS_type_or</t>
  </si>
  <si>
    <t>MMS_shar_or</t>
  </si>
  <si>
    <t>MMS_type_pi</t>
  </si>
  <si>
    <t>MMS_shar_pi</t>
  </si>
  <si>
    <t>Self produced (t dm)</t>
  </si>
  <si>
    <t>Purchased (t dm)</t>
  </si>
  <si>
    <t>for</t>
  </si>
  <si>
    <t>feed_sim</t>
  </si>
  <si>
    <t>feed-com</t>
  </si>
  <si>
    <t>feed_mix</t>
  </si>
  <si>
    <t>milk</t>
  </si>
  <si>
    <t>Purchased (t fm)</t>
  </si>
  <si>
    <t>Self produced (t fm)</t>
  </si>
  <si>
    <t>for_self</t>
  </si>
  <si>
    <t>for_pur</t>
  </si>
  <si>
    <t>feed_self</t>
  </si>
  <si>
    <t>feed_pur</t>
  </si>
  <si>
    <r>
      <t>kg  DM</t>
    </r>
    <r>
      <rPr>
        <b/>
        <vertAlign val="subscript"/>
        <sz val="11"/>
        <color rgb="FFFFB871"/>
        <rFont val="Arial"/>
        <family val="2"/>
      </rPr>
      <t>Intake</t>
    </r>
    <r>
      <rPr>
        <b/>
        <sz val="11"/>
        <color rgb="FFFFB871"/>
        <rFont val="Arial"/>
        <family val="2"/>
      </rPr>
      <t> / kg AWG</t>
    </r>
  </si>
  <si>
    <t>kg DMintake / year</t>
  </si>
  <si>
    <t>kg N excreted /year</t>
  </si>
  <si>
    <t>CH4 emissions enteric fermentation</t>
  </si>
  <si>
    <t>CH4 emissions manure management</t>
  </si>
  <si>
    <t>N2O emissions pastures</t>
  </si>
  <si>
    <t>N losses from excretion and during storage (relevant for N2O emissions from pastures</t>
  </si>
  <si>
    <t>kg N2O / year</t>
  </si>
  <si>
    <t>kg CH4 / year</t>
  </si>
  <si>
    <t>GWP</t>
  </si>
  <si>
    <t>CH4</t>
  </si>
  <si>
    <t>CO2</t>
  </si>
  <si>
    <t>N2O</t>
  </si>
  <si>
    <t>CO2 emissions enteric fermentation</t>
  </si>
  <si>
    <t>CO2 emissions manure management</t>
  </si>
  <si>
    <t>CO2 emissions pastures</t>
  </si>
  <si>
    <t>CO2 emissions feed (upstream)</t>
  </si>
  <si>
    <t>kg CO2equ / year</t>
  </si>
  <si>
    <t>Legend</t>
  </si>
  <si>
    <t>User input</t>
  </si>
  <si>
    <t>Associated or linked data</t>
  </si>
  <si>
    <t>Output</t>
  </si>
  <si>
    <t>Notes</t>
  </si>
  <si>
    <t>Estimate/calculation</t>
  </si>
  <si>
    <t>Check</t>
  </si>
  <si>
    <t>Results: GHG Emissions from Livestock</t>
  </si>
  <si>
    <t>N2O emissions from manure management</t>
  </si>
  <si>
    <t>Calves</t>
  </si>
  <si>
    <t>Mature cattle</t>
  </si>
  <si>
    <t>Growing cattle &lt; 2 years</t>
  </si>
  <si>
    <t>Growing cattle &gt; 2 years</t>
  </si>
  <si>
    <t>m_c_mature</t>
  </si>
  <si>
    <t>m_c_growing_2</t>
  </si>
  <si>
    <t>m_c_growing_1</t>
  </si>
  <si>
    <t>d_c_growing_1</t>
  </si>
  <si>
    <t>d_c_growing_2</t>
  </si>
  <si>
    <t>d_c_mature</t>
  </si>
  <si>
    <t>Mature sheep</t>
  </si>
  <si>
    <t>Growing sheep</t>
  </si>
  <si>
    <t>s_mature</t>
  </si>
  <si>
    <t>s_growing</t>
  </si>
  <si>
    <t>Mature goats</t>
  </si>
  <si>
    <t>Growing goats</t>
  </si>
  <si>
    <t>g_mature</t>
  </si>
  <si>
    <t>g_growing</t>
  </si>
  <si>
    <t>r_others</t>
  </si>
  <si>
    <t>Growing pigs</t>
  </si>
  <si>
    <t>Mature pigs</t>
  </si>
  <si>
    <t>p_mature</t>
  </si>
  <si>
    <t>p_growing</t>
  </si>
  <si>
    <t>Hens</t>
  </si>
  <si>
    <t>Broiler chicken</t>
  </si>
  <si>
    <t>Other poultry</t>
  </si>
  <si>
    <t>po_hen</t>
  </si>
  <si>
    <t>po_broiler</t>
  </si>
  <si>
    <t>po_other</t>
  </si>
  <si>
    <t>nb_av</t>
  </si>
  <si>
    <t>POULTRIy</t>
  </si>
  <si>
    <t>TEMPERATURE</t>
  </si>
  <si>
    <t>temp_av</t>
  </si>
  <si>
    <t>DMI (kg/day/an)</t>
  </si>
  <si>
    <t>Nex (kg/ani/yr)</t>
  </si>
  <si>
    <t>Nex (kgN/yr)</t>
  </si>
  <si>
    <t>VS (kg/d)</t>
  </si>
  <si>
    <t>Nema / Nemf</t>
  </si>
  <si>
    <t>Nema, NEmf (MJ/day)</t>
  </si>
  <si>
    <t>Body weight (BW)</t>
  </si>
  <si>
    <t>Milk per day (kg/d)</t>
  </si>
  <si>
    <t>source: IPCC 2006</t>
  </si>
  <si>
    <t>MMS_MCF_10</t>
  </si>
  <si>
    <t>MMS_MCF_11</t>
  </si>
  <si>
    <t>MMS_MCF_12</t>
  </si>
  <si>
    <t>MMS_MCF_13</t>
  </si>
  <si>
    <t>MMS_MCF_14</t>
  </si>
  <si>
    <t>MMS_MCF_15</t>
  </si>
  <si>
    <t>MMS_MCF_16</t>
  </si>
  <si>
    <t>MMS_MCF_17</t>
  </si>
  <si>
    <t>MMS_MCF_18</t>
  </si>
  <si>
    <t>MMS_MCF_19</t>
  </si>
  <si>
    <t>MMS_MCF_20</t>
  </si>
  <si>
    <t>MMS_MCF_21</t>
  </si>
  <si>
    <t>MMS_MCF_22</t>
  </si>
  <si>
    <t>MMS_MCF_23</t>
  </si>
  <si>
    <t>MMS_MCF_24</t>
  </si>
  <si>
    <t>MMS_MCF_25</t>
  </si>
  <si>
    <t>MMS_MCF_26</t>
  </si>
  <si>
    <t>MMS_MCF_27</t>
  </si>
  <si>
    <t>MMS_MCF_28</t>
  </si>
  <si>
    <t>OVERALL SUM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</si>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</sst>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quot; kg&quot;"/>
    <numFmt numFmtId="165" formatCode="#,##0.0"/>
    <numFmt numFmtId="166" formatCode="#,##0&quot; GJ&quot;"/>
    <numFmt numFmtId="167" formatCode="#,##0&quot; t&quot;"/>
    <numFmt numFmtId="168" formatCode="0.0%"/>
    <numFmt numFmtId="169" formatCode="#,##0.0&quot; t&quot;"/>
    <numFmt numFmtId="170" formatCode="#,##0.0000"/>
    <numFmt numFmtId="171" formatCode="0.0000"/>
    <numFmt numFmtId="172" formatCode="0.0&quot; ha&quot;"/>
    <numFmt numFmtId="173" formatCode="#,##0.000"/>
    <numFmt numFmtId="174" formatCode="0.000"/>
  </numFmts>
  <fonts count="64">
    <font>
      <sz val="11"/>
      <color theme="1"/>
      <name val="Calibri"/>
      <family val="2"/>
      <scheme val="minor"/>
    </font>
    <font>
      <sz val="10"/>
      <name val="Arial"/>
      <family val="2"/>
    </font>
    <font>
      <b/>
      <sz val="16"/>
      <name val="Arial"/>
      <family val="2"/>
    </font>
    <font>
      <sz val="8"/>
      <name val="Arial"/>
      <family val="2"/>
    </font>
    <font>
      <sz val="10"/>
      <color theme="0" tint="-0.249977111117893"/>
      <name val="Arial"/>
      <family val="2"/>
    </font>
    <font>
      <b/>
      <sz val="12"/>
      <color theme="0" tint="-0.249977111117893"/>
      <name val="Arial"/>
      <family val="2"/>
    </font>
    <font>
      <b/>
      <sz val="10"/>
      <color theme="0" tint="-0.249977111117893"/>
      <name val="Arial"/>
      <family val="2"/>
    </font>
    <font>
      <b/>
      <sz val="12"/>
      <name val="Arial"/>
      <family val="2"/>
    </font>
    <font>
      <sz val="9"/>
      <name val="Arial"/>
      <family val="2"/>
    </font>
    <font>
      <b/>
      <sz val="10"/>
      <name val="Arial"/>
      <family val="2"/>
    </font>
    <font>
      <b/>
      <i/>
      <sz val="14"/>
      <color theme="0" tint="-0.249977111117893"/>
      <name val="Arial"/>
      <family val="2"/>
    </font>
    <font>
      <sz val="12"/>
      <color theme="0" tint="-0.249977111117893"/>
      <name val="Arial"/>
      <family val="2"/>
    </font>
    <font>
      <b/>
      <i/>
      <sz val="12"/>
      <color theme="0" tint="-0.249977111117893"/>
      <name val="Arial"/>
      <family val="2"/>
    </font>
    <font>
      <i/>
      <sz val="10"/>
      <name val="Arial"/>
      <family val="2"/>
    </font>
    <font>
      <b/>
      <i/>
      <sz val="12"/>
      <name val="Arial"/>
      <family val="2"/>
    </font>
    <font>
      <sz val="10"/>
      <color rgb="FFFF0000"/>
      <name val="Arial"/>
      <family val="2"/>
    </font>
    <font>
      <b/>
      <sz val="8"/>
      <name val="Arial"/>
      <family val="2"/>
    </font>
    <font>
      <sz val="8"/>
      <color theme="0" tint="-0.249977111117893"/>
      <name val="Arial"/>
      <family val="2"/>
    </font>
    <font>
      <i/>
      <sz val="10"/>
      <color theme="0" tint="-0.249977111117893"/>
      <name val="Arial"/>
      <family val="2"/>
    </font>
    <font>
      <b/>
      <i/>
      <sz val="10"/>
      <name val="Arial"/>
      <family val="2"/>
    </font>
    <font>
      <b/>
      <sz val="8"/>
      <color indexed="81"/>
      <name val="Tahoma"/>
      <family val="2"/>
    </font>
    <font>
      <sz val="12"/>
      <color rgb="FF000000"/>
      <name val="Calibri"/>
      <family val="2"/>
      <scheme val="minor"/>
    </font>
    <font>
      <sz val="8"/>
      <color indexed="81"/>
      <name val="Tahoma"/>
      <family val="2"/>
    </font>
    <font>
      <sz val="10"/>
      <name val="Geneva"/>
      <family val="2"/>
    </font>
    <font>
      <sz val="10"/>
      <color theme="1"/>
      <name val="Arial"/>
      <family val="2"/>
    </font>
    <font>
      <b/>
      <sz val="10"/>
      <color rgb="FFFF0000"/>
      <name val="Arial"/>
      <family val="2"/>
    </font>
    <font>
      <b/>
      <sz val="16"/>
      <color theme="1"/>
      <name val="Calibri"/>
      <family val="2"/>
      <scheme val="minor"/>
    </font>
    <font>
      <b/>
      <sz val="9"/>
      <color indexed="81"/>
      <name val="Segoe UI"/>
      <family val="2"/>
    </font>
    <font>
      <sz val="10"/>
      <color theme="0" tint="-0.499984740745262"/>
      <name val="Arial"/>
      <family val="2"/>
    </font>
    <font>
      <b/>
      <sz val="10"/>
      <color theme="0" tint="-0.499984740745262"/>
      <name val="Arial"/>
      <family val="2"/>
    </font>
    <font>
      <sz val="11"/>
      <color theme="0" tint="-0.499984740745262"/>
      <name val="Calibri"/>
      <family val="2"/>
      <scheme val="minor"/>
    </font>
    <font>
      <sz val="10"/>
      <color theme="1" tint="0.499984740745262"/>
      <name val="Arial"/>
      <family val="2"/>
    </font>
    <font>
      <b/>
      <sz val="10"/>
      <color theme="1" tint="0.499984740745262"/>
      <name val="Arial"/>
      <family val="2"/>
    </font>
    <font>
      <b/>
      <sz val="12"/>
      <color theme="1" tint="0.499984740745262"/>
      <name val="Arial"/>
      <family val="2"/>
    </font>
    <font>
      <sz val="11"/>
      <color theme="1" tint="0.499984740745262"/>
      <name val="Calibri"/>
      <family val="2"/>
      <scheme val="minor"/>
    </font>
    <font>
      <sz val="8"/>
      <color theme="1" tint="0.499984740745262"/>
      <name val="Arial"/>
      <family val="2"/>
    </font>
    <font>
      <b/>
      <sz val="12"/>
      <color theme="1" tint="0.499984740745262"/>
      <name val="Times New Roman"/>
      <family val="1"/>
    </font>
    <font>
      <b/>
      <sz val="11"/>
      <color rgb="FFFA7D00"/>
      <name val="Calibri"/>
      <family val="2"/>
      <scheme val="minor"/>
    </font>
    <font>
      <b/>
      <sz val="10"/>
      <color theme="2" tint="-9.9978637043366805E-2"/>
      <name val="Arial"/>
      <family val="2"/>
    </font>
    <font>
      <sz val="10"/>
      <color theme="0"/>
      <name val="Arial"/>
      <family val="2"/>
    </font>
    <font>
      <b/>
      <sz val="10"/>
      <color theme="0"/>
      <name val="Arial"/>
      <family val="2"/>
    </font>
    <font>
      <sz val="9"/>
      <color indexed="81"/>
      <name val="Segoe UI"/>
      <family val="2"/>
    </font>
    <font>
      <sz val="11"/>
      <color rgb="FF3F3F76"/>
      <name val="Calibri"/>
      <family val="2"/>
    </font>
    <font>
      <sz val="10"/>
      <color theme="2" tint="-9.9978637043366805E-2"/>
      <name val="Arial"/>
      <family val="2"/>
    </font>
    <font>
      <vertAlign val="subscript"/>
      <sz val="11"/>
      <color theme="2" tint="-9.9978637043366805E-2"/>
      <name val="Arial"/>
      <family val="2"/>
    </font>
    <font>
      <sz val="11"/>
      <color theme="2" tint="-9.9978637043366805E-2"/>
      <name val="Arial"/>
      <family val="2"/>
    </font>
    <font>
      <b/>
      <sz val="12"/>
      <color theme="2" tint="-9.9978637043366805E-2"/>
      <name val="Arial"/>
      <family val="2"/>
    </font>
    <font>
      <sz val="11"/>
      <color theme="2" tint="-9.9978637043366805E-2"/>
      <name val="Calibri"/>
      <family val="2"/>
      <scheme val="minor"/>
    </font>
    <font>
      <sz val="12"/>
      <name val="Arial"/>
      <family val="2"/>
    </font>
    <font>
      <b/>
      <i/>
      <sz val="10"/>
      <color theme="2" tint="-9.9978637043366805E-2"/>
      <name val="Arial"/>
      <family val="2"/>
    </font>
    <font>
      <b/>
      <sz val="11"/>
      <color rgb="FF3F3F3F"/>
      <name val="Calibri"/>
      <family val="2"/>
    </font>
    <font>
      <sz val="11"/>
      <color rgb="FFFA7D00"/>
      <name val="Calibri"/>
      <family val="2"/>
    </font>
    <font>
      <b/>
      <sz val="11"/>
      <color rgb="FFFA7D00"/>
      <name val="Calibri"/>
      <family val="2"/>
    </font>
    <font>
      <sz val="11"/>
      <color rgb="FFFFB871"/>
      <name val="Calibri"/>
      <family val="2"/>
    </font>
    <font>
      <b/>
      <sz val="11"/>
      <color rgb="FFFFB871"/>
      <name val="Calibri"/>
      <family val="2"/>
    </font>
    <font>
      <b/>
      <vertAlign val="subscript"/>
      <sz val="11"/>
      <color rgb="FFFFB871"/>
      <name val="Arial"/>
      <family val="2"/>
    </font>
    <font>
      <b/>
      <sz val="11"/>
      <color rgb="FFFFB871"/>
      <name val="Arial"/>
      <family val="2"/>
    </font>
    <font>
      <b/>
      <sz val="11"/>
      <color theme="0"/>
      <name val="Calibri"/>
      <family val="2"/>
      <scheme val="minor"/>
    </font>
    <font>
      <b/>
      <sz val="12"/>
      <color rgb="FF000000"/>
      <name val="Calibri"/>
      <family val="2"/>
    </font>
    <font>
      <sz val="11"/>
      <color theme="1"/>
      <name val="Calibri"/>
      <family val="2"/>
    </font>
    <font>
      <sz val="11"/>
      <color rgb="FF000000"/>
      <name val="Calibri"/>
      <family val="2"/>
    </font>
    <font>
      <b/>
      <sz val="14"/>
      <color theme="1"/>
      <name val="Calibri"/>
      <family val="2"/>
      <scheme val="minor"/>
    </font>
    <font>
      <b/>
      <sz val="12"/>
      <color rgb="FFFF0000"/>
      <name val="Arial"/>
      <family val="2"/>
    </font>
    <font>
      <b/>
      <sz val="10"/>
      <color rgb="FFFA7D00"/>
      <name val="Arial"/>
      <family val="2"/>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2F2F2"/>
      </patternFill>
    </fill>
    <fill>
      <patternFill patternType="solid">
        <fgColor rgb="FFFFCC99"/>
        <bgColor rgb="FFFFCC99"/>
      </patternFill>
    </fill>
    <fill>
      <patternFill patternType="solid">
        <fgColor rgb="FFF2F2F2"/>
        <bgColor rgb="FFF2F2F2"/>
      </patternFill>
    </fill>
    <fill>
      <patternFill patternType="solid">
        <fgColor rgb="FFA5A5A5"/>
      </patternFill>
    </fill>
    <fill>
      <patternFill patternType="solid">
        <fgColor theme="0"/>
        <bgColor theme="0"/>
      </patternFill>
    </fill>
    <fill>
      <patternFill patternType="solid">
        <fgColor rgb="FFFFFFCC"/>
        <bgColor rgb="FFFFFFCC"/>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style="thin">
        <color rgb="FF7F7F7F"/>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right style="thin">
        <color rgb="FF7F7F7F"/>
      </right>
      <top style="medium">
        <color indexed="64"/>
      </top>
      <bottom style="medium">
        <color indexed="64"/>
      </bottom>
      <diagonal/>
    </border>
    <border>
      <left style="thin">
        <color rgb="FF7F7F7F"/>
      </left>
      <right style="thin">
        <color rgb="FF7F7F7F"/>
      </right>
      <top style="medium">
        <color indexed="64"/>
      </top>
      <bottom/>
      <diagonal/>
    </border>
    <border>
      <left style="thin">
        <color rgb="FF7F7F7F"/>
      </left>
      <right style="medium">
        <color indexed="64"/>
      </right>
      <top style="medium">
        <color indexed="64"/>
      </top>
      <bottom/>
      <diagonal/>
    </border>
    <border>
      <left/>
      <right style="thin">
        <color rgb="FF7F7F7F"/>
      </right>
      <top style="medium">
        <color indexed="64"/>
      </top>
      <bottom/>
      <diagonal/>
    </border>
    <border>
      <left style="thin">
        <color rgb="FF7F7F7F"/>
      </left>
      <right/>
      <top style="medium">
        <color indexed="64"/>
      </top>
      <bottom style="thin">
        <color rgb="FF7F7F7F"/>
      </bottom>
      <diagonal/>
    </border>
    <border>
      <left style="thin">
        <color rgb="FF7F7F7F"/>
      </left>
      <right/>
      <top style="thin">
        <color rgb="FF7F7F7F"/>
      </top>
      <bottom style="thin">
        <color rgb="FF7F7F7F"/>
      </bottom>
      <diagonal/>
    </border>
    <border>
      <left style="thin">
        <color rgb="FF7F7F7F"/>
      </left>
      <right/>
      <top style="thin">
        <color rgb="FF7F7F7F"/>
      </top>
      <bottom style="medium">
        <color indexed="64"/>
      </bottom>
      <diagonal/>
    </border>
    <border>
      <left style="thin">
        <color rgb="FF7F7F7F"/>
      </left>
      <right/>
      <top style="medium">
        <color indexed="64"/>
      </top>
      <bottom/>
      <diagonal/>
    </border>
    <border>
      <left style="thin">
        <color rgb="FF7F7F7F"/>
      </left>
      <right/>
      <top style="medium">
        <color indexed="64"/>
      </top>
      <bottom style="medium">
        <color indexed="64"/>
      </bottom>
      <diagonal/>
    </border>
    <border>
      <left style="thin">
        <color rgb="FF7F7F7F"/>
      </left>
      <right/>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thin">
        <color rgb="FF3F3F3F"/>
      </right>
      <top style="medium">
        <color indexed="64"/>
      </top>
      <bottom style="thin">
        <color rgb="FF3F3F3F"/>
      </bottom>
      <diagonal/>
    </border>
    <border>
      <left style="thin">
        <color rgb="FF3F3F3F"/>
      </left>
      <right style="medium">
        <color indexed="64"/>
      </right>
      <top style="medium">
        <color indexed="64"/>
      </top>
      <bottom style="thin">
        <color rgb="FF3F3F3F"/>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style="medium">
        <color indexed="64"/>
      </left>
      <right style="thin">
        <color rgb="FF3F3F3F"/>
      </right>
      <top style="thin">
        <color rgb="FF3F3F3F"/>
      </top>
      <bottom/>
      <diagonal/>
    </border>
    <border>
      <left style="thin">
        <color rgb="FF3F3F3F"/>
      </left>
      <right style="medium">
        <color indexed="64"/>
      </right>
      <top style="thin">
        <color rgb="FF3F3F3F"/>
      </top>
      <bottom/>
      <diagonal/>
    </border>
    <border>
      <left style="medium">
        <color indexed="64"/>
      </left>
      <right style="thin">
        <color rgb="FF3F3F3F"/>
      </right>
      <top/>
      <bottom style="thin">
        <color rgb="FF3F3F3F"/>
      </bottom>
      <diagonal/>
    </border>
    <border>
      <left style="thin">
        <color rgb="FF3F3F3F"/>
      </left>
      <right style="medium">
        <color indexed="64"/>
      </right>
      <top/>
      <bottom style="thin">
        <color rgb="FF3F3F3F"/>
      </bottom>
      <diagonal/>
    </border>
    <border>
      <left style="medium">
        <color indexed="64"/>
      </left>
      <right style="thin">
        <color rgb="FF3F3F3F"/>
      </right>
      <top style="medium">
        <color indexed="64"/>
      </top>
      <bottom style="medium">
        <color indexed="64"/>
      </bottom>
      <diagonal/>
    </border>
    <border>
      <left style="thin">
        <color rgb="FF3F3F3F"/>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s>
  <cellStyleXfs count="9">
    <xf numFmtId="0" fontId="0"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23" fillId="0" borderId="0"/>
    <xf numFmtId="0" fontId="37" fillId="6" borderId="5" applyNumberFormat="0" applyAlignment="0" applyProtection="0"/>
    <xf numFmtId="0" fontId="57" fillId="9" borderId="32" applyNumberFormat="0" applyAlignment="0" applyProtection="0"/>
  </cellStyleXfs>
  <cellXfs count="328">
    <xf numFmtId="0" fontId="0" fillId="0" borderId="0" xfId="0"/>
    <xf numFmtId="0" fontId="1" fillId="0" borderId="0" xfId="1"/>
    <xf numFmtId="0" fontId="4" fillId="2" borderId="0" xfId="1" applyFont="1" applyFill="1"/>
    <xf numFmtId="0" fontId="5" fillId="0" borderId="0" xfId="1" applyFont="1" applyFill="1" applyBorder="1"/>
    <xf numFmtId="0" fontId="6" fillId="0" borderId="0" xfId="1" applyFont="1" applyFill="1" applyBorder="1" applyAlignment="1">
      <alignment horizontal="center"/>
    </xf>
    <xf numFmtId="3" fontId="6" fillId="0" borderId="0" xfId="1" applyNumberFormat="1" applyFont="1" applyFill="1" applyBorder="1" applyAlignment="1">
      <alignment horizontal="center"/>
    </xf>
    <xf numFmtId="0" fontId="4" fillId="0" borderId="0" xfId="1" applyFont="1" applyFill="1" applyBorder="1"/>
    <xf numFmtId="1" fontId="4" fillId="2" borderId="0" xfId="1" applyNumberFormat="1" applyFont="1" applyFill="1" applyBorder="1" applyAlignment="1">
      <alignment horizontal="center"/>
    </xf>
    <xf numFmtId="1" fontId="1" fillId="0" borderId="0" xfId="1" applyNumberFormat="1" applyFill="1" applyBorder="1" applyAlignment="1">
      <alignment horizontal="center"/>
    </xf>
    <xf numFmtId="0" fontId="1" fillId="0" borderId="0" xfId="1" applyFill="1" applyBorder="1"/>
    <xf numFmtId="1" fontId="6" fillId="0" borderId="0" xfId="1" applyNumberFormat="1" applyFont="1" applyFill="1" applyBorder="1" applyAlignment="1">
      <alignment horizontal="center"/>
    </xf>
    <xf numFmtId="3" fontId="4" fillId="0" borderId="0" xfId="1" applyNumberFormat="1" applyFont="1" applyFill="1" applyBorder="1"/>
    <xf numFmtId="0" fontId="5" fillId="0" borderId="0" xfId="1" applyFont="1" applyFill="1" applyBorder="1" applyAlignment="1">
      <alignment horizontal="center" wrapText="1"/>
    </xf>
    <xf numFmtId="3" fontId="5" fillId="0" borderId="0" xfId="1" applyNumberFormat="1" applyFont="1" applyFill="1" applyBorder="1" applyAlignment="1">
      <alignment horizontal="center"/>
    </xf>
    <xf numFmtId="0" fontId="10" fillId="0" borderId="0" xfId="1" applyFont="1" applyFill="1" applyBorder="1" applyAlignment="1">
      <alignment horizontal="center"/>
    </xf>
    <xf numFmtId="0" fontId="5" fillId="0" borderId="0" xfId="1" applyFont="1" applyFill="1" applyBorder="1" applyAlignment="1">
      <alignment horizontal="center"/>
    </xf>
    <xf numFmtId="0" fontId="11" fillId="0" borderId="0" xfId="1" applyFont="1" applyFill="1" applyBorder="1" applyAlignment="1">
      <alignment horizontal="right"/>
    </xf>
    <xf numFmtId="3" fontId="12" fillId="0" borderId="0" xfId="1" applyNumberFormat="1" applyFont="1" applyFill="1" applyBorder="1" applyAlignment="1">
      <alignment horizontal="center"/>
    </xf>
    <xf numFmtId="0" fontId="1" fillId="0" borderId="0" xfId="1" applyFill="1"/>
    <xf numFmtId="0" fontId="1" fillId="0" borderId="0" xfId="1" applyAlignment="1">
      <alignment horizontal="center"/>
    </xf>
    <xf numFmtId="0" fontId="1" fillId="0" borderId="0" xfId="1" applyFont="1"/>
    <xf numFmtId="0" fontId="1" fillId="0" borderId="1" xfId="1" applyFont="1" applyBorder="1" applyAlignment="1">
      <alignment horizontal="center"/>
    </xf>
    <xf numFmtId="0" fontId="1" fillId="0" borderId="1" xfId="1" applyFont="1" applyBorder="1"/>
    <xf numFmtId="165" fontId="1" fillId="0" borderId="1" xfId="1" applyNumberFormat="1" applyFill="1" applyBorder="1" applyAlignment="1">
      <alignment horizontal="center"/>
    </xf>
    <xf numFmtId="0" fontId="1" fillId="0" borderId="0" xfId="1" applyFont="1" applyFill="1" applyBorder="1"/>
    <xf numFmtId="0" fontId="1" fillId="0" borderId="0" xfId="1" applyFill="1" applyAlignment="1">
      <alignment horizontal="left"/>
    </xf>
    <xf numFmtId="0" fontId="1" fillId="0" borderId="0" xfId="1" applyFont="1" applyFill="1" applyBorder="1" applyAlignment="1">
      <alignment horizontal="right"/>
    </xf>
    <xf numFmtId="0" fontId="3" fillId="0" borderId="1" xfId="1" applyFont="1" applyFill="1" applyBorder="1" applyAlignment="1">
      <alignment horizontal="center"/>
    </xf>
    <xf numFmtId="0" fontId="9" fillId="0" borderId="1" xfId="1" applyFont="1" applyFill="1" applyBorder="1" applyAlignment="1">
      <alignment horizontal="left"/>
    </xf>
    <xf numFmtId="0" fontId="15" fillId="0" borderId="0" xfId="1" applyFont="1" applyFill="1"/>
    <xf numFmtId="170" fontId="15" fillId="0" borderId="0" xfId="1" applyNumberFormat="1" applyFont="1" applyFill="1" applyAlignment="1">
      <alignment horizontal="center"/>
    </xf>
    <xf numFmtId="9" fontId="1" fillId="0" borderId="0" xfId="1" applyNumberFormat="1" applyFill="1"/>
    <xf numFmtId="0" fontId="9" fillId="0" borderId="1" xfId="1" applyFont="1" applyBorder="1" applyAlignment="1">
      <alignment horizontal="right"/>
    </xf>
    <xf numFmtId="0" fontId="1" fillId="0" borderId="0" xfId="1" applyFont="1" applyFill="1" applyBorder="1" applyAlignment="1">
      <alignment horizontal="center"/>
    </xf>
    <xf numFmtId="3" fontId="1" fillId="0" borderId="0" xfId="1" applyNumberFormat="1" applyFill="1" applyBorder="1" applyAlignment="1">
      <alignment horizontal="center"/>
    </xf>
    <xf numFmtId="9" fontId="1" fillId="0" borderId="0" xfId="1" applyNumberFormat="1" applyFill="1" applyBorder="1"/>
    <xf numFmtId="0" fontId="1" fillId="0" borderId="0" xfId="1" applyFill="1" applyBorder="1" applyAlignment="1">
      <alignment horizontal="center"/>
    </xf>
    <xf numFmtId="0" fontId="1" fillId="0" borderId="0" xfId="1" applyFill="1" applyBorder="1" applyAlignment="1">
      <alignment horizontal="left"/>
    </xf>
    <xf numFmtId="0" fontId="3" fillId="0" borderId="1" xfId="1" applyFont="1" applyBorder="1" applyAlignment="1">
      <alignment horizontal="center"/>
    </xf>
    <xf numFmtId="0" fontId="1" fillId="0" borderId="0" xfId="1" applyFont="1" applyFill="1" applyBorder="1" applyAlignment="1" applyProtection="1">
      <alignment horizontal="right"/>
      <protection locked="0"/>
    </xf>
    <xf numFmtId="0" fontId="1" fillId="0" borderId="0" xfId="1" applyFont="1" applyFill="1" applyBorder="1" applyProtection="1">
      <protection locked="0"/>
    </xf>
    <xf numFmtId="3" fontId="13" fillId="0" borderId="0" xfId="1" applyNumberFormat="1" applyFont="1" applyFill="1" applyBorder="1" applyAlignment="1">
      <alignment horizontal="center"/>
    </xf>
    <xf numFmtId="0" fontId="16" fillId="0" borderId="1" xfId="1" applyFont="1" applyBorder="1" applyAlignment="1">
      <alignment horizontal="center"/>
    </xf>
    <xf numFmtId="0" fontId="1" fillId="0" borderId="0" xfId="1" quotePrefix="1" applyFill="1" applyBorder="1" applyAlignment="1">
      <alignment horizontal="center"/>
    </xf>
    <xf numFmtId="9" fontId="3" fillId="0" borderId="0" xfId="1" applyNumberFormat="1" applyFont="1" applyFill="1" applyBorder="1" applyAlignment="1">
      <alignment horizontal="center"/>
    </xf>
    <xf numFmtId="165" fontId="1" fillId="0" borderId="0" xfId="1" applyNumberFormat="1" applyFill="1" applyBorder="1" applyAlignment="1" applyProtection="1">
      <alignment horizontal="center"/>
      <protection locked="0"/>
    </xf>
    <xf numFmtId="0" fontId="9" fillId="0" borderId="0" xfId="1" applyFont="1" applyFill="1" applyBorder="1"/>
    <xf numFmtId="3" fontId="1" fillId="0" borderId="0" xfId="1" applyNumberFormat="1" applyFont="1" applyFill="1" applyBorder="1" applyAlignment="1">
      <alignment horizontal="center"/>
    </xf>
    <xf numFmtId="0" fontId="9" fillId="0" borderId="0" xfId="1" applyFont="1" applyFill="1" applyBorder="1" applyAlignment="1">
      <alignment horizontal="left"/>
    </xf>
    <xf numFmtId="0" fontId="7" fillId="3" borderId="0" xfId="1" applyFont="1" applyFill="1" applyAlignment="1"/>
    <xf numFmtId="0" fontId="1" fillId="3" borderId="0" xfId="1" applyFill="1" applyAlignment="1">
      <alignment wrapText="1"/>
    </xf>
    <xf numFmtId="0" fontId="13" fillId="0" borderId="0" xfId="1" applyFont="1" applyAlignment="1">
      <alignment horizontal="right"/>
    </xf>
    <xf numFmtId="0" fontId="13" fillId="0" borderId="0" xfId="1" applyFont="1" applyAlignment="1">
      <alignment horizontal="center"/>
    </xf>
    <xf numFmtId="10" fontId="1" fillId="0" borderId="0" xfId="1" applyNumberFormat="1" applyFill="1" applyBorder="1"/>
    <xf numFmtId="0" fontId="1" fillId="0" borderId="0" xfId="1" applyFont="1" applyAlignment="1">
      <alignment horizontal="right"/>
    </xf>
    <xf numFmtId="172" fontId="1" fillId="0" borderId="0" xfId="1" applyNumberFormat="1" applyFont="1" applyAlignment="1">
      <alignment horizontal="center"/>
    </xf>
    <xf numFmtId="9" fontId="1" fillId="0" borderId="0" xfId="1" applyNumberFormat="1" applyFill="1" applyBorder="1" applyAlignment="1">
      <alignment horizontal="center"/>
    </xf>
    <xf numFmtId="0" fontId="1" fillId="0" borderId="0" xfId="1" applyFont="1" applyFill="1"/>
    <xf numFmtId="9" fontId="0" fillId="0" borderId="0" xfId="3" applyFont="1" applyFill="1" applyBorder="1" applyAlignment="1">
      <alignment horizontal="center"/>
    </xf>
    <xf numFmtId="1" fontId="6" fillId="0" borderId="0" xfId="3" applyNumberFormat="1" applyFont="1" applyFill="1" applyBorder="1" applyAlignment="1">
      <alignment horizontal="center"/>
    </xf>
    <xf numFmtId="9" fontId="6" fillId="0" borderId="0" xfId="3" applyFont="1" applyFill="1" applyBorder="1" applyAlignment="1">
      <alignment horizontal="center"/>
    </xf>
    <xf numFmtId="0" fontId="6" fillId="0" borderId="0" xfId="1" applyFont="1" applyFill="1" applyBorder="1"/>
    <xf numFmtId="0" fontId="17" fillId="0" borderId="0" xfId="1" applyFont="1" applyFill="1" applyBorder="1" applyAlignment="1">
      <alignment horizontal="center" wrapText="1"/>
    </xf>
    <xf numFmtId="0" fontId="6" fillId="0" borderId="0" xfId="1" applyFont="1" applyFill="1" applyBorder="1" applyAlignment="1">
      <alignment horizontal="right"/>
    </xf>
    <xf numFmtId="0" fontId="4" fillId="0" borderId="0" xfId="1" applyFont="1" applyFill="1" applyBorder="1" applyAlignment="1">
      <alignment horizontal="center"/>
    </xf>
    <xf numFmtId="0" fontId="6" fillId="0" borderId="0" xfId="1" applyFont="1" applyFill="1" applyBorder="1" applyAlignment="1">
      <alignment horizontal="left"/>
    </xf>
    <xf numFmtId="0" fontId="18" fillId="0" borderId="0" xfId="1" quotePrefix="1" applyFont="1" applyFill="1" applyBorder="1" applyAlignment="1">
      <alignment horizontal="left"/>
    </xf>
    <xf numFmtId="9" fontId="5" fillId="0" borderId="0" xfId="3" applyFont="1" applyFill="1" applyBorder="1" applyAlignment="1">
      <alignment horizontal="center"/>
    </xf>
    <xf numFmtId="9" fontId="11" fillId="0" borderId="0" xfId="3" applyFont="1" applyFill="1" applyBorder="1" applyAlignment="1">
      <alignment horizontal="center"/>
    </xf>
    <xf numFmtId="0" fontId="8" fillId="0" borderId="4" xfId="1" applyFont="1" applyFill="1" applyBorder="1" applyAlignment="1">
      <alignment vertical="top" wrapText="1"/>
    </xf>
    <xf numFmtId="0" fontId="9" fillId="0" borderId="0" xfId="1" applyFont="1" applyFill="1" applyBorder="1" applyAlignment="1">
      <alignment horizontal="center"/>
    </xf>
    <xf numFmtId="1" fontId="9" fillId="0" borderId="0" xfId="3" applyNumberFormat="1" applyFont="1" applyFill="1" applyBorder="1" applyAlignment="1">
      <alignment horizontal="center"/>
    </xf>
    <xf numFmtId="3" fontId="9" fillId="0" borderId="0" xfId="1" applyNumberFormat="1" applyFont="1" applyFill="1" applyBorder="1" applyAlignment="1">
      <alignment horizontal="center"/>
    </xf>
    <xf numFmtId="3" fontId="1" fillId="0" borderId="0" xfId="1" applyNumberFormat="1" applyFill="1" applyBorder="1"/>
    <xf numFmtId="1" fontId="1" fillId="0" borderId="0" xfId="1" applyNumberFormat="1" applyFont="1" applyFill="1" applyBorder="1"/>
    <xf numFmtId="0" fontId="3" fillId="0" borderId="0" xfId="1" applyFont="1" applyFill="1" applyBorder="1"/>
    <xf numFmtId="9" fontId="9" fillId="0" borderId="0" xfId="3" applyFont="1" applyFill="1" applyBorder="1" applyAlignment="1">
      <alignment horizontal="center"/>
    </xf>
    <xf numFmtId="165" fontId="9" fillId="0" borderId="0" xfId="1" applyNumberFormat="1" applyFont="1" applyFill="1" applyBorder="1" applyAlignment="1">
      <alignment horizontal="center"/>
    </xf>
    <xf numFmtId="3" fontId="9" fillId="0" borderId="0" xfId="3" applyNumberFormat="1" applyFont="1" applyFill="1" applyBorder="1" applyAlignment="1">
      <alignment horizontal="right"/>
    </xf>
    <xf numFmtId="1" fontId="1" fillId="0" borderId="0" xfId="3" applyNumberFormat="1" applyFont="1" applyFill="1" applyBorder="1" applyAlignment="1" applyProtection="1">
      <alignment horizontal="center"/>
      <protection locked="0"/>
    </xf>
    <xf numFmtId="0" fontId="1" fillId="0" borderId="1" xfId="1" applyFill="1" applyBorder="1"/>
    <xf numFmtId="0" fontId="1" fillId="0" borderId="1" xfId="1" applyFont="1" applyFill="1" applyBorder="1"/>
    <xf numFmtId="0" fontId="7" fillId="0" borderId="0" xfId="1" applyFont="1" applyFill="1" applyBorder="1"/>
    <xf numFmtId="3" fontId="1" fillId="0" borderId="0" xfId="1" applyNumberFormat="1" applyFill="1" applyBorder="1" applyAlignment="1" applyProtection="1">
      <alignment horizontal="right"/>
      <protection locked="0"/>
    </xf>
    <xf numFmtId="9" fontId="1" fillId="0" borderId="0" xfId="3" applyFill="1" applyBorder="1" applyAlignment="1">
      <alignment horizontal="center"/>
    </xf>
    <xf numFmtId="0" fontId="1" fillId="0" borderId="0" xfId="1" applyFill="1" applyBorder="1" applyAlignment="1">
      <alignment horizontal="right"/>
    </xf>
    <xf numFmtId="173" fontId="1" fillId="0" borderId="0" xfId="1" applyNumberFormat="1" applyFill="1" applyBorder="1" applyAlignment="1">
      <alignment horizontal="center"/>
    </xf>
    <xf numFmtId="1" fontId="15" fillId="0" borderId="0" xfId="1" applyNumberFormat="1" applyFont="1" applyFill="1" applyBorder="1" applyAlignment="1">
      <alignment horizontal="center"/>
    </xf>
    <xf numFmtId="0" fontId="9" fillId="0" borderId="0" xfId="1" applyFont="1" applyFill="1" applyBorder="1" applyAlignment="1">
      <alignment horizontal="center" vertical="center" wrapText="1"/>
    </xf>
    <xf numFmtId="0" fontId="8" fillId="0" borderId="0" xfId="1" applyFont="1" applyFill="1" applyBorder="1" applyAlignment="1">
      <alignment vertical="center"/>
    </xf>
    <xf numFmtId="0" fontId="15" fillId="0" borderId="0" xfId="1" applyFont="1" applyFill="1" applyBorder="1" applyAlignment="1">
      <alignment horizontal="right"/>
    </xf>
    <xf numFmtId="0" fontId="9" fillId="0" borderId="0" xfId="1" applyFont="1" applyFill="1" applyBorder="1" applyAlignment="1">
      <alignment horizontal="right" wrapText="1"/>
    </xf>
    <xf numFmtId="0" fontId="9" fillId="0" borderId="0" xfId="1" applyFont="1" applyFill="1" applyBorder="1" applyAlignment="1">
      <alignment horizontal="right"/>
    </xf>
    <xf numFmtId="0" fontId="14" fillId="0" borderId="0" xfId="1" applyFont="1" applyFill="1" applyBorder="1"/>
    <xf numFmtId="9" fontId="14" fillId="0" borderId="0" xfId="3" applyFont="1" applyFill="1" applyBorder="1" applyAlignment="1">
      <alignment horizontal="center"/>
    </xf>
    <xf numFmtId="0" fontId="3" fillId="0" borderId="0" xfId="1" applyFont="1" applyFill="1" applyBorder="1" applyAlignment="1">
      <alignment horizontal="right"/>
    </xf>
    <xf numFmtId="9" fontId="1" fillId="0" borderId="0" xfId="2" applyFill="1" applyBorder="1" applyAlignment="1">
      <alignment horizontal="center"/>
    </xf>
    <xf numFmtId="0" fontId="9" fillId="0" borderId="0" xfId="1" applyFont="1" applyFill="1" applyBorder="1" applyAlignment="1"/>
    <xf numFmtId="169" fontId="1" fillId="0" borderId="0" xfId="1" applyNumberFormat="1" applyFill="1" applyBorder="1" applyAlignment="1" applyProtection="1">
      <alignment horizontal="center"/>
      <protection locked="0"/>
    </xf>
    <xf numFmtId="165" fontId="1" fillId="0" borderId="0" xfId="1" applyNumberFormat="1" applyFill="1" applyBorder="1" applyAlignment="1">
      <alignment horizontal="center"/>
    </xf>
    <xf numFmtId="0" fontId="3" fillId="0" borderId="0" xfId="1" applyFont="1" applyFill="1" applyBorder="1" applyAlignment="1" applyProtection="1">
      <alignment horizontal="right"/>
      <protection locked="0"/>
    </xf>
    <xf numFmtId="167" fontId="9"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9" fontId="3" fillId="0" borderId="0" xfId="1" applyNumberFormat="1" applyFont="1" applyFill="1" applyBorder="1" applyAlignment="1" applyProtection="1">
      <alignment horizontal="center"/>
      <protection locked="0"/>
    </xf>
    <xf numFmtId="9" fontId="3" fillId="0" borderId="0" xfId="1" applyNumberFormat="1" applyFont="1" applyFill="1" applyBorder="1" applyAlignment="1" applyProtection="1">
      <alignment horizontal="right"/>
      <protection locked="0"/>
    </xf>
    <xf numFmtId="0" fontId="9" fillId="0" borderId="0" xfId="1" applyFont="1"/>
    <xf numFmtId="2" fontId="1" fillId="0" borderId="0" xfId="1" applyNumberFormat="1" applyAlignment="1">
      <alignment horizontal="center"/>
    </xf>
    <xf numFmtId="0" fontId="1" fillId="0" borderId="0" xfId="1" applyBorder="1" applyAlignment="1">
      <alignment wrapText="1"/>
    </xf>
    <xf numFmtId="0" fontId="1" fillId="0" borderId="0" xfId="1" applyFont="1" applyBorder="1" applyAlignment="1">
      <alignment horizontal="center" wrapText="1"/>
    </xf>
    <xf numFmtId="0" fontId="1" fillId="0" borderId="0" xfId="1" applyFont="1" applyBorder="1" applyAlignment="1">
      <alignment horizontal="center" vertical="center" wrapText="1"/>
    </xf>
    <xf numFmtId="174" fontId="1" fillId="0" borderId="0" xfId="1" applyNumberFormat="1" applyFont="1" applyBorder="1" applyAlignment="1">
      <alignment horizontal="center" vertical="center" wrapText="1"/>
    </xf>
    <xf numFmtId="171" fontId="1" fillId="0" borderId="0" xfId="1" applyNumberFormat="1" applyFont="1" applyFill="1" applyBorder="1" applyAlignment="1">
      <alignment horizontal="center" vertical="center" wrapText="1"/>
    </xf>
    <xf numFmtId="174" fontId="1" fillId="0" borderId="0" xfId="1" applyNumberFormat="1" applyBorder="1" applyAlignment="1">
      <alignment horizontal="center" vertical="center" wrapText="1"/>
    </xf>
    <xf numFmtId="0" fontId="1" fillId="0" borderId="1" xfId="1" applyFont="1" applyBorder="1" applyAlignment="1">
      <alignment horizontal="left" vertical="center"/>
    </xf>
    <xf numFmtId="0" fontId="1" fillId="0" borderId="1" xfId="1" applyFont="1" applyFill="1" applyBorder="1" applyAlignment="1">
      <alignment horizontal="left" vertical="center"/>
    </xf>
    <xf numFmtId="2" fontId="1" fillId="0" borderId="1" xfId="1" applyNumberFormat="1" applyBorder="1" applyAlignment="1">
      <alignment horizontal="left" vertical="center"/>
    </xf>
    <xf numFmtId="2" fontId="1" fillId="0" borderId="1" xfId="1" applyNumberFormat="1" applyBorder="1" applyAlignment="1">
      <alignment horizontal="center" vertical="center"/>
    </xf>
    <xf numFmtId="9" fontId="1" fillId="0" borderId="0" xfId="1" applyNumberFormat="1"/>
    <xf numFmtId="0" fontId="21" fillId="0" borderId="0" xfId="1" applyFont="1"/>
    <xf numFmtId="9" fontId="21" fillId="0" borderId="0" xfId="1" applyNumberFormat="1" applyFont="1"/>
    <xf numFmtId="0" fontId="9" fillId="0" borderId="4" xfId="1" applyFont="1" applyFill="1" applyBorder="1" applyAlignment="1">
      <alignment horizontal="center"/>
    </xf>
    <xf numFmtId="0" fontId="1" fillId="2" borderId="0" xfId="1" applyFont="1" applyFill="1" applyBorder="1" applyAlignment="1">
      <alignment horizontal="left"/>
    </xf>
    <xf numFmtId="0" fontId="9" fillId="0" borderId="1" xfId="1" applyFont="1" applyFill="1" applyBorder="1"/>
    <xf numFmtId="0" fontId="4" fillId="0" borderId="0" xfId="1" applyFont="1" applyFill="1"/>
    <xf numFmtId="0" fontId="1" fillId="0" borderId="0" xfId="1" applyFill="1" applyAlignment="1"/>
    <xf numFmtId="0" fontId="4" fillId="0" borderId="0" xfId="1" applyFont="1" applyFill="1" applyAlignment="1"/>
    <xf numFmtId="0" fontId="25" fillId="0" borderId="0" xfId="1" applyFont="1"/>
    <xf numFmtId="0" fontId="25" fillId="0" borderId="0" xfId="1" applyFont="1" applyFill="1" applyBorder="1"/>
    <xf numFmtId="0" fontId="2" fillId="0" borderId="1" xfId="1" applyFont="1" applyBorder="1" applyAlignment="1">
      <alignment vertical="top" wrapText="1"/>
    </xf>
    <xf numFmtId="0" fontId="1" fillId="0" borderId="1" xfId="1" applyFont="1" applyFill="1" applyBorder="1" applyAlignment="1">
      <alignment vertical="top" wrapText="1"/>
    </xf>
    <xf numFmtId="0" fontId="7" fillId="0" borderId="0" xfId="1" applyFont="1" applyFill="1"/>
    <xf numFmtId="0" fontId="7" fillId="0" borderId="1" xfId="1" applyFont="1" applyFill="1" applyBorder="1" applyAlignment="1">
      <alignment vertical="top" wrapText="1"/>
    </xf>
    <xf numFmtId="0" fontId="9" fillId="0" borderId="1" xfId="1" applyFont="1" applyFill="1" applyBorder="1" applyAlignment="1">
      <alignment horizontal="center"/>
    </xf>
    <xf numFmtId="0" fontId="26" fillId="5" borderId="0" xfId="0" applyFont="1" applyFill="1"/>
    <xf numFmtId="0" fontId="0" fillId="5" borderId="0" xfId="0" applyFill="1"/>
    <xf numFmtId="0" fontId="0" fillId="0" borderId="0" xfId="0" applyBorder="1"/>
    <xf numFmtId="3" fontId="9" fillId="0" borderId="1" xfId="1" applyNumberFormat="1" applyFont="1" applyBorder="1"/>
    <xf numFmtId="0" fontId="1" fillId="0" borderId="1" xfId="1" applyFont="1" applyFill="1" applyBorder="1" applyAlignment="1">
      <alignment horizontal="right"/>
    </xf>
    <xf numFmtId="0" fontId="1" fillId="0" borderId="1" xfId="1" applyFont="1" applyFill="1" applyBorder="1" applyAlignment="1">
      <alignment horizontal="center"/>
    </xf>
    <xf numFmtId="0" fontId="28" fillId="0" borderId="0" xfId="1" applyFont="1"/>
    <xf numFmtId="0" fontId="29" fillId="0" borderId="0" xfId="1" applyFont="1"/>
    <xf numFmtId="0" fontId="28" fillId="0" borderId="0" xfId="1" applyFont="1" applyAlignment="1">
      <alignment horizontal="center"/>
    </xf>
    <xf numFmtId="0" fontId="28" fillId="0" borderId="0" xfId="1" applyFont="1" applyFill="1" applyAlignment="1">
      <alignment horizontal="left"/>
    </xf>
    <xf numFmtId="0" fontId="28" fillId="0" borderId="0" xfId="1" applyFont="1" applyFill="1"/>
    <xf numFmtId="170" fontId="28" fillId="0" borderId="0" xfId="1" applyNumberFormat="1" applyFont="1" applyFill="1" applyAlignment="1">
      <alignment horizontal="center"/>
    </xf>
    <xf numFmtId="9" fontId="28" fillId="0" borderId="0" xfId="1" applyNumberFormat="1" applyFont="1" applyFill="1"/>
    <xf numFmtId="9" fontId="30" fillId="0" borderId="0" xfId="3" applyFont="1" applyAlignment="1">
      <alignment horizontal="center"/>
    </xf>
    <xf numFmtId="0" fontId="28" fillId="0" borderId="0" xfId="1" applyFont="1" applyFill="1" applyBorder="1"/>
    <xf numFmtId="4" fontId="28" fillId="0" borderId="0" xfId="1" applyNumberFormat="1" applyFont="1" applyFill="1" applyBorder="1" applyAlignment="1">
      <alignment horizontal="center"/>
    </xf>
    <xf numFmtId="9" fontId="28" fillId="0" borderId="0" xfId="1" applyNumberFormat="1" applyFont="1" applyFill="1" applyBorder="1"/>
    <xf numFmtId="0" fontId="28" fillId="0" borderId="0" xfId="1" applyFont="1" applyFill="1" applyBorder="1" applyAlignment="1">
      <alignment horizontal="center"/>
    </xf>
    <xf numFmtId="0" fontId="28" fillId="0" borderId="0" xfId="1" applyFont="1" applyFill="1" applyBorder="1" applyAlignment="1">
      <alignment horizontal="left"/>
    </xf>
    <xf numFmtId="2" fontId="28" fillId="0" borderId="0" xfId="1" applyNumberFormat="1" applyFont="1" applyFill="1" applyBorder="1"/>
    <xf numFmtId="0" fontId="29" fillId="0" borderId="0" xfId="1" applyFont="1" applyFill="1" applyBorder="1"/>
    <xf numFmtId="3" fontId="28" fillId="0" borderId="0" xfId="1" applyNumberFormat="1" applyFont="1" applyFill="1" applyBorder="1" applyAlignment="1">
      <alignment horizontal="center"/>
    </xf>
    <xf numFmtId="0" fontId="29" fillId="0" borderId="0" xfId="1" applyFont="1" applyFill="1" applyAlignment="1">
      <alignment horizontal="left"/>
    </xf>
    <xf numFmtId="3" fontId="28" fillId="0" borderId="0" xfId="1" applyNumberFormat="1" applyFont="1" applyFill="1" applyBorder="1"/>
    <xf numFmtId="0" fontId="29" fillId="0" borderId="0" xfId="3" applyNumberFormat="1" applyFont="1" applyFill="1" applyBorder="1" applyAlignment="1">
      <alignment horizontal="center"/>
    </xf>
    <xf numFmtId="165" fontId="29" fillId="0" borderId="0" xfId="1" applyNumberFormat="1" applyFont="1" applyFill="1" applyBorder="1" applyAlignment="1">
      <alignment horizontal="center"/>
    </xf>
    <xf numFmtId="3" fontId="29" fillId="0" borderId="0" xfId="3" applyNumberFormat="1" applyFont="1" applyFill="1" applyBorder="1" applyAlignment="1">
      <alignment horizontal="center"/>
    </xf>
    <xf numFmtId="174" fontId="29" fillId="0" borderId="0" xfId="3" applyNumberFormat="1" applyFont="1" applyFill="1" applyBorder="1" applyAlignment="1">
      <alignment horizontal="center"/>
    </xf>
    <xf numFmtId="9" fontId="28" fillId="0" borderId="0" xfId="3" applyFont="1" applyFill="1" applyBorder="1"/>
    <xf numFmtId="10" fontId="28" fillId="0" borderId="0" xfId="1" applyNumberFormat="1" applyFont="1" applyFill="1" applyBorder="1"/>
    <xf numFmtId="1" fontId="28" fillId="0" borderId="0" xfId="1" applyNumberFormat="1" applyFont="1" applyFill="1" applyBorder="1"/>
    <xf numFmtId="0" fontId="28" fillId="0" borderId="0" xfId="1" applyFont="1" applyFill="1" applyBorder="1" applyAlignment="1">
      <alignment horizontal="right"/>
    </xf>
    <xf numFmtId="166" fontId="28" fillId="0" borderId="0" xfId="1" applyNumberFormat="1" applyFont="1" applyFill="1" applyBorder="1"/>
    <xf numFmtId="166" fontId="29" fillId="0" borderId="0" xfId="1" applyNumberFormat="1" applyFont="1" applyFill="1" applyBorder="1" applyAlignment="1">
      <alignment horizontal="center"/>
    </xf>
    <xf numFmtId="169" fontId="29" fillId="0" borderId="0" xfId="1" applyNumberFormat="1" applyFont="1" applyFill="1" applyBorder="1" applyAlignment="1">
      <alignment horizontal="center"/>
    </xf>
    <xf numFmtId="170" fontId="28" fillId="0" borderId="0" xfId="1" applyNumberFormat="1" applyFont="1" applyFill="1" applyBorder="1" applyAlignment="1">
      <alignment horizontal="center"/>
    </xf>
    <xf numFmtId="3" fontId="29" fillId="0" borderId="0" xfId="1" applyNumberFormat="1" applyFont="1" applyFill="1" applyBorder="1" applyAlignment="1">
      <alignment horizontal="center"/>
    </xf>
    <xf numFmtId="0" fontId="31" fillId="0" borderId="0" xfId="1" applyFont="1" applyFill="1" applyBorder="1"/>
    <xf numFmtId="0" fontId="31" fillId="0" borderId="0" xfId="1" applyFont="1" applyFill="1"/>
    <xf numFmtId="0" fontId="31" fillId="0" borderId="1" xfId="1" applyFont="1" applyFill="1" applyBorder="1" applyAlignment="1">
      <alignment horizontal="left"/>
    </xf>
    <xf numFmtId="0" fontId="31" fillId="0" borderId="0" xfId="1" applyFont="1" applyFill="1" applyBorder="1" applyAlignment="1"/>
    <xf numFmtId="0" fontId="31" fillId="0" borderId="1" xfId="1" applyFont="1" applyFill="1" applyBorder="1"/>
    <xf numFmtId="0" fontId="31" fillId="0" borderId="0" xfId="1" applyFont="1" applyFill="1" applyAlignment="1">
      <alignment horizontal="center"/>
    </xf>
    <xf numFmtId="168" fontId="31" fillId="0" borderId="0" xfId="3" applyNumberFormat="1" applyFont="1" applyFill="1" applyBorder="1" applyAlignment="1">
      <alignment horizontal="center"/>
    </xf>
    <xf numFmtId="164" fontId="31" fillId="0" borderId="1" xfId="1" applyNumberFormat="1" applyFont="1" applyFill="1" applyBorder="1"/>
    <xf numFmtId="0" fontId="31" fillId="0" borderId="0" xfId="1" applyFont="1" applyFill="1" applyAlignment="1"/>
    <xf numFmtId="0" fontId="33" fillId="0" borderId="0" xfId="1" applyFont="1" applyFill="1" applyAlignment="1"/>
    <xf numFmtId="0" fontId="31" fillId="0" borderId="0" xfId="1" applyFont="1" applyFill="1" applyAlignment="1">
      <alignment wrapText="1"/>
    </xf>
    <xf numFmtId="0" fontId="32" fillId="0" borderId="1" xfId="1" applyFont="1" applyFill="1" applyBorder="1" applyAlignment="1">
      <alignment horizontal="center" vertical="center" wrapText="1"/>
    </xf>
    <xf numFmtId="9" fontId="31" fillId="0" borderId="1" xfId="3" applyFont="1" applyFill="1" applyBorder="1"/>
    <xf numFmtId="0" fontId="32" fillId="0" borderId="0" xfId="1" applyFont="1" applyFill="1" applyAlignment="1">
      <alignment horizontal="left"/>
    </xf>
    <xf numFmtId="9" fontId="35" fillId="0" borderId="0" xfId="1" applyNumberFormat="1" applyFont="1" applyFill="1" applyBorder="1" applyAlignment="1">
      <alignment horizontal="center"/>
    </xf>
    <xf numFmtId="165" fontId="31" fillId="0" borderId="0" xfId="1" applyNumberFormat="1" applyFont="1" applyFill="1" applyBorder="1" applyAlignment="1" applyProtection="1">
      <alignment horizontal="center"/>
      <protection locked="0"/>
    </xf>
    <xf numFmtId="169" fontId="32" fillId="0" borderId="1" xfId="1" applyNumberFormat="1" applyFont="1" applyFill="1" applyBorder="1" applyAlignment="1">
      <alignment horizontal="center" wrapText="1"/>
    </xf>
    <xf numFmtId="0" fontId="31" fillId="0" borderId="1" xfId="1" applyFont="1" applyFill="1" applyBorder="1" applyAlignment="1">
      <alignment horizontal="center" wrapText="1"/>
    </xf>
    <xf numFmtId="0" fontId="31" fillId="0" borderId="1" xfId="1" applyFont="1" applyFill="1" applyBorder="1" applyAlignment="1">
      <alignment horizontal="right"/>
    </xf>
    <xf numFmtId="0" fontId="32" fillId="0" borderId="1" xfId="1" applyFont="1" applyFill="1" applyBorder="1" applyAlignment="1">
      <alignment horizontal="right" wrapText="1"/>
    </xf>
    <xf numFmtId="164" fontId="32" fillId="0" borderId="1" xfId="1" applyNumberFormat="1" applyFont="1" applyFill="1" applyBorder="1" applyAlignment="1">
      <alignment horizontal="center"/>
    </xf>
    <xf numFmtId="169" fontId="33" fillId="0" borderId="1" xfId="1" applyNumberFormat="1" applyFont="1" applyFill="1" applyBorder="1" applyAlignment="1">
      <alignment horizontal="center" wrapText="1"/>
    </xf>
    <xf numFmtId="164" fontId="32" fillId="0" borderId="1" xfId="1" applyNumberFormat="1" applyFont="1" applyFill="1" applyBorder="1"/>
    <xf numFmtId="0" fontId="31" fillId="0" borderId="1" xfId="1" applyNumberFormat="1" applyFont="1" applyFill="1" applyBorder="1"/>
    <xf numFmtId="2" fontId="31" fillId="0" borderId="1" xfId="1" applyNumberFormat="1" applyFont="1" applyFill="1" applyBorder="1"/>
    <xf numFmtId="164" fontId="31" fillId="0" borderId="0" xfId="1" applyNumberFormat="1" applyFont="1" applyFill="1"/>
    <xf numFmtId="0" fontId="31" fillId="0" borderId="0" xfId="5" applyFont="1" applyFill="1"/>
    <xf numFmtId="0" fontId="1" fillId="0" borderId="1" xfId="1" applyFont="1" applyFill="1" applyBorder="1" applyAlignment="1">
      <alignment horizontal="center" vertical="top" wrapText="1"/>
    </xf>
    <xf numFmtId="0" fontId="32" fillId="0" borderId="0" xfId="1" applyFont="1" applyFill="1" applyBorder="1"/>
    <xf numFmtId="0" fontId="31" fillId="0" borderId="0" xfId="1" applyFont="1" applyFill="1" applyBorder="1" applyAlignment="1">
      <alignment horizontal="center"/>
    </xf>
    <xf numFmtId="0" fontId="31" fillId="0" borderId="0" xfId="1" applyFont="1" applyFill="1" applyBorder="1" applyAlignment="1">
      <alignment wrapText="1"/>
    </xf>
    <xf numFmtId="3" fontId="31" fillId="0" borderId="0" xfId="1" applyNumberFormat="1" applyFont="1" applyFill="1" applyBorder="1"/>
    <xf numFmtId="3" fontId="32" fillId="0" borderId="0" xfId="1" applyNumberFormat="1" applyFont="1" applyFill="1" applyBorder="1"/>
    <xf numFmtId="3" fontId="32" fillId="0" borderId="0" xfId="1" applyNumberFormat="1" applyFont="1" applyFill="1" applyBorder="1" applyAlignment="1">
      <alignment horizontal="center"/>
    </xf>
    <xf numFmtId="0" fontId="39" fillId="0" borderId="0" xfId="1" applyFont="1" applyFill="1"/>
    <xf numFmtId="0" fontId="39" fillId="0" borderId="0" xfId="1" applyFont="1" applyFill="1" applyBorder="1" applyAlignment="1"/>
    <xf numFmtId="0" fontId="39" fillId="0" borderId="0" xfId="1" applyFont="1" applyFill="1" applyBorder="1"/>
    <xf numFmtId="0" fontId="39" fillId="0" borderId="0" xfId="6" applyFont="1" applyFill="1" applyBorder="1" applyAlignment="1">
      <alignment horizontal="center" wrapText="1"/>
    </xf>
    <xf numFmtId="0" fontId="40" fillId="0" borderId="0" xfId="1" applyFont="1" applyFill="1" applyBorder="1"/>
    <xf numFmtId="0" fontId="39" fillId="0" borderId="0" xfId="1" applyFont="1" applyFill="1" applyBorder="1" applyAlignment="1">
      <alignment horizontal="center"/>
    </xf>
    <xf numFmtId="168" fontId="39" fillId="0" borderId="0" xfId="3" applyNumberFormat="1" applyFont="1" applyFill="1" applyBorder="1" applyAlignment="1">
      <alignment horizontal="center"/>
    </xf>
    <xf numFmtId="0" fontId="42" fillId="7" borderId="8" xfId="0" applyFont="1" applyFill="1" applyBorder="1" applyAlignment="1">
      <alignment wrapText="1"/>
    </xf>
    <xf numFmtId="0" fontId="7" fillId="0" borderId="0" xfId="1" applyFont="1"/>
    <xf numFmtId="0" fontId="26" fillId="0" borderId="0" xfId="0" applyFont="1"/>
    <xf numFmtId="2" fontId="43" fillId="0" borderId="1" xfId="1" applyNumberFormat="1" applyFont="1" applyFill="1" applyBorder="1" applyAlignment="1">
      <alignment horizontal="center" vertical="center"/>
    </xf>
    <xf numFmtId="174" fontId="43" fillId="0" borderId="1" xfId="1" applyNumberFormat="1" applyFont="1" applyBorder="1" applyAlignment="1">
      <alignment horizontal="center" wrapText="1"/>
    </xf>
    <xf numFmtId="0" fontId="7" fillId="0" borderId="1" xfId="1" applyFont="1" applyFill="1" applyBorder="1" applyAlignment="1">
      <alignment vertical="top"/>
    </xf>
    <xf numFmtId="1" fontId="4" fillId="0" borderId="0" xfId="1" applyNumberFormat="1" applyFont="1" applyFill="1" applyBorder="1" applyAlignment="1">
      <alignment horizontal="center"/>
    </xf>
    <xf numFmtId="0" fontId="0" fillId="0" borderId="0" xfId="0" applyFill="1"/>
    <xf numFmtId="0" fontId="7" fillId="0" borderId="0" xfId="1" applyFont="1" applyFill="1" applyAlignment="1"/>
    <xf numFmtId="0" fontId="1" fillId="0" borderId="0" xfId="1" applyFill="1" applyAlignment="1">
      <alignment wrapText="1"/>
    </xf>
    <xf numFmtId="0" fontId="38" fillId="4" borderId="1" xfId="1" applyFont="1" applyFill="1" applyBorder="1" applyAlignment="1">
      <alignment horizontal="center" vertical="center" wrapText="1"/>
    </xf>
    <xf numFmtId="0" fontId="46" fillId="0" borderId="0" xfId="1" applyFont="1" applyFill="1" applyAlignment="1"/>
    <xf numFmtId="0" fontId="43" fillId="0" borderId="0" xfId="1" applyFont="1" applyFill="1" applyAlignment="1">
      <alignment wrapText="1"/>
    </xf>
    <xf numFmtId="9" fontId="43" fillId="0" borderId="0" xfId="3" applyFont="1" applyFill="1" applyBorder="1" applyAlignment="1">
      <alignment horizontal="center"/>
    </xf>
    <xf numFmtId="0" fontId="43" fillId="0" borderId="0" xfId="1" applyFont="1" applyFill="1" applyBorder="1"/>
    <xf numFmtId="0" fontId="47" fillId="0" borderId="0" xfId="0" applyFont="1"/>
    <xf numFmtId="0" fontId="38" fillId="4" borderId="3" xfId="1" applyFont="1" applyFill="1" applyBorder="1" applyAlignment="1">
      <alignment horizontal="center" vertical="center" wrapText="1"/>
    </xf>
    <xf numFmtId="0" fontId="43" fillId="0" borderId="1" xfId="1" applyFont="1" applyBorder="1" applyAlignment="1">
      <alignment horizontal="center" wrapText="1"/>
    </xf>
    <xf numFmtId="0" fontId="48" fillId="0" borderId="0" xfId="1" applyFont="1" applyFill="1" applyAlignment="1"/>
    <xf numFmtId="0" fontId="43" fillId="0" borderId="1" xfId="1" applyFont="1" applyBorder="1" applyAlignment="1">
      <alignment horizontal="left" vertical="center"/>
    </xf>
    <xf numFmtId="0" fontId="43" fillId="0" borderId="1" xfId="1" applyFont="1" applyFill="1" applyBorder="1" applyAlignment="1">
      <alignment horizontal="left" vertical="center"/>
    </xf>
    <xf numFmtId="2" fontId="43" fillId="0" borderId="1" xfId="1" applyNumberFormat="1" applyFont="1" applyBorder="1" applyAlignment="1">
      <alignment horizontal="left" vertical="center"/>
    </xf>
    <xf numFmtId="2" fontId="43" fillId="0" borderId="1" xfId="1" applyNumberFormat="1" applyFont="1" applyBorder="1" applyAlignment="1">
      <alignment horizontal="center" vertical="center"/>
    </xf>
    <xf numFmtId="0" fontId="43" fillId="0" borderId="0" xfId="1" applyFont="1" applyFill="1"/>
    <xf numFmtId="0" fontId="38" fillId="0" borderId="1" xfId="1" applyFont="1" applyFill="1" applyBorder="1" applyAlignment="1">
      <alignment horizontal="center" vertical="center" wrapText="1"/>
    </xf>
    <xf numFmtId="2" fontId="43" fillId="0" borderId="1" xfId="1" applyNumberFormat="1" applyFont="1" applyFill="1" applyBorder="1" applyAlignment="1">
      <alignment horizontal="left" vertical="center"/>
    </xf>
    <xf numFmtId="0" fontId="43" fillId="0" borderId="0" xfId="1" applyFont="1" applyFill="1" applyAlignment="1">
      <alignment horizontal="left"/>
    </xf>
    <xf numFmtId="0" fontId="49" fillId="0" borderId="1" xfId="1" applyFont="1" applyFill="1" applyBorder="1" applyAlignment="1">
      <alignment horizontal="center" vertical="center" wrapText="1"/>
    </xf>
    <xf numFmtId="168" fontId="47" fillId="0" borderId="1" xfId="3" applyNumberFormat="1" applyFont="1" applyFill="1" applyBorder="1" applyAlignment="1">
      <alignment horizontal="center" vertical="center"/>
    </xf>
    <xf numFmtId="0" fontId="9" fillId="0" borderId="0" xfId="1" applyFont="1" applyFill="1" applyAlignment="1">
      <alignment horizontal="left"/>
    </xf>
    <xf numFmtId="0" fontId="1" fillId="0" borderId="0" xfId="1" applyFont="1" applyFill="1" applyBorder="1" applyAlignment="1">
      <alignment horizontal="left"/>
    </xf>
    <xf numFmtId="0" fontId="1" fillId="0" borderId="0" xfId="1" applyFont="1" applyFill="1" applyAlignment="1">
      <alignment horizontal="left"/>
    </xf>
    <xf numFmtId="0" fontId="1" fillId="0" borderId="4" xfId="1" applyFont="1" applyFill="1" applyBorder="1" applyAlignment="1">
      <alignment horizontal="center"/>
    </xf>
    <xf numFmtId="0" fontId="37" fillId="6" borderId="5" xfId="7"/>
    <xf numFmtId="0" fontId="7" fillId="0" borderId="1" xfId="1" applyFont="1" applyFill="1" applyBorder="1"/>
    <xf numFmtId="0" fontId="1" fillId="0" borderId="1" xfId="1" applyFont="1" applyFill="1" applyBorder="1" applyAlignment="1">
      <alignment horizontal="left" vertical="top" wrapText="1"/>
    </xf>
    <xf numFmtId="0" fontId="37" fillId="6" borderId="9" xfId="7" applyBorder="1"/>
    <xf numFmtId="0" fontId="37" fillId="6" borderId="10" xfId="7" applyBorder="1"/>
    <xf numFmtId="0" fontId="37" fillId="6" borderId="11" xfId="7" applyBorder="1"/>
    <xf numFmtId="0" fontId="37" fillId="6" borderId="12" xfId="7" applyBorder="1"/>
    <xf numFmtId="0" fontId="37" fillId="6" borderId="13" xfId="7" applyBorder="1"/>
    <xf numFmtId="0" fontId="37" fillId="6" borderId="5" xfId="7" applyBorder="1"/>
    <xf numFmtId="0" fontId="37" fillId="6" borderId="14" xfId="7" applyBorder="1"/>
    <xf numFmtId="0" fontId="37" fillId="6" borderId="15" xfId="7" applyBorder="1"/>
    <xf numFmtId="0" fontId="37" fillId="6" borderId="16" xfId="7" applyBorder="1"/>
    <xf numFmtId="0" fontId="37" fillId="6" borderId="17" xfId="7" applyBorder="1"/>
    <xf numFmtId="0" fontId="37" fillId="6" borderId="8" xfId="7" applyBorder="1"/>
    <xf numFmtId="0" fontId="37" fillId="6" borderId="18" xfId="7" applyBorder="1"/>
    <xf numFmtId="0" fontId="37" fillId="6" borderId="19" xfId="7" applyBorder="1"/>
    <xf numFmtId="0" fontId="37" fillId="6" borderId="20" xfId="7" applyBorder="1"/>
    <xf numFmtId="0" fontId="37" fillId="6" borderId="21" xfId="7" applyBorder="1"/>
    <xf numFmtId="0" fontId="37" fillId="6" borderId="22" xfId="7" applyBorder="1"/>
    <xf numFmtId="0" fontId="37" fillId="6" borderId="23" xfId="7" applyBorder="1"/>
    <xf numFmtId="0" fontId="37" fillId="6" borderId="24" xfId="7" applyBorder="1"/>
    <xf numFmtId="0" fontId="37" fillId="6" borderId="25" xfId="7" applyBorder="1"/>
    <xf numFmtId="0" fontId="37" fillId="6" borderId="26" xfId="7" applyBorder="1"/>
    <xf numFmtId="0" fontId="37" fillId="6" borderId="27" xfId="7" applyBorder="1"/>
    <xf numFmtId="0" fontId="37" fillId="6" borderId="28" xfId="7" applyBorder="1"/>
    <xf numFmtId="0" fontId="37" fillId="6" borderId="29" xfId="7" applyBorder="1"/>
    <xf numFmtId="0" fontId="37" fillId="6" borderId="30" xfId="7" applyBorder="1"/>
    <xf numFmtId="0" fontId="50" fillId="8" borderId="6" xfId="0" applyFont="1" applyFill="1" applyBorder="1" applyAlignment="1">
      <alignment wrapText="1"/>
    </xf>
    <xf numFmtId="0" fontId="1" fillId="0" borderId="2" xfId="1" applyFont="1" applyFill="1" applyBorder="1"/>
    <xf numFmtId="0" fontId="42" fillId="7" borderId="31" xfId="0" applyFont="1" applyFill="1" applyBorder="1" applyAlignment="1">
      <alignment wrapText="1"/>
    </xf>
    <xf numFmtId="0" fontId="37" fillId="0" borderId="0" xfId="7" applyFill="1" applyBorder="1"/>
    <xf numFmtId="0" fontId="51" fillId="0" borderId="7" xfId="0" applyFont="1" applyBorder="1" applyAlignment="1">
      <alignment wrapText="1"/>
    </xf>
    <xf numFmtId="0" fontId="52" fillId="0" borderId="7" xfId="0" applyFont="1" applyBorder="1" applyAlignment="1">
      <alignment wrapText="1"/>
    </xf>
    <xf numFmtId="0" fontId="53" fillId="0" borderId="7" xfId="0" applyFont="1" applyBorder="1" applyAlignment="1">
      <alignment wrapText="1"/>
    </xf>
    <xf numFmtId="0" fontId="54" fillId="0" borderId="7" xfId="0" applyFont="1" applyBorder="1" applyAlignment="1">
      <alignment wrapText="1"/>
    </xf>
    <xf numFmtId="0" fontId="43" fillId="0" borderId="0" xfId="1" applyFont="1" applyBorder="1" applyAlignment="1">
      <alignment wrapText="1"/>
    </xf>
    <xf numFmtId="0" fontId="51" fillId="0" borderId="0" xfId="0" applyFont="1" applyBorder="1" applyAlignment="1">
      <alignment wrapText="1"/>
    </xf>
    <xf numFmtId="0" fontId="1" fillId="0" borderId="0" xfId="1" applyBorder="1" applyAlignment="1">
      <alignment horizontal="center" wrapText="1"/>
    </xf>
    <xf numFmtId="2" fontId="1" fillId="0" borderId="0" xfId="1" applyNumberFormat="1" applyFont="1" applyFill="1" applyBorder="1" applyAlignment="1">
      <alignment horizontal="center" vertical="center" wrapText="1"/>
    </xf>
    <xf numFmtId="2" fontId="1" fillId="0" borderId="0" xfId="1" applyNumberFormat="1" applyBorder="1" applyAlignment="1">
      <alignment horizontal="center" wrapText="1"/>
    </xf>
    <xf numFmtId="0" fontId="43" fillId="0" borderId="0" xfId="1" applyFont="1" applyBorder="1" applyAlignment="1">
      <alignment horizontal="center" wrapText="1"/>
    </xf>
    <xf numFmtId="0" fontId="43" fillId="0" borderId="0" xfId="1" applyFont="1" applyFill="1" applyBorder="1" applyAlignment="1">
      <alignment horizontal="left" vertical="center" wrapText="1"/>
    </xf>
    <xf numFmtId="2" fontId="43" fillId="0" borderId="0" xfId="1" applyNumberFormat="1" applyFont="1" applyBorder="1" applyAlignment="1">
      <alignment horizontal="center" wrapText="1"/>
    </xf>
    <xf numFmtId="0" fontId="38" fillId="4" borderId="0" xfId="1" applyFont="1" applyFill="1" applyBorder="1" applyAlignment="1">
      <alignment horizontal="center" vertical="center" wrapText="1"/>
    </xf>
    <xf numFmtId="2" fontId="1" fillId="0" borderId="0" xfId="1" applyNumberFormat="1" applyBorder="1" applyAlignment="1">
      <alignment horizontal="center" vertical="center" wrapText="1"/>
    </xf>
    <xf numFmtId="0" fontId="1" fillId="0" borderId="0" xfId="1" applyFont="1" applyFill="1" applyBorder="1" applyAlignment="1">
      <alignment horizontal="center" vertical="center" wrapText="1"/>
    </xf>
    <xf numFmtId="0" fontId="1" fillId="0" borderId="0" xfId="1" applyBorder="1"/>
    <xf numFmtId="0" fontId="24" fillId="0" borderId="0" xfId="1" applyFont="1" applyBorder="1" applyAlignment="1"/>
    <xf numFmtId="9" fontId="0" fillId="0" borderId="0" xfId="3" applyFont="1" applyBorder="1" applyAlignment="1">
      <alignment horizontal="right"/>
    </xf>
    <xf numFmtId="9" fontId="34" fillId="0" borderId="0" xfId="3" applyFont="1" applyFill="1" applyBorder="1" applyAlignment="1">
      <alignment horizontal="right"/>
    </xf>
    <xf numFmtId="0" fontId="50" fillId="8" borderId="35" xfId="0" applyFont="1" applyFill="1" applyBorder="1" applyAlignment="1">
      <alignment wrapText="1"/>
    </xf>
    <xf numFmtId="0" fontId="50" fillId="8" borderId="36" xfId="0" applyFont="1" applyFill="1" applyBorder="1" applyAlignment="1">
      <alignment wrapText="1"/>
    </xf>
    <xf numFmtId="0" fontId="50" fillId="8" borderId="37" xfId="0" applyFont="1" applyFill="1" applyBorder="1" applyAlignment="1">
      <alignment wrapText="1"/>
    </xf>
    <xf numFmtId="0" fontId="50" fillId="8" borderId="38" xfId="0" applyFont="1" applyFill="1" applyBorder="1" applyAlignment="1">
      <alignment wrapText="1"/>
    </xf>
    <xf numFmtId="0" fontId="39" fillId="0" borderId="0" xfId="1" applyFont="1" applyFill="1" applyAlignment="1">
      <alignment horizontal="center" wrapText="1"/>
    </xf>
    <xf numFmtId="164" fontId="39" fillId="0" borderId="1" xfId="1" applyNumberFormat="1" applyFont="1" applyFill="1" applyBorder="1"/>
    <xf numFmtId="0" fontId="39" fillId="0" borderId="1" xfId="1" applyFont="1" applyFill="1" applyBorder="1" applyAlignment="1">
      <alignment horizontal="right"/>
    </xf>
    <xf numFmtId="0" fontId="39" fillId="0" borderId="0" xfId="1" applyFont="1"/>
    <xf numFmtId="0" fontId="50" fillId="8" borderId="39" xfId="0" applyFont="1" applyFill="1" applyBorder="1" applyAlignment="1">
      <alignment wrapText="1"/>
    </xf>
    <xf numFmtId="0" fontId="50" fillId="8" borderId="40" xfId="0" applyFont="1" applyFill="1" applyBorder="1" applyAlignment="1">
      <alignment wrapText="1"/>
    </xf>
    <xf numFmtId="0" fontId="50" fillId="8" borderId="41" xfId="0" applyFont="1" applyFill="1" applyBorder="1" applyAlignment="1">
      <alignment wrapText="1"/>
    </xf>
    <xf numFmtId="0" fontId="50" fillId="8" borderId="42" xfId="0" applyFont="1" applyFill="1" applyBorder="1" applyAlignment="1">
      <alignment wrapText="1"/>
    </xf>
    <xf numFmtId="0" fontId="50" fillId="8" borderId="43" xfId="0" applyFont="1" applyFill="1" applyBorder="1" applyAlignment="1">
      <alignment wrapText="1"/>
    </xf>
    <xf numFmtId="0" fontId="50" fillId="8" borderId="44" xfId="0" applyFont="1" applyFill="1" applyBorder="1" applyAlignment="1">
      <alignment wrapText="1"/>
    </xf>
    <xf numFmtId="0" fontId="9" fillId="0" borderId="0" xfId="1" applyFont="1" applyFill="1"/>
    <xf numFmtId="0" fontId="42" fillId="7" borderId="8" xfId="0" applyFont="1" applyFill="1" applyBorder="1" applyAlignment="1">
      <alignment horizontal="center" wrapText="1"/>
    </xf>
    <xf numFmtId="0" fontId="51" fillId="0" borderId="7" xfId="0" applyFont="1" applyBorder="1" applyAlignment="1">
      <alignment horizontal="center" wrapText="1"/>
    </xf>
    <xf numFmtId="0" fontId="50" fillId="8" borderId="6" xfId="0" applyFont="1" applyFill="1" applyBorder="1" applyAlignment="1">
      <alignment horizontal="center" wrapText="1"/>
    </xf>
    <xf numFmtId="0" fontId="59" fillId="11" borderId="33" xfId="0" applyFont="1" applyFill="1" applyBorder="1"/>
    <xf numFmtId="0" fontId="60" fillId="11" borderId="33" xfId="0" applyFont="1" applyFill="1" applyBorder="1" applyAlignment="1">
      <alignment wrapText="1"/>
    </xf>
    <xf numFmtId="0" fontId="57" fillId="9" borderId="32" xfId="8"/>
    <xf numFmtId="0" fontId="50" fillId="8" borderId="47" xfId="0" applyFont="1" applyFill="1" applyBorder="1" applyAlignment="1">
      <alignment wrapText="1"/>
    </xf>
    <xf numFmtId="0" fontId="50" fillId="8" borderId="48" xfId="0" applyFont="1" applyFill="1" applyBorder="1" applyAlignment="1">
      <alignment wrapText="1"/>
    </xf>
    <xf numFmtId="0" fontId="50" fillId="8" borderId="34" xfId="0" applyFont="1" applyFill="1" applyBorder="1" applyAlignment="1">
      <alignment wrapText="1"/>
    </xf>
    <xf numFmtId="0" fontId="50" fillId="8" borderId="49" xfId="0" applyFont="1" applyFill="1" applyBorder="1" applyAlignment="1">
      <alignment wrapText="1"/>
    </xf>
    <xf numFmtId="0" fontId="61" fillId="0" borderId="0" xfId="0" applyFont="1"/>
    <xf numFmtId="0" fontId="62" fillId="0" borderId="0" xfId="1" applyFont="1" applyFill="1" applyBorder="1"/>
    <xf numFmtId="0" fontId="63" fillId="0" borderId="0" xfId="1" applyFont="1" applyFill="1" applyAlignment="1"/>
    <xf numFmtId="0" fontId="9" fillId="3" borderId="0" xfId="1" applyFont="1" applyFill="1" applyAlignment="1">
      <alignment wrapText="1"/>
    </xf>
    <xf numFmtId="9" fontId="1" fillId="0" borderId="0" xfId="3" applyFill="1" applyBorder="1" applyAlignment="1">
      <alignment horizontal="left"/>
    </xf>
    <xf numFmtId="0" fontId="52" fillId="0" borderId="0" xfId="0" applyFont="1" applyBorder="1" applyAlignment="1">
      <alignment wrapText="1"/>
    </xf>
    <xf numFmtId="174" fontId="37" fillId="6" borderId="5" xfId="7" applyNumberFormat="1"/>
    <xf numFmtId="0" fontId="58" fillId="10" borderId="45" xfId="0" applyFont="1" applyFill="1" applyBorder="1" applyAlignment="1">
      <alignment horizontal="center" vertical="center" wrapText="1"/>
    </xf>
    <xf numFmtId="0" fontId="58" fillId="10" borderId="46" xfId="0" applyFont="1" applyFill="1" applyBorder="1" applyAlignment="1">
      <alignment horizontal="center" vertical="center" wrapText="1"/>
    </xf>
  </cellXfs>
  <cellStyles count="9">
    <cellStyle name="Cálculo" xfId="7" builtinId="22"/>
    <cellStyle name="Celda de comprobación" xfId="8" builtinId="23"/>
    <cellStyle name="Normal" xfId="0" builtinId="0"/>
    <cellStyle name="Normal 2 2" xfId="1" xr:uid="{00000000-0005-0000-0000-000001000000}"/>
    <cellStyle name="Normal 5" xfId="4" xr:uid="{00000000-0005-0000-0000-000002000000}"/>
    <cellStyle name="Normal_DIALECTE2004utilJLB" xfId="6" xr:uid="{00000000-0005-0000-0000-000003000000}"/>
    <cellStyle name="Pourcentage 2 2" xfId="2" xr:uid="{00000000-0005-0000-0000-000004000000}"/>
    <cellStyle name="Prozent 2" xfId="3" xr:uid="{00000000-0005-0000-0000-000005000000}"/>
    <cellStyle name="Standard 2" xfId="5" xr:uid="{00000000-0005-0000-0000-000007000000}"/>
  </cellStyles>
  <dxfs count="0"/>
  <tableStyles count="0" defaultTableStyle="TableStyleMedium2" defaultPivotStyle="PivotStyleLight16"/>
  <colors>
    <mruColors>
      <color rgb="FFF2F2F2"/>
      <color rgb="FFFF33CC"/>
      <color rgb="FFFA7D00"/>
      <color rgb="FFFFB871"/>
      <color rgb="FFFFFF9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1555750</xdr:colOff>
      <xdr:row>0</xdr:row>
      <xdr:rowOff>0</xdr:rowOff>
    </xdr:from>
    <xdr:to>
      <xdr:col>1</xdr:col>
      <xdr:colOff>2042584</xdr:colOff>
      <xdr:row>2</xdr:row>
      <xdr:rowOff>190499</xdr:rowOff>
    </xdr:to>
    <xdr:sp macro="" textlink="">
      <xdr:nvSpPr>
        <xdr:cNvPr id="2" name="Flussdiagramm: Verbinder 1">
          <a:extLst>
            <a:ext uri="{FF2B5EF4-FFF2-40B4-BE49-F238E27FC236}">
              <a16:creationId xmlns:a16="http://schemas.microsoft.com/office/drawing/2014/main" id="{00000000-0008-0000-0100-000002000000}"/>
            </a:ext>
          </a:extLst>
        </xdr:cNvPr>
        <xdr:cNvSpPr/>
      </xdr:nvSpPr>
      <xdr:spPr>
        <a:xfrm>
          <a:off x="2317750" y="0"/>
          <a:ext cx="486834" cy="592666"/>
        </a:xfrm>
        <a:prstGeom prst="flowChartConnector">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lang="de-DE" sz="1600" b="1"/>
            <a:t>2a)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1381125</xdr:colOff>
      <xdr:row>1</xdr:row>
      <xdr:rowOff>19050</xdr:rowOff>
    </xdr:from>
    <xdr:to>
      <xdr:col>2</xdr:col>
      <xdr:colOff>248709</xdr:colOff>
      <xdr:row>3</xdr:row>
      <xdr:rowOff>186266</xdr:rowOff>
    </xdr:to>
    <xdr:sp macro="" textlink="">
      <xdr:nvSpPr>
        <xdr:cNvPr id="2" name="Flussdiagramm: Verbinder 1">
          <a:extLst>
            <a:ext uri="{FF2B5EF4-FFF2-40B4-BE49-F238E27FC236}">
              <a16:creationId xmlns:a16="http://schemas.microsoft.com/office/drawing/2014/main" id="{00000000-0008-0000-0300-000002000000}"/>
            </a:ext>
          </a:extLst>
        </xdr:cNvPr>
        <xdr:cNvSpPr/>
      </xdr:nvSpPr>
      <xdr:spPr>
        <a:xfrm>
          <a:off x="1381125" y="1028700"/>
          <a:ext cx="486834" cy="529166"/>
        </a:xfrm>
        <a:prstGeom prst="flowChartConnector">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lang="de-DE" sz="1600" b="1"/>
            <a:t>2b)</a:t>
          </a:r>
        </a:p>
      </xdr:txBody>
    </xdr:sp>
    <xdr:clientData/>
  </xdr:twoCellAnchor>
  <xdr:twoCellAnchor>
    <xdr:from>
      <xdr:col>1</xdr:col>
      <xdr:colOff>1390650</xdr:colOff>
      <xdr:row>13</xdr:row>
      <xdr:rowOff>95250</xdr:rowOff>
    </xdr:from>
    <xdr:to>
      <xdr:col>2</xdr:col>
      <xdr:colOff>258234</xdr:colOff>
      <xdr:row>16</xdr:row>
      <xdr:rowOff>100541</xdr:rowOff>
    </xdr:to>
    <xdr:sp macro="" textlink="">
      <xdr:nvSpPr>
        <xdr:cNvPr id="3" name="Flussdiagramm: Verbinder 2">
          <a:extLst>
            <a:ext uri="{FF2B5EF4-FFF2-40B4-BE49-F238E27FC236}">
              <a16:creationId xmlns:a16="http://schemas.microsoft.com/office/drawing/2014/main" id="{00000000-0008-0000-0300-000003000000}"/>
            </a:ext>
          </a:extLst>
        </xdr:cNvPr>
        <xdr:cNvSpPr/>
      </xdr:nvSpPr>
      <xdr:spPr>
        <a:xfrm>
          <a:off x="1390650" y="3324225"/>
          <a:ext cx="486834" cy="529166"/>
        </a:xfrm>
        <a:prstGeom prst="flowChartConnector">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lang="de-DE" sz="1600" b="1"/>
            <a:t>2c)</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3</xdr:row>
      <xdr:rowOff>57151</xdr:rowOff>
    </xdr:from>
    <xdr:to>
      <xdr:col>1</xdr:col>
      <xdr:colOff>1552575</xdr:colOff>
      <xdr:row>6</xdr:row>
      <xdr:rowOff>9525</xdr:rowOff>
    </xdr:to>
    <xdr:sp macro="" textlink="">
      <xdr:nvSpPr>
        <xdr:cNvPr id="2" name="Flussdiagramm: Verbinder 1">
          <a:extLst>
            <a:ext uri="{FF2B5EF4-FFF2-40B4-BE49-F238E27FC236}">
              <a16:creationId xmlns:a16="http://schemas.microsoft.com/office/drawing/2014/main" id="{00000000-0008-0000-0400-000002000000}"/>
            </a:ext>
          </a:extLst>
        </xdr:cNvPr>
        <xdr:cNvSpPr/>
      </xdr:nvSpPr>
      <xdr:spPr>
        <a:xfrm>
          <a:off x="1676400" y="419101"/>
          <a:ext cx="638175" cy="438149"/>
        </a:xfrm>
        <a:prstGeom prst="flowChartConnector">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lang="de-DE" sz="1600" b="1"/>
            <a:t>2d)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anneKoeppen/Documents/IFEU/Projekte/1292%20FAST/Hintergrund/Tools/Solagro%20%20LC%20Farm/Kopie%20von%20cc_v3_1_s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arbon Calculator"/>
      <sheetName val="Results"/>
      <sheetName val="SCOPES"/>
      <sheetName val="N Balance"/>
      <sheetName val="MinMaxbyProduct"/>
      <sheetName val="HELP"/>
      <sheetName val="Actions"/>
      <sheetName val="products"/>
      <sheetName val="Animals"/>
      <sheetName val="Feeds"/>
      <sheetName val="Manure"/>
      <sheetName val="Crops"/>
      <sheetName val="CropsRef"/>
      <sheetName val="C_Storage"/>
      <sheetName val="Direct"/>
      <sheetName val="Inputs"/>
      <sheetName val="Cool"/>
      <sheetName val="Machinery"/>
      <sheetName val="Buildings"/>
      <sheetName val="DATA-NUTS"/>
      <sheetName val="sysControl"/>
      <sheetName val="refPLANETE2010"/>
    </sheetNames>
    <sheetDataSet>
      <sheetData sheetId="0">
        <row r="3">
          <cell r="AB3">
            <v>1.0032295</v>
          </cell>
          <cell r="AC3">
            <v>2.9102900000000001E-2</v>
          </cell>
          <cell r="AD3">
            <v>1.0323324</v>
          </cell>
          <cell r="AE3">
            <v>2.4697505999999998</v>
          </cell>
          <cell r="AF3">
            <v>0.2118688</v>
          </cell>
          <cell r="AG3">
            <v>2.6816193999999998</v>
          </cell>
          <cell r="AH3">
            <v>0.17217089999999999</v>
          </cell>
          <cell r="AI3">
            <v>6.68049E-2</v>
          </cell>
          <cell r="AJ3">
            <v>0.23897579999999999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B4" sqref="B4"/>
    </sheetView>
  </sheetViews>
  <sheetFormatPr baseColWidth="10" defaultRowHeight="15"/>
  <cols>
    <col min="2" max="2" width="30.7109375" customWidth="1"/>
  </cols>
  <sheetData>
    <row r="1" spans="1:2" ht="16.5" thickBot="1">
      <c r="A1" s="326" t="s">
        <v>659</v>
      </c>
      <c r="B1" s="327"/>
    </row>
    <row r="2" spans="1:2">
      <c r="A2" s="309"/>
      <c r="B2" s="211" t="s">
        <v>660</v>
      </c>
    </row>
    <row r="3" spans="1:2" ht="15.75" thickBot="1">
      <c r="A3" s="310"/>
      <c r="B3" s="275" t="s">
        <v>661</v>
      </c>
    </row>
    <row r="4" spans="1:2" ht="15.75" thickTop="1">
      <c r="A4" s="311"/>
      <c r="B4" s="271" t="s">
        <v>662</v>
      </c>
    </row>
    <row r="5" spans="1:2">
      <c r="A5" s="312"/>
      <c r="B5" s="313" t="s">
        <v>663</v>
      </c>
    </row>
    <row r="6" spans="1:2" ht="15.75" thickBot="1">
      <c r="A6" s="244"/>
      <c r="B6" s="244" t="s">
        <v>664</v>
      </c>
    </row>
    <row r="7" spans="1:2" ht="16.5" thickTop="1" thickBot="1">
      <c r="A7" s="314"/>
      <c r="B7" s="314" t="s">
        <v>665</v>
      </c>
    </row>
    <row r="8" spans="1:2" ht="15.75" thickTop="1"/>
  </sheetData>
  <mergeCells count="1">
    <mergeCell ref="A1:B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AP150"/>
  <sheetViews>
    <sheetView showGridLines="0" zoomScale="90" zoomScaleNormal="90" zoomScaleSheetLayoutView="75" zoomScalePageLayoutView="110" workbookViewId="0">
      <pane xSplit="2" ySplit="4" topLeftCell="C5" activePane="bottomRight" state="frozen"/>
      <selection pane="topRight" activeCell="C1" sqref="C1"/>
      <selection pane="bottomLeft" activeCell="A5" sqref="A5"/>
      <selection pane="bottomRight" activeCell="O22" sqref="O22"/>
    </sheetView>
  </sheetViews>
  <sheetFormatPr baseColWidth="10" defaultColWidth="11.42578125" defaultRowHeight="12.75"/>
  <cols>
    <col min="1" max="1" width="11.42578125" style="1"/>
    <col min="2" max="2" width="34.5703125" style="1" customWidth="1"/>
    <col min="3" max="3" width="14.28515625" style="1" customWidth="1"/>
    <col min="4" max="4" width="12.42578125" style="1" customWidth="1"/>
    <col min="5" max="5" width="13.28515625" style="1" customWidth="1"/>
    <col min="6" max="6" width="15.7109375" style="1" customWidth="1"/>
    <col min="7" max="8" width="11.42578125" style="1"/>
    <col min="9" max="9" width="11.140625" style="1" customWidth="1"/>
    <col min="10" max="10" width="11.42578125" style="139"/>
    <col min="11" max="11" width="10.42578125" style="139" customWidth="1"/>
    <col min="12" max="12" width="13.42578125" style="139" customWidth="1"/>
    <col min="13" max="13" width="15.85546875" style="139" customWidth="1"/>
    <col min="14" max="14" width="11.42578125" style="139"/>
    <col min="15" max="15" width="13.28515625" style="139" customWidth="1"/>
    <col min="16" max="16" width="11.42578125" style="139"/>
    <col min="17" max="17" width="15.85546875" style="139" customWidth="1"/>
    <col min="18" max="18" width="17.42578125" style="139" customWidth="1"/>
    <col min="19" max="19" width="12.85546875" style="139" customWidth="1"/>
    <col min="20" max="20" width="11.42578125" style="139"/>
    <col min="21" max="21" width="20" style="139" customWidth="1"/>
    <col min="22" max="22" width="13" style="139" bestFit="1" customWidth="1"/>
    <col min="23" max="25" width="11.42578125" style="1"/>
    <col min="26" max="26" width="10.42578125" style="1" customWidth="1"/>
    <col min="27" max="31" width="11.42578125" style="1"/>
    <col min="32" max="32" width="24.140625" style="1" customWidth="1"/>
    <col min="33" max="37" width="11.42578125" style="1"/>
    <col min="38" max="38" width="14" style="1" customWidth="1"/>
    <col min="39" max="16384" width="11.42578125" style="1"/>
  </cols>
  <sheetData>
    <row r="1" spans="1:41" ht="16.5" thickBot="1">
      <c r="A1" s="212" t="s">
        <v>461</v>
      </c>
      <c r="G1" s="139"/>
      <c r="H1" s="139"/>
      <c r="I1" s="139"/>
      <c r="M1" s="147"/>
      <c r="N1" s="147"/>
      <c r="S1" s="1"/>
      <c r="T1" s="1"/>
      <c r="U1" s="1"/>
      <c r="V1" s="1"/>
      <c r="AI1" s="9"/>
      <c r="AJ1" s="9"/>
      <c r="AK1" s="9"/>
      <c r="AL1" s="53"/>
      <c r="AM1" s="53"/>
      <c r="AN1" s="46"/>
      <c r="AO1" s="9"/>
    </row>
    <row r="2" spans="1:41" ht="15">
      <c r="B2" s="105"/>
      <c r="E2" s="249"/>
      <c r="F2" s="249"/>
      <c r="G2" s="249"/>
      <c r="H2" s="249"/>
      <c r="I2" s="249"/>
      <c r="J2" s="249"/>
      <c r="K2" s="250"/>
      <c r="L2" s="258"/>
      <c r="M2" s="266"/>
      <c r="N2" s="294" t="s">
        <v>459</v>
      </c>
      <c r="O2" s="295"/>
      <c r="Q2" s="1"/>
      <c r="R2" s="1"/>
      <c r="S2" s="1"/>
      <c r="T2" s="1"/>
      <c r="U2" s="1"/>
      <c r="V2" s="1"/>
      <c r="AG2" s="9"/>
      <c r="AH2" s="36"/>
      <c r="AI2" s="36"/>
      <c r="AJ2" s="9"/>
      <c r="AK2" s="9"/>
      <c r="AL2" s="9"/>
      <c r="AM2" s="9"/>
    </row>
    <row r="3" spans="1:41" ht="15.75">
      <c r="B3" s="130"/>
      <c r="C3" s="18" t="s">
        <v>697</v>
      </c>
      <c r="E3" s="252"/>
      <c r="F3" s="252"/>
      <c r="G3" s="252" t="s">
        <v>438</v>
      </c>
      <c r="H3" s="252"/>
      <c r="I3" s="252" t="s">
        <v>439</v>
      </c>
      <c r="J3" s="252"/>
      <c r="K3" s="253"/>
      <c r="L3" s="247"/>
      <c r="M3" s="267"/>
      <c r="N3" s="296"/>
      <c r="O3" s="297"/>
      <c r="Q3" s="57"/>
      <c r="R3" s="57"/>
      <c r="S3" s="57"/>
      <c r="T3" s="1"/>
      <c r="U3" s="1"/>
      <c r="V3" s="1"/>
      <c r="AF3" s="34"/>
      <c r="AG3" s="58"/>
      <c r="AH3" s="58"/>
      <c r="AI3" s="8"/>
      <c r="AJ3" s="8"/>
      <c r="AK3" s="8"/>
      <c r="AL3" s="9"/>
    </row>
    <row r="4" spans="1:41" ht="50.25" customHeight="1" thickBot="1">
      <c r="B4" s="128"/>
      <c r="C4" s="197" t="s">
        <v>0</v>
      </c>
      <c r="E4" s="255" t="s">
        <v>708</v>
      </c>
      <c r="F4" s="255" t="s">
        <v>707</v>
      </c>
      <c r="G4" s="255" t="s">
        <v>705</v>
      </c>
      <c r="H4" s="255" t="s">
        <v>701</v>
      </c>
      <c r="I4" s="255" t="s">
        <v>702</v>
      </c>
      <c r="J4" s="255" t="s">
        <v>703</v>
      </c>
      <c r="K4" s="256" t="s">
        <v>704</v>
      </c>
      <c r="L4" s="259"/>
      <c r="M4" s="268"/>
      <c r="N4" s="302" t="s">
        <v>5</v>
      </c>
      <c r="O4" s="303" t="s">
        <v>7</v>
      </c>
      <c r="P4" s="320"/>
      <c r="Q4" s="4"/>
      <c r="R4" s="4"/>
      <c r="S4" s="59"/>
      <c r="T4" s="60"/>
      <c r="U4" s="5"/>
      <c r="V4" s="6"/>
      <c r="W4" s="6"/>
      <c r="X4" s="7"/>
      <c r="Y4" s="8"/>
      <c r="Z4" s="8"/>
      <c r="AA4" s="9"/>
    </row>
    <row r="5" spans="1:41" s="18" customFormat="1" ht="16.5" thickBot="1">
      <c r="B5" s="216" t="s">
        <v>8</v>
      </c>
      <c r="C5" s="211"/>
      <c r="E5" s="249"/>
      <c r="F5" s="249"/>
      <c r="G5" s="249" t="str">
        <f>'Standard data'!B7</f>
        <v>Dairy cattle</v>
      </c>
      <c r="H5" s="249" t="str">
        <f>H19</f>
        <v>kg DM ingested /day</v>
      </c>
      <c r="I5" s="249" t="str">
        <f>B5</f>
        <v>DAIRY CATTLE</v>
      </c>
      <c r="J5" s="249">
        <f>SUM(J6:J13)</f>
        <v>686.9325</v>
      </c>
      <c r="K5" s="250">
        <f>SUM(K6:K13)</f>
        <v>1270.100357553772</v>
      </c>
      <c r="L5" s="258"/>
      <c r="M5" s="266"/>
      <c r="N5" s="306">
        <f>SUM(N6:N13)</f>
        <v>60037.436354843965</v>
      </c>
      <c r="O5" s="307">
        <f>SUM(O6:O13)</f>
        <v>1118.1709527831899</v>
      </c>
      <c r="P5" s="61"/>
      <c r="Q5" s="6"/>
      <c r="R5" s="62"/>
      <c r="S5" s="62"/>
      <c r="T5" s="62"/>
      <c r="U5" s="6"/>
      <c r="V5" s="6"/>
      <c r="W5" s="6"/>
      <c r="X5" s="217"/>
      <c r="Y5" s="8"/>
      <c r="Z5" s="8"/>
      <c r="AA5" s="9"/>
    </row>
    <row r="6" spans="1:41" s="124" customFormat="1" ht="15.75">
      <c r="A6" s="124" t="s">
        <v>462</v>
      </c>
      <c r="B6" s="246" t="s">
        <v>9</v>
      </c>
      <c r="C6" s="211">
        <v>1</v>
      </c>
      <c r="E6" s="251">
        <v>4000</v>
      </c>
      <c r="F6" s="251">
        <f>VLOOKUP(B6,'Standard data'!$B$26:$E$50,2,FALSE)</f>
        <v>610</v>
      </c>
      <c r="G6" s="252">
        <f t="shared" ref="G6:G13" si="0">VLOOKUP(G$5,$B$45:$J$52,7,FALSE)</f>
        <v>8.1210110400000008</v>
      </c>
      <c r="H6" s="252">
        <f>IF(G6=0,0,0.0185*F6+0.305*((0.4324*E6)+(16.216*E6*0.035)))</f>
        <v>1231.2362000000003</v>
      </c>
      <c r="I6" s="252">
        <f>VLOOKUP($B6,'Standard data'!B$33:E$40,3,FALSE)</f>
        <v>107.35</v>
      </c>
      <c r="J6" s="252">
        <f t="shared" ref="J6:J13" si="1">C6*I6</f>
        <v>107.35</v>
      </c>
      <c r="K6" s="253">
        <f>H6*(1-VLOOKUP($G$5,$B$45:$J$52,4,FALSE)-VLOOKUP($G$5,$B$45:$J$52,6,FALSE))*(1-VLOOKUP($G$5,$B$45:$J$52,5,FALSE))</f>
        <v>181.23796863999999</v>
      </c>
      <c r="L6" s="247"/>
      <c r="M6" s="267"/>
      <c r="N6" s="304">
        <f>C6*365*H6*'Standard data'!$C$18/'Standard data'!$C$19*VLOOKUP($G$5,$B$45:$J$52,3,FALSE)/100</f>
        <v>8567.0891615700821</v>
      </c>
      <c r="O6" s="305">
        <f>$C6*365*$K6*VLOOKUP($G$5,$B$45:$J$52,2,FALSE)*'Standard data'!$C$20*Manure!S$17</f>
        <v>159.55828283128318</v>
      </c>
      <c r="P6" s="12"/>
      <c r="Q6" s="13"/>
      <c r="R6" s="13"/>
      <c r="S6" s="13"/>
      <c r="T6" s="13"/>
      <c r="U6" s="6"/>
      <c r="V6" s="6"/>
      <c r="W6" s="6"/>
      <c r="X6" s="125"/>
    </row>
    <row r="7" spans="1:41" s="124" customFormat="1" ht="15.75">
      <c r="A7" s="124" t="s">
        <v>463</v>
      </c>
      <c r="B7" s="246" t="s">
        <v>10</v>
      </c>
      <c r="C7" s="211">
        <v>1</v>
      </c>
      <c r="E7" s="251">
        <v>6000</v>
      </c>
      <c r="F7" s="251">
        <f>VLOOKUP(B7,'Standard data'!$B$26:$E$50,2,FALSE)</f>
        <v>650</v>
      </c>
      <c r="G7" s="252">
        <f t="shared" si="0"/>
        <v>8.1210110400000008</v>
      </c>
      <c r="H7" s="252">
        <f t="shared" ref="H7:H8" si="2">IF(G7=0,0,0.0185*F7+0.305*((0.4324*E7)+(16.216*E7*0.035)))</f>
        <v>1841.9518</v>
      </c>
      <c r="I7" s="252">
        <f>VLOOKUP($B7,'Standard data'!B$33:E$40,3,FALSE)</f>
        <v>113</v>
      </c>
      <c r="J7" s="252">
        <f t="shared" si="1"/>
        <v>113</v>
      </c>
      <c r="K7" s="253">
        <f t="shared" ref="K7:K13" si="3">H7*(1-VLOOKUP($G$5,$B$45:$J$52,4,FALSE)-VLOOKUP($G$5,$B$45:$J$52,6,FALSE))*(1-VLOOKUP($G$5,$B$45:$J$52,5,FALSE))</f>
        <v>271.13530495999993</v>
      </c>
      <c r="L7" s="247"/>
      <c r="M7" s="267"/>
      <c r="N7" s="304">
        <f>C7*365*H7*'Standard data'!$C$18/'Standard data'!$C$19*VLOOKUP($G$5,$B$45:$J$52,3,FALSE)/100</f>
        <v>12816.521559319406</v>
      </c>
      <c r="O7" s="305">
        <f>$C7*365*$K7*VLOOKUP($G$5,$B$45:$J$52,2,FALSE)*'Standard data'!$C$20*Manure!S$17</f>
        <v>238.70209978068473</v>
      </c>
      <c r="P7" s="67"/>
      <c r="Q7" s="67"/>
      <c r="R7" s="67"/>
      <c r="S7" s="67"/>
      <c r="T7" s="67"/>
      <c r="U7" s="6"/>
      <c r="V7" s="6"/>
      <c r="W7" s="6"/>
      <c r="X7" s="125"/>
    </row>
    <row r="8" spans="1:41" s="124" customFormat="1" ht="15.75">
      <c r="A8" s="124" t="s">
        <v>464</v>
      </c>
      <c r="B8" s="246" t="s">
        <v>11</v>
      </c>
      <c r="C8" s="211">
        <v>1</v>
      </c>
      <c r="E8" s="251">
        <v>8000</v>
      </c>
      <c r="F8" s="251">
        <f>VLOOKUP(B8,'Standard data'!$B$26:$E$50,2,FALSE)</f>
        <v>700</v>
      </c>
      <c r="G8" s="252">
        <f t="shared" si="0"/>
        <v>8.1210110400000008</v>
      </c>
      <c r="H8" s="252">
        <f t="shared" si="2"/>
        <v>2452.8524000000002</v>
      </c>
      <c r="I8" s="252">
        <f>VLOOKUP($B8,'Standard data'!B$33:E$40,3,FALSE)</f>
        <v>124.58250000000001</v>
      </c>
      <c r="J8" s="252">
        <f t="shared" si="1"/>
        <v>124.58250000000001</v>
      </c>
      <c r="K8" s="253">
        <f t="shared" si="3"/>
        <v>361.05987327999992</v>
      </c>
      <c r="L8" s="247"/>
      <c r="M8" s="267"/>
      <c r="N8" s="304">
        <f>C8*365*H8*'Standard data'!$C$18/'Standard data'!$C$19*VLOOKUP($G$5,$B$45:$J$52,3,FALSE)/100</f>
        <v>17067.241209258758</v>
      </c>
      <c r="O8" s="305">
        <f>$C8*365*$K8*VLOOKUP($G$5,$B$45:$J$52,2,FALSE)*'Standard data'!$C$20*Manure!S$17</f>
        <v>317.86989123824628</v>
      </c>
      <c r="P8" s="3"/>
      <c r="Q8" s="6"/>
      <c r="R8" s="6"/>
      <c r="S8" s="6"/>
      <c r="T8" s="6"/>
      <c r="U8" s="6"/>
      <c r="V8" s="6"/>
      <c r="W8" s="6"/>
      <c r="X8" s="125"/>
    </row>
    <row r="9" spans="1:41" s="124" customFormat="1" ht="15.75">
      <c r="A9" s="124" t="s">
        <v>465</v>
      </c>
      <c r="B9" s="246" t="s">
        <v>12</v>
      </c>
      <c r="C9" s="211">
        <v>1</v>
      </c>
      <c r="E9" s="251">
        <v>10000</v>
      </c>
      <c r="F9" s="251">
        <f>VLOOKUP(B9,'Standard data'!$B$26:$E$50,2,FALSE)</f>
        <v>750</v>
      </c>
      <c r="G9" s="252">
        <f t="shared" si="0"/>
        <v>8.1210110400000008</v>
      </c>
      <c r="H9" s="252">
        <f>IF(G9=0,0,0.0185*F9+0.305*((0.4324*E9)+(16.216*E9*0.035)))</f>
        <v>3063.7530000000002</v>
      </c>
      <c r="I9" s="252">
        <f>VLOOKUP($B9,'Standard data'!B$33:E$40,3,FALSE)</f>
        <v>137</v>
      </c>
      <c r="J9" s="252">
        <f t="shared" si="1"/>
        <v>137</v>
      </c>
      <c r="K9" s="253">
        <f t="shared" si="3"/>
        <v>450.98444159999991</v>
      </c>
      <c r="L9" s="247"/>
      <c r="M9" s="267"/>
      <c r="N9" s="304">
        <f>C9*365*H9*'Standard data'!$C$18/'Standard data'!$C$19*VLOOKUP($G$5,$B$45:$J$52,3,FALSE)/100</f>
        <v>21317.960859198109</v>
      </c>
      <c r="O9" s="305">
        <f>$C9*365*$K9*VLOOKUP($G$5,$B$45:$J$52,2,FALSE)*'Standard data'!$C$20*Manure!S$17</f>
        <v>397.03768269580792</v>
      </c>
      <c r="P9" s="3"/>
      <c r="Q9" s="13"/>
      <c r="R9" s="13"/>
      <c r="S9" s="13"/>
      <c r="T9" s="13"/>
      <c r="U9" s="6"/>
      <c r="V9" s="6"/>
      <c r="W9" s="6"/>
      <c r="X9" s="125"/>
    </row>
    <row r="10" spans="1:41" s="18" customFormat="1" ht="18.75">
      <c r="A10" s="18" t="s">
        <v>466</v>
      </c>
      <c r="B10" s="246" t="s">
        <v>668</v>
      </c>
      <c r="C10" s="211">
        <v>1</v>
      </c>
      <c r="F10" s="251">
        <f>VLOOKUP(B10,'Standard data'!$B$26:$E$50,2,FALSE)</f>
        <v>50</v>
      </c>
      <c r="G10" s="252">
        <f t="shared" si="0"/>
        <v>8.1210110400000008</v>
      </c>
      <c r="H10" s="252">
        <f>IF(G10=0,0,(F10^0.75)*((0.0582*G10-0.00266*G10^2-0.1128)/(0.239*G10)))</f>
        <v>1.78653936434283</v>
      </c>
      <c r="I10" s="252">
        <f>VLOOKUP($B10,'Standard data'!B$33:E$40,3,FALSE)</f>
        <v>6</v>
      </c>
      <c r="J10" s="252">
        <f t="shared" si="1"/>
        <v>6</v>
      </c>
      <c r="K10" s="253">
        <f t="shared" si="3"/>
        <v>0.26297859443126448</v>
      </c>
      <c r="L10" s="247"/>
      <c r="M10" s="267"/>
      <c r="N10" s="304">
        <f>C10*365*H10*'Standard data'!$C$18/'Standard data'!$C$19*VLOOKUP($G$5,$B$45:$J$52,3,FALSE)/100</f>
        <v>12.43095518551173</v>
      </c>
      <c r="O10" s="305">
        <f>$C10*365*$K10*VLOOKUP($G$5,$B$45:$J$52,2,FALSE)*'Standard data'!$C$20*Manure!S$17</f>
        <v>0.23152109496539661</v>
      </c>
      <c r="P10" s="14"/>
      <c r="Q10" s="14"/>
      <c r="R10" s="14"/>
      <c r="S10" s="14"/>
      <c r="T10" s="14"/>
      <c r="U10" s="14"/>
      <c r="V10" s="14"/>
      <c r="W10" s="6"/>
      <c r="X10" s="123"/>
    </row>
    <row r="11" spans="1:41" s="18" customFormat="1" ht="15.75">
      <c r="A11" s="18" t="s">
        <v>675</v>
      </c>
      <c r="B11" s="246" t="s">
        <v>670</v>
      </c>
      <c r="C11" s="211">
        <v>1</v>
      </c>
      <c r="F11" s="251">
        <f>VLOOKUP(B11,'Standard data'!$B$26:$E$50,2,FALSE)</f>
        <v>250</v>
      </c>
      <c r="G11" s="252">
        <f t="shared" si="0"/>
        <v>8.1210110400000008</v>
      </c>
      <c r="H11" s="252">
        <f>IF(G11=0,0,(F11^0.75)*((0.0582*G11-0.00266*G11^2-0.0869)/(0.239*G11)))</f>
        <v>6.8126250482255273</v>
      </c>
      <c r="I11" s="252">
        <f>VLOOKUP($B11,'Standard data'!B$33:E$40,3,FALSE)</f>
        <v>35</v>
      </c>
      <c r="J11" s="252">
        <f t="shared" si="1"/>
        <v>35</v>
      </c>
      <c r="K11" s="253">
        <f t="shared" si="3"/>
        <v>1.0028184070987973</v>
      </c>
      <c r="L11" s="247"/>
      <c r="M11" s="267"/>
      <c r="N11" s="304">
        <f>C11*365*H11*'Standard data'!$C$18/'Standard data'!$C$19*VLOOKUP($G$5,$B$45:$J$52,3,FALSE)/100</f>
        <v>47.40306223330159</v>
      </c>
      <c r="O11" s="305">
        <f>$C11*365*$K11*VLOOKUP($G$5,$B$45:$J$52,2,FALSE)*'Standard data'!$C$20*Manure!S$17</f>
        <v>0.88286126924163921</v>
      </c>
      <c r="P11" s="6"/>
      <c r="Q11" s="6"/>
      <c r="R11" s="15"/>
      <c r="S11" s="15"/>
      <c r="T11" s="15"/>
      <c r="U11" s="6"/>
      <c r="V11" s="6"/>
      <c r="W11" s="6"/>
      <c r="X11" s="123"/>
    </row>
    <row r="12" spans="1:41" s="18" customFormat="1" ht="15.75">
      <c r="A12" s="18" t="s">
        <v>676</v>
      </c>
      <c r="B12" s="246" t="s">
        <v>671</v>
      </c>
      <c r="C12" s="211">
        <v>1</v>
      </c>
      <c r="F12" s="251">
        <f>VLOOKUP(B12,'Standard data'!$B$26:$E$50,2,FALSE)</f>
        <v>550</v>
      </c>
      <c r="G12" s="252">
        <f t="shared" si="0"/>
        <v>8.1210110400000008</v>
      </c>
      <c r="H12" s="252">
        <f>IF(G12=0,0,(F12^0.75)*((0.0582*G12-0.00266*G12^2-0.0869)/(0.239*G12)))</f>
        <v>12.306413334453444</v>
      </c>
      <c r="I12" s="252">
        <f>VLOOKUP($B12,'Standard data'!B$33:E$40,3,FALSE)</f>
        <v>61</v>
      </c>
      <c r="J12" s="252">
        <f t="shared" si="1"/>
        <v>61</v>
      </c>
      <c r="K12" s="253">
        <f t="shared" si="3"/>
        <v>1.8115040428315463</v>
      </c>
      <c r="L12" s="247"/>
      <c r="M12" s="267"/>
      <c r="N12" s="304">
        <f>C12*365*H12*'Standard data'!$C$18/'Standard data'!$C$19*VLOOKUP($G$5,$B$45:$J$52,3,FALSE)/100</f>
        <v>85.629500087308685</v>
      </c>
      <c r="O12" s="305">
        <f>$C12*365*$K12*VLOOKUP($G$5,$B$45:$J$52,2,FALSE)*'Standard data'!$C$20*Manure!S$17</f>
        <v>1.5948119292280363</v>
      </c>
      <c r="P12" s="6"/>
      <c r="Q12" s="16"/>
      <c r="R12" s="17"/>
      <c r="S12" s="17"/>
      <c r="T12" s="17"/>
      <c r="U12" s="6"/>
      <c r="V12" s="6"/>
      <c r="W12" s="6"/>
      <c r="X12" s="123"/>
    </row>
    <row r="13" spans="1:41" s="18" customFormat="1" ht="16.5" thickBot="1">
      <c r="A13" s="18" t="s">
        <v>677</v>
      </c>
      <c r="B13" s="246" t="s">
        <v>669</v>
      </c>
      <c r="C13" s="211">
        <v>1</v>
      </c>
      <c r="F13" s="254">
        <f>VLOOKUP(B13,'Standard data'!$B$26:$E$50,2,FALSE)</f>
        <v>775</v>
      </c>
      <c r="G13" s="255">
        <f t="shared" si="0"/>
        <v>8.1210110400000008</v>
      </c>
      <c r="H13" s="255">
        <f>IF(G13=0,0,(F13^0.75)*(0.0119*G13^2+0.1938)/G13)</f>
        <v>17.700190417193294</v>
      </c>
      <c r="I13" s="255">
        <f>VLOOKUP($B13,'Standard data'!B$33:E$40,3,FALSE)</f>
        <v>103</v>
      </c>
      <c r="J13" s="252">
        <f t="shared" si="1"/>
        <v>103</v>
      </c>
      <c r="K13" s="256">
        <f t="shared" si="3"/>
        <v>2.6054680294108521</v>
      </c>
      <c r="L13" s="259"/>
      <c r="M13" s="268"/>
      <c r="N13" s="304">
        <f>C13*365*H13*'Standard data'!$C$18/'Standard data'!$C$19*VLOOKUP($G$5,$B$45:$J$52,3,FALSE)/100</f>
        <v>123.16004799149283</v>
      </c>
      <c r="O13" s="305">
        <f>$C13*365*$K13*VLOOKUP($G$5,$B$45:$J$52,2,FALSE)*'Standard data'!$C$20*Manure!S$17</f>
        <v>2.2938019437327259</v>
      </c>
      <c r="P13" s="6"/>
      <c r="Q13" s="16"/>
      <c r="R13" s="68"/>
      <c r="S13" s="68"/>
      <c r="T13" s="68"/>
      <c r="U13" s="6"/>
      <c r="V13" s="6"/>
      <c r="W13" s="6"/>
      <c r="X13" s="123"/>
    </row>
    <row r="14" spans="1:41" s="18" customFormat="1" ht="16.5" thickBot="1">
      <c r="B14" s="216" t="s">
        <v>13</v>
      </c>
      <c r="C14" s="211"/>
      <c r="F14" s="248"/>
      <c r="G14" s="249" t="str">
        <f>'Standard data'!B8</f>
        <v>Meat cattle</v>
      </c>
      <c r="H14" s="249" t="str">
        <f>H5</f>
        <v>kg DM ingested /day</v>
      </c>
      <c r="I14" s="249" t="str">
        <f>B14</f>
        <v>MEAT CATTLE</v>
      </c>
      <c r="J14" s="249">
        <f>SUM(J15:J18)</f>
        <v>181.1</v>
      </c>
      <c r="K14" s="250">
        <f>SUM(K15:K18)</f>
        <v>5.1246648664312628</v>
      </c>
      <c r="L14" s="258"/>
      <c r="M14" s="266"/>
      <c r="N14" s="306">
        <f>SUM(N15:N18)</f>
        <v>242.24207081623945</v>
      </c>
      <c r="O14" s="307">
        <f>SUM(O15:O18)</f>
        <v>3.383739341331566</v>
      </c>
      <c r="P14" s="61"/>
      <c r="Q14" s="6"/>
      <c r="R14" s="62"/>
      <c r="S14" s="62"/>
      <c r="T14" s="62"/>
      <c r="U14" s="6"/>
      <c r="V14" s="6"/>
      <c r="W14" s="6"/>
      <c r="X14" s="217"/>
      <c r="Y14" s="8"/>
      <c r="Z14" s="8"/>
      <c r="AA14" s="9"/>
    </row>
    <row r="15" spans="1:41" ht="15">
      <c r="A15" s="1" t="s">
        <v>672</v>
      </c>
      <c r="B15" s="246" t="s">
        <v>669</v>
      </c>
      <c r="C15" s="211">
        <v>1</v>
      </c>
      <c r="F15" s="251">
        <f>VLOOKUP(B15,'Standard data'!$B$41:$E$51,2,FALSE)</f>
        <v>750</v>
      </c>
      <c r="G15" s="252">
        <f>VLOOKUP(G$14,$B$45:$J$52,7,FALSE)</f>
        <v>8.1210110400000008</v>
      </c>
      <c r="H15" s="252">
        <f>IF(G15=0,0,3.83+0.0143*F15*0.96)</f>
        <v>14.125999999999999</v>
      </c>
      <c r="I15" s="252">
        <f>VLOOKUP($B15,'Standard data'!B$42:E$45,3,FALSE)</f>
        <v>95.7</v>
      </c>
      <c r="J15" s="252">
        <f>C15*I15</f>
        <v>95.7</v>
      </c>
      <c r="K15" s="253">
        <f>H15*(1-VLOOKUP($G$14,$B$45:J52,4,FALSE)-VLOOKUP($G$14,$B$45:$J$52,6,FALSE))*(1-VLOOKUP($G$14,$B$45:$J$52,5,FALSE))</f>
        <v>2.0793471999999991</v>
      </c>
      <c r="L15" s="247"/>
      <c r="M15" s="267"/>
      <c r="N15" s="304">
        <f>C15*365*H15*'Standard data'!$C$18/'Standard data'!$C$19*VLOOKUP($G$14,$B$45:$J$52,3,FALSE)/100</f>
        <v>98.290402358490539</v>
      </c>
      <c r="O15" s="305">
        <f>$C15*365*$K15*VLOOKUP($G$14,$B$45:$J$52,2,FALSE)*'Standard data'!$C$20*Manure!U$17</f>
        <v>1.3729617659519993</v>
      </c>
      <c r="P15" s="2"/>
      <c r="Q15" s="2"/>
      <c r="R15" s="2"/>
      <c r="S15" s="2"/>
      <c r="T15" s="2"/>
      <c r="U15" s="2"/>
      <c r="V15" s="2"/>
      <c r="W15" s="2"/>
      <c r="X15" s="2"/>
    </row>
    <row r="16" spans="1:41" ht="15">
      <c r="A16" s="1" t="s">
        <v>467</v>
      </c>
      <c r="B16" s="246" t="s">
        <v>668</v>
      </c>
      <c r="C16" s="211">
        <v>1</v>
      </c>
      <c r="F16" s="251">
        <f>VLOOKUP(B16,'Standard data'!$B$41:$E$50,2,FALSE)</f>
        <v>50</v>
      </c>
      <c r="G16" s="252">
        <f>VLOOKUP(G$14,$B$45:$J$52,7,FALSE)</f>
        <v>8.1210110400000008</v>
      </c>
      <c r="H16" s="252">
        <f>IF(G16=0,0,(F16^0.75)*((0.0582*G16-0.00266*G16^2-0.1128)/(0.239*G16)))</f>
        <v>1.78653936434283</v>
      </c>
      <c r="I16" s="252">
        <f>VLOOKUP($B16,'Standard data'!B$42:E$45,3,FALSE)</f>
        <v>6</v>
      </c>
      <c r="J16" s="252">
        <f>C16*I16</f>
        <v>6</v>
      </c>
      <c r="K16" s="253">
        <f>H16*(1-VLOOKUP($G$14,$B$45:$J$52,4,FALSE)-VLOOKUP($G$14,$B$45:$J$52,6,FALSE))*(1-VLOOKUP($G$14,$B$45:$J$52,5,FALSE))</f>
        <v>0.26297859443126448</v>
      </c>
      <c r="L16" s="247"/>
      <c r="M16" s="267"/>
      <c r="N16" s="304">
        <f>C16*365*H16*'Standard data'!$C$18/'Standard data'!$C$19*VLOOKUP($G$14,$B$45:$J$52,3,FALSE)/100</f>
        <v>12.43095518551173</v>
      </c>
      <c r="O16" s="305">
        <f>$C16*365*$K16*VLOOKUP($G$14,$B$45:$J$52,2,FALSE)*'Standard data'!$C$20*Manure!U$17</f>
        <v>0.17364082122404745</v>
      </c>
      <c r="P16" s="1"/>
      <c r="Q16" s="1"/>
      <c r="R16" s="1"/>
      <c r="S16" s="1"/>
      <c r="T16" s="1"/>
      <c r="U16" s="1"/>
      <c r="V16" s="1"/>
    </row>
    <row r="17" spans="1:34" ht="15">
      <c r="A17" s="1" t="s">
        <v>674</v>
      </c>
      <c r="B17" s="246" t="s">
        <v>670</v>
      </c>
      <c r="C17" s="211">
        <v>1</v>
      </c>
      <c r="F17" s="251">
        <f>VLOOKUP(B17,'Standard data'!$B$41:$E$50,2,FALSE)</f>
        <v>250</v>
      </c>
      <c r="G17" s="252">
        <f>VLOOKUP(G$14,$B$45:$J$52,7,FALSE)</f>
        <v>8.1210110400000008</v>
      </c>
      <c r="H17" s="252">
        <f>IF(G17=0,0,3.184+0.01536*F17*0.96)</f>
        <v>6.8704000000000001</v>
      </c>
      <c r="I17" s="252">
        <f>VLOOKUP($B17,'Standard data'!B$42:E$45,3,FALSE)</f>
        <v>18.399999999999999</v>
      </c>
      <c r="J17" s="252">
        <f>C17*I17</f>
        <v>18.399999999999999</v>
      </c>
      <c r="K17" s="253">
        <f>H17*(1-VLOOKUP($G$14,$B$45:$J$52,4,FALSE)-VLOOKUP($G$14,$B$45:$J$52,6,FALSE))*(1-VLOOKUP($G$14,$B$45:$J$52,5,FALSE))</f>
        <v>1.0113228799999996</v>
      </c>
      <c r="L17" s="247"/>
      <c r="M17" s="267"/>
      <c r="N17" s="304">
        <f>C17*365*H17*'Standard data'!$C$18/'Standard data'!$C$19*VLOOKUP($G$14,$B$45:$J$52,3,FALSE)/100</f>
        <v>47.805067277628019</v>
      </c>
      <c r="O17" s="305">
        <f>$C17*365*$K17*VLOOKUP($G$14,$B$45:$J$52,2,FALSE)*'Standard data'!$C$20*Manure!U$17</f>
        <v>0.66776132782079978</v>
      </c>
      <c r="P17" s="1"/>
      <c r="Q17" s="1"/>
      <c r="R17" s="1"/>
      <c r="S17" s="1"/>
      <c r="T17" s="1"/>
      <c r="U17" s="1"/>
      <c r="V17" s="1"/>
    </row>
    <row r="18" spans="1:34" ht="15.75" thickBot="1">
      <c r="A18" s="1" t="s">
        <v>673</v>
      </c>
      <c r="B18" s="246" t="s">
        <v>671</v>
      </c>
      <c r="C18" s="211">
        <v>1</v>
      </c>
      <c r="F18" s="251">
        <f>VLOOKUP(B18,'Standard data'!$B$41:$E$50,2,FALSE)</f>
        <v>600</v>
      </c>
      <c r="G18" s="252">
        <f>VLOOKUP(G$14,$B$45:$J$52,7,FALSE)</f>
        <v>8.1210110400000008</v>
      </c>
      <c r="H18" s="252">
        <f>IF(G18=0,0,3.184+0.01536*F18*0.96)</f>
        <v>12.031359999999999</v>
      </c>
      <c r="I18" s="252">
        <f>VLOOKUP($B18,'Standard data'!B$42:E$45,3,FALSE)</f>
        <v>61</v>
      </c>
      <c r="J18" s="252">
        <f>C18*I18</f>
        <v>61</v>
      </c>
      <c r="K18" s="253">
        <f>H18*(1-VLOOKUP($G$14,$B$45:$J$52,4,FALSE)-VLOOKUP($G$14,$B$45:$J$52,6,FALSE))*(1-VLOOKUP($G$14,$B$45:$J$52,5,FALSE))</f>
        <v>1.7710161919999994</v>
      </c>
      <c r="L18" s="247"/>
      <c r="M18" s="267"/>
      <c r="N18" s="304">
        <f>C18*365*H18*'Standard data'!$C$18/'Standard data'!$C$19*VLOOKUP($G$14,$B$45:$J$52,3,FALSE)/100</f>
        <v>83.715645994609147</v>
      </c>
      <c r="O18" s="305">
        <f>$C18*365*$K18*VLOOKUP($G$14,$B$45:$J$52,2,FALSE)*'Standard data'!$C$20*Manure!U$17</f>
        <v>1.1693754263347196</v>
      </c>
      <c r="P18" s="1"/>
      <c r="Q18" s="1"/>
      <c r="R18" s="1"/>
      <c r="S18" s="1"/>
      <c r="T18" s="1"/>
      <c r="U18" s="1"/>
      <c r="V18" s="1"/>
    </row>
    <row r="19" spans="1:34" s="18" customFormat="1" ht="16.5" thickBot="1">
      <c r="B19" s="216" t="s">
        <v>468</v>
      </c>
      <c r="C19" s="211"/>
      <c r="F19" s="248"/>
      <c r="G19" s="249" t="str">
        <f>'Standard data'!B9</f>
        <v>Sheep</v>
      </c>
      <c r="H19" s="249" t="s">
        <v>65</v>
      </c>
      <c r="I19" s="249" t="str">
        <f>B19</f>
        <v xml:space="preserve">SHEEP (milk and meat) </v>
      </c>
      <c r="J19" s="249">
        <f>SUM(J20:J21)</f>
        <v>21.06</v>
      </c>
      <c r="K19" s="250">
        <f>SUM(K20:K21)</f>
        <v>0.5275817780319535</v>
      </c>
      <c r="L19" s="258"/>
      <c r="M19" s="266"/>
      <c r="N19" s="306">
        <f>SUM(N20:N21)</f>
        <v>24.938704435588519</v>
      </c>
      <c r="O19" s="307">
        <f>SUM(O20:O21)</f>
        <v>0.36770735288048551</v>
      </c>
      <c r="P19" s="61"/>
      <c r="Q19" s="6"/>
      <c r="R19" s="62"/>
      <c r="S19" s="62"/>
      <c r="T19" s="62"/>
      <c r="U19" s="6"/>
      <c r="V19" s="6"/>
      <c r="W19" s="6"/>
      <c r="X19" s="217"/>
      <c r="Y19" s="8"/>
      <c r="Z19" s="8"/>
      <c r="AA19" s="9"/>
    </row>
    <row r="20" spans="1:34" ht="15">
      <c r="A20" s="1" t="s">
        <v>680</v>
      </c>
      <c r="B20" s="246" t="s">
        <v>678</v>
      </c>
      <c r="C20" s="211">
        <v>1</v>
      </c>
      <c r="F20" s="251">
        <f>VLOOKUP(B20,'Standard data'!$B$26:$E$50,2,FALSE)</f>
        <v>65</v>
      </c>
      <c r="G20" s="252">
        <f>VLOOKUP(G$19,$B$45:$J$52,7,FALSE)</f>
        <v>8.1210110400000008</v>
      </c>
      <c r="H20" s="252">
        <f>IF(G20=0,0,(F20^0.75)*(0.2444*G20-0.0111*G20^2-0.472)/G20)</f>
        <v>2.2007503206780776</v>
      </c>
      <c r="I20" s="252">
        <f>VLOOKUP($B20,'Standard data'!B$29:E$31,3,FALSE)</f>
        <v>14.04</v>
      </c>
      <c r="J20" s="252">
        <f>C20*I20</f>
        <v>14.04</v>
      </c>
      <c r="K20" s="253">
        <f>H20*(1-VLOOKUP($G$19,$B$45:$J$52,4,FALSE)-VLOOKUP($G$19,$B$45:$J$52,6,FALSE))*(1-VLOOKUP($G$19,$B$45:$J$52,5,FALSE))</f>
        <v>0.32395044720381294</v>
      </c>
      <c r="L20" s="247"/>
      <c r="M20" s="267"/>
      <c r="N20" s="304">
        <f>C20*365*H20*'Standard data'!$C$18/'Standard data'!$C$19*VLOOKUP($G$19,$B$45:$J$52,3,FALSE)/100</f>
        <v>15.313084702677713</v>
      </c>
      <c r="O20" s="305">
        <f>$C20*365*$K20*VLOOKUP($G$19,$B$45:$J$52,2,FALSE)*'Standard data'!$C$20*Manure!W17</f>
        <v>0.22578293331152349</v>
      </c>
      <c r="P20" s="6"/>
      <c r="Q20" s="10"/>
      <c r="R20" s="11"/>
      <c r="S20" s="11"/>
      <c r="T20" s="11"/>
      <c r="U20" s="6"/>
      <c r="V20" s="6"/>
      <c r="W20" s="6"/>
      <c r="X20" s="2"/>
    </row>
    <row r="21" spans="1:34" ht="15.75" thickBot="1">
      <c r="A21" s="1" t="s">
        <v>681</v>
      </c>
      <c r="B21" s="246" t="s">
        <v>679</v>
      </c>
      <c r="C21" s="211">
        <v>1</v>
      </c>
      <c r="F21" s="251">
        <f>VLOOKUP(B21,'Standard data'!$B$26:$E$50,2,FALSE)</f>
        <v>35</v>
      </c>
      <c r="G21" s="252">
        <f>VLOOKUP(G$19,$B$45:$J$52,7,FALSE)</f>
        <v>8.1210110400000008</v>
      </c>
      <c r="H21" s="252">
        <f>IF(G21=0,0,(F21^0.75)*(0.2444*G21-0.0111*G21^2-0.472)/G21)</f>
        <v>1.3833650192129114</v>
      </c>
      <c r="I21" s="252">
        <f>VLOOKUP($B21,'Standard data'!B$29:E$31,3,FALSE)</f>
        <v>7.02</v>
      </c>
      <c r="J21" s="252">
        <f>C21*I21</f>
        <v>7.02</v>
      </c>
      <c r="K21" s="253">
        <f>H21*(1-VLOOKUP($G$19,$B$45:$J$52,4,FALSE)-VLOOKUP($G$19,$B$45:$J$52,6,FALSE))*(1-VLOOKUP($G$19,$B$45:$J$52,5,FALSE))</f>
        <v>0.20363133082814053</v>
      </c>
      <c r="L21" s="247"/>
      <c r="M21" s="267"/>
      <c r="N21" s="304">
        <f>C21*365*H21*'Standard data'!$C$18/'Standard data'!$C$19*VLOOKUP($G$19,$B$45:$J$52,3,FALSE)/100</f>
        <v>9.625619732910808</v>
      </c>
      <c r="O21" s="305">
        <f>$C21*365*$K21*VLOOKUP($G$19,$B$45:$J$52,2,FALSE)*'Standard data'!$C$20*Manure!W17</f>
        <v>0.14192441956896204</v>
      </c>
      <c r="P21" s="6"/>
      <c r="Q21" s="10"/>
      <c r="R21" s="11"/>
      <c r="S21" s="11"/>
      <c r="T21" s="11"/>
      <c r="U21" s="6"/>
      <c r="V21" s="6"/>
      <c r="W21" s="6"/>
      <c r="X21" s="2"/>
    </row>
    <row r="22" spans="1:34" s="18" customFormat="1" ht="16.5" thickBot="1">
      <c r="B22" s="216" t="s">
        <v>64</v>
      </c>
      <c r="C22" s="211"/>
      <c r="F22" s="248"/>
      <c r="G22" s="249" t="str">
        <f>'Standard data'!B10</f>
        <v>Goats</v>
      </c>
      <c r="H22" s="249"/>
      <c r="I22" s="249" t="str">
        <f>B22</f>
        <v>GOATS (milk and meat)</v>
      </c>
      <c r="J22" s="249">
        <f>SUM(J23:J24)</f>
        <v>21.06</v>
      </c>
      <c r="K22" s="250">
        <f>SUM(K23:K24)</f>
        <v>0.54609704308159379</v>
      </c>
      <c r="L22" s="258"/>
      <c r="M22" s="266"/>
      <c r="N22" s="306">
        <f>SUM(N23:N24)</f>
        <v>25.813917988911051</v>
      </c>
      <c r="O22" s="307">
        <f>SUM(O23:O24)</f>
        <v>0.36057968609113017</v>
      </c>
      <c r="P22" s="61"/>
      <c r="Q22" s="6"/>
      <c r="R22" s="62"/>
      <c r="S22" s="62"/>
      <c r="T22" s="62"/>
      <c r="U22" s="6"/>
      <c r="V22" s="6"/>
      <c r="W22" s="6"/>
      <c r="X22" s="217"/>
      <c r="Y22" s="8"/>
      <c r="Z22" s="8"/>
      <c r="AA22" s="9"/>
    </row>
    <row r="23" spans="1:34" ht="15">
      <c r="A23" s="1" t="s">
        <v>684</v>
      </c>
      <c r="B23" s="246" t="s">
        <v>682</v>
      </c>
      <c r="C23" s="211">
        <v>1</v>
      </c>
      <c r="F23" s="251">
        <f>VLOOKUP(B23,'Standard data'!$B$26:$E$50,2,FALSE)</f>
        <v>70</v>
      </c>
      <c r="G23" s="252">
        <f>VLOOKUP(G$22,$B$45:$J$52,7,FALSE)</f>
        <v>8.1210110400000008</v>
      </c>
      <c r="H23" s="252">
        <f>IF(G23=0,0,(F23^0.75)*(0.2444*G23-0.0111*G23^2-0.472)/G23)</f>
        <v>2.3265333712870473</v>
      </c>
      <c r="I23" s="252">
        <f>VLOOKUP($B23,'Standard data'!B$26:E$28,3,FALSE)</f>
        <v>14.04</v>
      </c>
      <c r="J23" s="252">
        <f>C23*I23</f>
        <v>14.04</v>
      </c>
      <c r="K23" s="253">
        <f>H23*(1-VLOOKUP($G$22,$B$45:$J$52,4,FALSE)-VLOOKUP($G$22,$B$45:$J$52,6,FALSE))*(1-VLOOKUP($G$22,$B$45:$J$52,5,FALSE))</f>
        <v>0.34246571225345329</v>
      </c>
      <c r="L23" s="247"/>
      <c r="M23" s="267"/>
      <c r="N23" s="304">
        <f>$C23*365*$H23*'Standard data'!$C$18/'Standard data'!$C$19*VLOOKUP($G$22,$B$45:$J$52,3,FALSE)/100</f>
        <v>16.188298256000241</v>
      </c>
      <c r="O23" s="305">
        <f>$C23*365*$K23*VLOOKUP($G$22,$B$45:$J$52,2,FALSE)*'Standard data'!$C$20*Manure!Y$17</f>
        <v>0.22612497281527141</v>
      </c>
      <c r="P23" s="6"/>
      <c r="Q23" s="63"/>
      <c r="R23" s="64"/>
      <c r="S23" s="64"/>
      <c r="T23" s="64"/>
      <c r="U23" s="6"/>
      <c r="V23" s="6"/>
      <c r="W23" s="6"/>
      <c r="X23" s="7"/>
      <c r="Y23" s="8"/>
      <c r="Z23" s="8"/>
      <c r="AA23" s="9"/>
    </row>
    <row r="24" spans="1:34" ht="16.5" thickBot="1">
      <c r="A24" s="1" t="s">
        <v>685</v>
      </c>
      <c r="B24" s="246" t="s">
        <v>683</v>
      </c>
      <c r="C24" s="211">
        <v>1</v>
      </c>
      <c r="F24" s="251">
        <f>VLOOKUP(B24,'Standard data'!$B$26:$E$50,2,FALSE)</f>
        <v>35</v>
      </c>
      <c r="G24" s="252">
        <f>VLOOKUP(G$22,$B$45:$J$52,7,FALSE)</f>
        <v>8.1210110400000008</v>
      </c>
      <c r="H24" s="252">
        <f>IF(G24=0,0,(F24^0.75)*(0.2444*G24-0.0111*G24^2-0.472)/G24)</f>
        <v>1.3833650192129114</v>
      </c>
      <c r="I24" s="252">
        <f>VLOOKUP($B24,'Standard data'!B$26:E$28,3,FALSE)</f>
        <v>7.02</v>
      </c>
      <c r="J24" s="252">
        <f>C24*I24</f>
        <v>7.02</v>
      </c>
      <c r="K24" s="253">
        <f>H24*(1-VLOOKUP($G$22,$B$45:$J$52,4,FALSE)-VLOOKUP($G$22,$B$45:$J$52,6,FALSE))*(1-VLOOKUP($G$22,$B$45:$J$52,5,FALSE))</f>
        <v>0.20363133082814053</v>
      </c>
      <c r="L24" s="247"/>
      <c r="M24" s="267"/>
      <c r="N24" s="304">
        <f>$C24*365*$H24*'Standard data'!$C$18/'Standard data'!$C$19*VLOOKUP($G$22,$B$45:$J$52,3,FALSE)/100</f>
        <v>9.625619732910808</v>
      </c>
      <c r="O24" s="297">
        <f>$C24*365*$K24*VLOOKUP($G$22,$B$45:$J$52,2,FALSE)*'Standard data'!$C$20*Manure!Y$17</f>
        <v>0.13445471327585876</v>
      </c>
      <c r="P24" s="12"/>
      <c r="Q24" s="65"/>
      <c r="R24" s="65"/>
      <c r="S24" s="65"/>
      <c r="T24" s="65"/>
      <c r="U24" s="66"/>
      <c r="V24" s="6"/>
      <c r="W24" s="6"/>
      <c r="X24" s="7"/>
      <c r="Y24" s="8"/>
      <c r="Z24" s="8"/>
      <c r="AA24" s="9"/>
    </row>
    <row r="25" spans="1:34" s="18" customFormat="1" ht="16.5" thickBot="1">
      <c r="B25" s="216" t="s">
        <v>67</v>
      </c>
      <c r="C25" s="211"/>
      <c r="F25" s="248"/>
      <c r="G25" s="249" t="str">
        <f>'Standard data'!B11</f>
        <v>Horses, others</v>
      </c>
      <c r="H25" s="249" t="str">
        <f>H14</f>
        <v>kg DM ingested /day</v>
      </c>
      <c r="I25" s="249" t="str">
        <f>B25</f>
        <v>Other Ruminants</v>
      </c>
      <c r="J25" s="249">
        <f>SUM(J26:J26)</f>
        <v>44</v>
      </c>
      <c r="K25" s="250">
        <f>SUM(K26:K26)</f>
        <v>1.56136512729216</v>
      </c>
      <c r="L25" s="258"/>
      <c r="M25" s="266"/>
      <c r="N25" s="306">
        <f>SUM(N26:N26)</f>
        <v>70.73024632385092</v>
      </c>
      <c r="O25" s="307">
        <f>SUM(O26:O26)</f>
        <v>1.7182432884568395</v>
      </c>
      <c r="P25" s="61"/>
      <c r="Q25" s="6"/>
      <c r="R25" s="62"/>
      <c r="S25" s="62"/>
      <c r="T25" s="62"/>
      <c r="U25" s="6"/>
      <c r="V25" s="6"/>
      <c r="W25" s="6"/>
      <c r="X25" s="217"/>
      <c r="Y25" s="8"/>
      <c r="Z25" s="8"/>
      <c r="AA25" s="9"/>
    </row>
    <row r="26" spans="1:34" ht="15">
      <c r="A26" s="1" t="s">
        <v>686</v>
      </c>
      <c r="B26" s="246" t="s">
        <v>54</v>
      </c>
      <c r="C26" s="211">
        <v>1</v>
      </c>
      <c r="F26" s="251">
        <f>VLOOKUP(B26,'Standard data'!$B$26:$E$50,2,FALSE)</f>
        <v>500</v>
      </c>
      <c r="G26" s="252">
        <f>VLOOKUP(G$25,$B$45:$J$52,7,FALSE)</f>
        <v>8.1210110400000008</v>
      </c>
      <c r="H26" s="252">
        <f>IF(G26=0,0,(F26^0.75)*(0.2444*G26-0.0111*G26^2-0.472)/G26)</f>
        <v>10.165137547475004</v>
      </c>
      <c r="I26" s="252">
        <f>VLOOKUP($B26,'Standard data'!B$46:E$50,3,FALSE)</f>
        <v>44</v>
      </c>
      <c r="J26" s="252">
        <f>C26*I26</f>
        <v>44</v>
      </c>
      <c r="K26" s="253">
        <f>H26*(1-VLOOKUP($G$25,$B$45:$J$52,4,FALSE)-VLOOKUP($G$25,$B$45:$J$52,6,FALSE))*(1-VLOOKUP($G$25,$B$45:$J$52,5,FALSE))</f>
        <v>1.56136512729216</v>
      </c>
      <c r="L26" s="247"/>
      <c r="M26" s="267"/>
      <c r="N26" s="304">
        <f>C26*365*H26*'Standard data'!$C$18/'Standard data'!$C$19*VLOOKUP($G$25,$B$45:$J$52,3,FALSE)/100</f>
        <v>70.73024632385092</v>
      </c>
      <c r="O26" s="305">
        <f>$C26*365*$K26*VLOOKUP($G$25,$B$45:$J$52,2,FALSE)*'Standard data'!$C$20*Manure!AA$17</f>
        <v>1.7182432884568395</v>
      </c>
      <c r="P26" s="1"/>
      <c r="Q26" s="1"/>
      <c r="R26" s="1"/>
      <c r="S26" s="1"/>
      <c r="T26" s="1"/>
      <c r="U26" s="1"/>
      <c r="V26" s="1"/>
    </row>
    <row r="27" spans="1:34" s="18" customFormat="1" ht="15.75" thickBot="1">
      <c r="B27" s="69"/>
      <c r="C27" s="70"/>
      <c r="D27" s="72"/>
      <c r="E27" s="9"/>
      <c r="F27" s="255"/>
      <c r="G27" s="255"/>
      <c r="H27" s="255"/>
      <c r="I27" s="255"/>
      <c r="J27" s="255"/>
      <c r="K27" s="256"/>
      <c r="L27" s="259"/>
      <c r="M27" s="268"/>
      <c r="N27" s="296"/>
      <c r="O27" s="297"/>
      <c r="T27" s="1"/>
      <c r="U27" s="1"/>
      <c r="V27" s="1"/>
      <c r="W27" s="24"/>
      <c r="X27" s="24"/>
    </row>
    <row r="28" spans="1:34" s="18" customFormat="1" ht="15.75" thickBot="1">
      <c r="B28" s="69"/>
      <c r="C28" s="18" t="s">
        <v>697</v>
      </c>
      <c r="D28" s="18" t="s">
        <v>479</v>
      </c>
      <c r="F28" s="263"/>
      <c r="G28" s="263" t="s">
        <v>438</v>
      </c>
      <c r="H28" s="263"/>
      <c r="I28" s="263"/>
      <c r="J28" s="263"/>
      <c r="K28" s="264" t="s">
        <v>439</v>
      </c>
      <c r="L28" s="265"/>
      <c r="M28" s="269"/>
      <c r="N28" s="296"/>
      <c r="O28" s="297"/>
      <c r="T28" s="1"/>
      <c r="U28" s="1"/>
      <c r="V28" s="1"/>
      <c r="W28" s="24"/>
      <c r="X28" s="24"/>
    </row>
    <row r="29" spans="1:34" ht="45.75" thickBot="1">
      <c r="B29" s="131" t="s">
        <v>68</v>
      </c>
      <c r="C29" s="197" t="s">
        <v>0</v>
      </c>
      <c r="D29" s="197" t="s">
        <v>478</v>
      </c>
      <c r="F29" s="260" t="s">
        <v>1</v>
      </c>
      <c r="G29" s="260" t="s">
        <v>2</v>
      </c>
      <c r="H29" s="260" t="s">
        <v>3</v>
      </c>
      <c r="I29" s="260" t="s">
        <v>69</v>
      </c>
      <c r="J29" s="260" t="s">
        <v>4</v>
      </c>
      <c r="K29" s="261" t="s">
        <v>6</v>
      </c>
      <c r="L29" s="262"/>
      <c r="M29" s="270"/>
      <c r="N29" s="302" t="s">
        <v>5</v>
      </c>
      <c r="O29" s="303" t="s">
        <v>70</v>
      </c>
      <c r="P29" s="1"/>
      <c r="Q29" s="1"/>
      <c r="R29" s="1"/>
      <c r="S29" s="1"/>
      <c r="T29" s="1"/>
      <c r="U29" s="1"/>
      <c r="V29" s="1"/>
      <c r="AG29" s="24"/>
      <c r="AH29" s="24"/>
    </row>
    <row r="30" spans="1:34" s="18" customFormat="1" ht="16.5" thickBot="1">
      <c r="B30" s="216" t="s">
        <v>71</v>
      </c>
      <c r="C30" s="211"/>
      <c r="D30" s="211"/>
      <c r="F30" s="249"/>
      <c r="G30" s="249" t="str">
        <f>'Standard data'!B12</f>
        <v>Pigs</v>
      </c>
      <c r="H30" s="249"/>
      <c r="I30" s="249"/>
      <c r="J30" s="249">
        <f>SUM(J31:J32)</f>
        <v>21.02</v>
      </c>
      <c r="K30" s="250">
        <f>SUM(K31:K32)</f>
        <v>8.3769863013698647</v>
      </c>
      <c r="L30" s="258"/>
      <c r="M30" s="266"/>
      <c r="N30" s="306">
        <f>SUM(N31:N32)</f>
        <v>39.784366576819401</v>
      </c>
      <c r="O30" s="307">
        <f>SUM(O31:O32)</f>
        <v>13.827996000000002</v>
      </c>
      <c r="P30" s="61"/>
      <c r="Q30" s="6"/>
      <c r="R30" s="62"/>
      <c r="S30" s="62"/>
      <c r="T30" s="62"/>
      <c r="U30" s="6"/>
      <c r="V30" s="6"/>
      <c r="W30" s="6"/>
      <c r="X30" s="217"/>
      <c r="Y30" s="8"/>
      <c r="Z30" s="8"/>
      <c r="AA30" s="9"/>
    </row>
    <row r="31" spans="1:34" ht="15">
      <c r="A31" s="1" t="s">
        <v>689</v>
      </c>
      <c r="B31" s="246" t="s">
        <v>688</v>
      </c>
      <c r="C31" s="211">
        <v>1</v>
      </c>
      <c r="D31" s="211">
        <v>10</v>
      </c>
      <c r="F31" s="251">
        <f>IF(B31="",0,VLOOKUP(B31,'Standard data'!$B$54:$J$55,4,FALSE))</f>
        <v>250</v>
      </c>
      <c r="G31" s="252">
        <f>VLOOKUP(G$30,$B$45:$J$52,7,FALSE)</f>
        <v>0</v>
      </c>
      <c r="H31" s="252">
        <f>IF(B31="",0,IF(D31=0,VLOOKUP(B31,'Standard data'!$B$54:$J$55,6,FALSE),D31/C31*1000/365))</f>
        <v>27.397260273972602</v>
      </c>
      <c r="I31" s="252">
        <f>IF(B31="",0,VLOOKUP($B31,'Standard data'!B$54:J$55,8,FALSE))</f>
        <v>20.399999999999999</v>
      </c>
      <c r="J31" s="252">
        <f>C31*I31</f>
        <v>20.399999999999999</v>
      </c>
      <c r="K31" s="253">
        <f>H31*(1-VLOOKUP($G$30,$B$45:$J$52,4,FALSE)-VLOOKUP($G$30,$B$45:$J$52,6,FALSE))*(1-VLOOKUP($G$30,$B$45:$J$52,5,FALSE))</f>
        <v>4.1884931506849323</v>
      </c>
      <c r="L31" s="247"/>
      <c r="M31" s="267"/>
      <c r="N31" s="304">
        <f>C31*365*H31*'Standard data'!$C$18/'Standard data'!$C$19*VLOOKUP($G$30,$B$45:$J$52,3,FALSE)/100</f>
        <v>19.892183288409701</v>
      </c>
      <c r="O31" s="305">
        <f>$C31*365*$K31*VLOOKUP($G$30,$B$45:$J$52,2,FALSE)*'Standard data'!$C$20*Manure!AC$17</f>
        <v>6.9139980000000012</v>
      </c>
      <c r="P31" s="1"/>
      <c r="Q31" s="1"/>
      <c r="R31" s="1"/>
      <c r="S31" s="1"/>
      <c r="T31" s="1"/>
      <c r="U31" s="1"/>
      <c r="V31" s="1"/>
      <c r="AG31" s="24"/>
      <c r="AH31" s="24"/>
    </row>
    <row r="32" spans="1:34" ht="15">
      <c r="A32" s="1" t="s">
        <v>690</v>
      </c>
      <c r="B32" s="246" t="s">
        <v>687</v>
      </c>
      <c r="C32" s="211">
        <v>1</v>
      </c>
      <c r="D32" s="211">
        <v>10</v>
      </c>
      <c r="F32" s="251">
        <f>IF(B32="",0,VLOOKUP(B32,'Standard data'!$B$54:$J$55,4,FALSE))</f>
        <v>32</v>
      </c>
      <c r="G32" s="252">
        <f>VLOOKUP(G$30,$B$45:$J$52,7,FALSE)</f>
        <v>0</v>
      </c>
      <c r="H32" s="252">
        <f>IF(B32="",0,IF(C32=0,VLOOKUP(B32,'Standard data'!$B$54:$J$55,6,FALSE),D32/C32*1000/365))</f>
        <v>27.397260273972602</v>
      </c>
      <c r="I32" s="252">
        <f>IF(B32="",0,VLOOKUP($B32,'Standard data'!B$54:J$55,8,FALSE))</f>
        <v>0.62</v>
      </c>
      <c r="J32" s="252">
        <f>C32*I32</f>
        <v>0.62</v>
      </c>
      <c r="K32" s="253">
        <f>H32*(1-VLOOKUP($G$30,$B$45:$J$52,4,FALSE)-VLOOKUP($G$30,$B$45:$J$52,6,FALSE))*(1-VLOOKUP($G$30,$B$45:$J$52,5,FALSE))</f>
        <v>4.1884931506849323</v>
      </c>
      <c r="L32" s="247"/>
      <c r="M32" s="267"/>
      <c r="N32" s="296">
        <f>C32*365*H32*'Standard data'!$C$18/'Standard data'!$C$19*VLOOKUP($G$30,$B$45:$J$52,3,FALSE)/100</f>
        <v>19.892183288409701</v>
      </c>
      <c r="O32" s="297">
        <f>$C32*365*$K32*VLOOKUP($G$30,$B$45:$J$52,2,FALSE)*'Standard data'!$C$20*Manure!AC$17</f>
        <v>6.9139980000000012</v>
      </c>
      <c r="P32" s="1"/>
      <c r="Q32" s="1"/>
      <c r="R32" s="1"/>
      <c r="S32" s="1"/>
      <c r="T32" s="1"/>
      <c r="U32" s="1"/>
      <c r="V32" s="1"/>
      <c r="AG32" s="24"/>
      <c r="AH32" s="24"/>
    </row>
    <row r="33" spans="1:41" s="18" customFormat="1" ht="33.75" customHeight="1">
      <c r="B33" s="80"/>
      <c r="C33" s="18" t="s">
        <v>697</v>
      </c>
      <c r="D33" s="18" t="s">
        <v>479</v>
      </c>
      <c r="F33" s="252"/>
      <c r="G33" s="252"/>
      <c r="H33" s="252"/>
      <c r="I33" s="252"/>
      <c r="J33" s="252"/>
      <c r="K33" s="253"/>
      <c r="L33" s="247"/>
      <c r="M33" s="267"/>
      <c r="N33" s="296"/>
      <c r="O33" s="297"/>
      <c r="AF33" s="57"/>
      <c r="AG33" s="24"/>
      <c r="AH33" s="24"/>
    </row>
    <row r="34" spans="1:41" ht="39" thickBot="1">
      <c r="B34" s="80"/>
      <c r="C34" s="197" t="s">
        <v>0</v>
      </c>
      <c r="D34" s="197" t="s">
        <v>478</v>
      </c>
      <c r="F34" s="255"/>
      <c r="G34" s="255"/>
      <c r="H34" s="255"/>
      <c r="I34" s="255"/>
      <c r="J34" s="255"/>
      <c r="K34" s="256"/>
      <c r="L34" s="259"/>
      <c r="M34" s="268"/>
      <c r="N34" s="302"/>
      <c r="O34" s="303"/>
      <c r="P34" s="1"/>
      <c r="Q34" s="1"/>
      <c r="R34" s="1"/>
      <c r="S34" s="1"/>
      <c r="T34" s="1"/>
      <c r="U34" s="1"/>
      <c r="V34" s="1"/>
      <c r="AF34" s="20"/>
      <c r="AG34" s="24"/>
      <c r="AH34" s="24"/>
    </row>
    <row r="35" spans="1:41" s="18" customFormat="1" ht="16.5" thickBot="1">
      <c r="B35" s="216" t="s">
        <v>193</v>
      </c>
      <c r="C35" s="129"/>
      <c r="D35" s="81"/>
      <c r="F35" s="249"/>
      <c r="G35" s="249" t="s">
        <v>193</v>
      </c>
      <c r="H35" s="249"/>
      <c r="I35" s="249"/>
      <c r="J35" s="249">
        <f>SUM(J36:J38)</f>
        <v>2.2080000000000002</v>
      </c>
      <c r="K35" s="250">
        <f>SUM(K36:K38)</f>
        <v>11.276712328767116</v>
      </c>
      <c r="L35" s="258"/>
      <c r="M35" s="266"/>
      <c r="N35" s="306">
        <f>SUM(N36:N38)</f>
        <v>59.676549865229106</v>
      </c>
      <c r="O35" s="307">
        <f>SUM(O36:O38)</f>
        <v>14.891687999999991</v>
      </c>
      <c r="P35" s="61"/>
      <c r="Q35" s="6"/>
      <c r="R35" s="62"/>
      <c r="S35" s="62"/>
      <c r="T35" s="62"/>
      <c r="U35" s="6"/>
      <c r="V35" s="6"/>
      <c r="W35" s="6"/>
      <c r="X35" s="217"/>
      <c r="Y35" s="8"/>
      <c r="Z35" s="8"/>
      <c r="AA35" s="9"/>
    </row>
    <row r="36" spans="1:41" ht="15">
      <c r="A36" s="1" t="s">
        <v>694</v>
      </c>
      <c r="B36" s="246" t="s">
        <v>691</v>
      </c>
      <c r="C36" s="211">
        <v>1</v>
      </c>
      <c r="D36" s="211">
        <v>10</v>
      </c>
      <c r="F36" s="251">
        <f>VLOOKUP(B36,'Standard data'!$B$60:$L$62,4,FALSE)</f>
        <v>1.95</v>
      </c>
      <c r="G36" s="252">
        <f>VLOOKUP(G$35,$B$45:$J$52,7,FALSE)</f>
        <v>0</v>
      </c>
      <c r="H36" s="252">
        <f>IF(D36=0,VLOOKUP(B36,'Standard data'!$B$60:$L$62,6,FALSE),D36/C36*1000/365)</f>
        <v>27.397260273972602</v>
      </c>
      <c r="I36" s="252">
        <f>VLOOKUP($B36,'Standard data'!B$60:L$62,8,FALSE)</f>
        <v>0.71299999999999997</v>
      </c>
      <c r="J36" s="252">
        <f>C36*I36</f>
        <v>0.71299999999999997</v>
      </c>
      <c r="K36" s="253">
        <f>H36*(1-VLOOKUP($G$35,$B$45:$J$52,4,FALSE)-VLOOKUP($G$35,$B$45:$J$52,6,FALSE))*(1-VLOOKUP($G$35,$B$45:$J$52,5,FALSE))</f>
        <v>3.758904109589039</v>
      </c>
      <c r="L36" s="247"/>
      <c r="M36" s="267"/>
      <c r="N36" s="304">
        <f>C36*365*H36*'Standard data'!$C$18/'Standard data'!$C$19*VLOOKUP($G$35,$B$45:$J$52,3,FALSE)/100</f>
        <v>19.892183288409701</v>
      </c>
      <c r="O36" s="305">
        <f>C36*365*$K36*VLOOKUP($G$35,$B$45:$J$52,2,FALSE)*'Standard data'!$C$20*Manure!AG$17</f>
        <v>4.9638959999999974</v>
      </c>
      <c r="P36" s="1"/>
      <c r="Q36" s="1"/>
      <c r="R36" s="1"/>
      <c r="S36" s="1"/>
      <c r="T36" s="1"/>
      <c r="U36" s="1"/>
      <c r="V36" s="1"/>
      <c r="AF36" s="20"/>
      <c r="AG36" s="24"/>
      <c r="AH36" s="24"/>
    </row>
    <row r="37" spans="1:41" ht="15">
      <c r="A37" s="1" t="s">
        <v>695</v>
      </c>
      <c r="B37" s="246" t="s">
        <v>692</v>
      </c>
      <c r="C37" s="211">
        <v>1</v>
      </c>
      <c r="D37" s="211">
        <v>10</v>
      </c>
      <c r="F37" s="251">
        <f>VLOOKUP(B37,'Standard data'!$B$60:$L$62,4,FALSE)</f>
        <v>2.0299999999999998</v>
      </c>
      <c r="G37" s="252">
        <f>VLOOKUP(G$35,$B$45:$J$52,7,FALSE)</f>
        <v>0</v>
      </c>
      <c r="H37" s="252">
        <f>IF(D37=0,VLOOKUP(B37,'Standard data'!$B$60:$L$62,6,FALSE),D37/C37*1000/365)</f>
        <v>27.397260273972602</v>
      </c>
      <c r="I37" s="252">
        <f>VLOOKUP($B37,'Standard data'!B$60:L$62,8,FALSE)</f>
        <v>0.77700000000000002</v>
      </c>
      <c r="J37" s="252">
        <f>C37*I37</f>
        <v>0.77700000000000002</v>
      </c>
      <c r="K37" s="253">
        <f>H37*(1-VLOOKUP($G$35,$B$45:$J$52,4,FALSE)-VLOOKUP($G$35,$B$45:$J$52,6,FALSE))*(1-VLOOKUP($G$35,$B$45:$J$52,5,FALSE))</f>
        <v>3.758904109589039</v>
      </c>
      <c r="L37" s="247"/>
      <c r="M37" s="267"/>
      <c r="N37" s="296">
        <f>C37*365*H37*'Standard data'!$C$18/'Standard data'!$C$19*VLOOKUP($G$35,$B$45:$J$52,3,FALSE)/100</f>
        <v>19.892183288409701</v>
      </c>
      <c r="O37" s="305">
        <f>C37*365*$K37*VLOOKUP($G$35,$B$45:$J$52,2,FALSE)*'Standard data'!$C$20*Manure!AG$17</f>
        <v>4.9638959999999974</v>
      </c>
      <c r="P37" s="1"/>
      <c r="Q37" s="1"/>
      <c r="R37" s="1"/>
      <c r="S37" s="1"/>
      <c r="T37" s="1"/>
      <c r="U37" s="1"/>
      <c r="V37" s="1"/>
      <c r="AF37" s="20"/>
      <c r="AG37" s="24"/>
      <c r="AH37" s="24"/>
    </row>
    <row r="38" spans="1:41" ht="15">
      <c r="A38" s="1" t="s">
        <v>696</v>
      </c>
      <c r="B38" s="246" t="s">
        <v>693</v>
      </c>
      <c r="C38" s="211">
        <v>1</v>
      </c>
      <c r="D38" s="211">
        <v>10</v>
      </c>
      <c r="F38" s="251">
        <f>VLOOKUP(B38,'Standard data'!$B$60:$L$62,4,FALSE)</f>
        <v>1.883</v>
      </c>
      <c r="G38" s="252">
        <f>VLOOKUP(G$35,$B$45:$J$52,7,FALSE)</f>
        <v>0</v>
      </c>
      <c r="H38" s="252">
        <f>IF(D38=0,VLOOKUP(B38,'Standard data'!$B$60:$L$62,6,FALSE),D38/C38*1000/365)</f>
        <v>27.397260273972602</v>
      </c>
      <c r="I38" s="252">
        <f>VLOOKUP($B38,'Standard data'!B$60:L$62,8,FALSE)</f>
        <v>0.71799999999999997</v>
      </c>
      <c r="J38" s="252">
        <f>C38*I38</f>
        <v>0.71799999999999997</v>
      </c>
      <c r="K38" s="253">
        <f>H38*(1-VLOOKUP($G$35,$B$45:$J$52,4,FALSE)-VLOOKUP($G$35,$B$45:$J$52,6,FALSE))*(1-VLOOKUP($G$35,$B$45:$J$52,5,FALSE))</f>
        <v>3.758904109589039</v>
      </c>
      <c r="L38" s="247"/>
      <c r="M38" s="267"/>
      <c r="N38" s="296">
        <f>C38*365*H38*'Standard data'!$C$18/'Standard data'!$C$19*VLOOKUP($G$35,$B$45:$J$52,3,FALSE)/100</f>
        <v>19.892183288409701</v>
      </c>
      <c r="O38" s="305">
        <f>C38*365*$K38*VLOOKUP($G$35,$B$45:$J$52,2,FALSE)*'Standard data'!$C$20*Manure!AG$17</f>
        <v>4.9638959999999974</v>
      </c>
      <c r="P38" s="1"/>
      <c r="Q38" s="1"/>
      <c r="R38" s="1"/>
      <c r="S38" s="1"/>
      <c r="T38" s="1"/>
      <c r="U38" s="1"/>
      <c r="V38" s="1"/>
      <c r="AF38" s="20"/>
      <c r="AG38" s="24"/>
      <c r="AH38" s="24"/>
    </row>
    <row r="39" spans="1:41" s="18" customFormat="1" ht="13.5" thickBot="1">
      <c r="B39" s="75"/>
      <c r="C39" s="70"/>
      <c r="D39" s="70"/>
      <c r="E39" s="71"/>
      <c r="F39" s="76"/>
      <c r="G39" s="157"/>
      <c r="H39" s="77"/>
      <c r="I39" s="158"/>
      <c r="J39" s="159"/>
      <c r="K39" s="157"/>
      <c r="M39" s="147"/>
      <c r="N39" s="147"/>
      <c r="O39" s="147"/>
      <c r="P39" s="157"/>
      <c r="Q39" s="143"/>
      <c r="S39" s="143"/>
      <c r="T39" s="143"/>
      <c r="U39" s="143"/>
      <c r="X39" s="24"/>
      <c r="Y39" s="24"/>
      <c r="AA39" s="24"/>
      <c r="AB39" s="24"/>
      <c r="AK39" s="1"/>
      <c r="AL39" s="20"/>
      <c r="AM39" s="24"/>
      <c r="AN39" s="24"/>
    </row>
    <row r="40" spans="1:41" s="18" customFormat="1" ht="15.75" thickBot="1">
      <c r="B40" s="308"/>
      <c r="C40" s="24"/>
      <c r="D40" s="24"/>
      <c r="E40" s="24"/>
      <c r="F40" s="24"/>
      <c r="G40" s="24"/>
      <c r="H40" s="24"/>
      <c r="I40" s="24"/>
      <c r="J40" s="147"/>
      <c r="K40" s="147"/>
      <c r="L40" s="157"/>
      <c r="M40" s="157" t="s">
        <v>729</v>
      </c>
      <c r="N40" s="306">
        <f>SUM(N35,N30,N25,N22,N19,N14,N5)</f>
        <v>60500.622210850604</v>
      </c>
      <c r="O40" s="307">
        <f>SUM(O35,O30,O25,O22,O19,O14,O5)</f>
        <v>1152.72090645195</v>
      </c>
      <c r="P40" s="147"/>
      <c r="Q40" s="157"/>
      <c r="R40" s="143"/>
      <c r="T40" s="143"/>
      <c r="U40" s="143"/>
      <c r="V40" s="143"/>
      <c r="Y40" s="24"/>
      <c r="Z40" s="24"/>
      <c r="AB40" s="24"/>
      <c r="AC40" s="24"/>
      <c r="AL40" s="1"/>
      <c r="AM40" s="20"/>
      <c r="AN40" s="24"/>
      <c r="AO40" s="24"/>
    </row>
    <row r="41" spans="1:41" s="18" customFormat="1">
      <c r="C41" s="24"/>
      <c r="D41" s="24"/>
      <c r="E41" s="24"/>
      <c r="F41" s="24"/>
      <c r="G41" s="24"/>
      <c r="H41" s="24"/>
      <c r="I41" s="24"/>
      <c r="J41" s="147"/>
      <c r="K41" s="147"/>
      <c r="L41" s="157"/>
      <c r="M41" s="157"/>
      <c r="N41" s="147"/>
      <c r="O41" s="147"/>
      <c r="P41" s="147"/>
      <c r="Q41" s="157"/>
      <c r="R41" s="143"/>
      <c r="T41" s="143"/>
      <c r="U41" s="143"/>
      <c r="V41" s="143"/>
      <c r="Y41" s="24"/>
      <c r="Z41" s="24"/>
      <c r="AA41" s="24"/>
      <c r="AB41" s="24"/>
      <c r="AC41" s="24"/>
    </row>
    <row r="42" spans="1:41" s="18" customFormat="1">
      <c r="C42" s="24"/>
      <c r="D42" s="24"/>
      <c r="E42" s="78"/>
      <c r="F42" s="79"/>
      <c r="G42" s="79"/>
      <c r="H42" s="73"/>
      <c r="I42" s="24"/>
      <c r="J42" s="147"/>
      <c r="K42" s="147"/>
      <c r="L42" s="160"/>
      <c r="M42" s="157"/>
      <c r="N42" s="147"/>
      <c r="O42" s="147"/>
      <c r="P42" s="147"/>
      <c r="Q42" s="157"/>
      <c r="R42" s="143"/>
      <c r="T42" s="143"/>
      <c r="U42" s="143"/>
      <c r="V42" s="143"/>
      <c r="Y42" s="24"/>
      <c r="Z42" s="24"/>
      <c r="AA42" s="24"/>
      <c r="AB42" s="24"/>
      <c r="AC42" s="24"/>
    </row>
    <row r="43" spans="1:41" s="18" customFormat="1" ht="15">
      <c r="B43" s="244" t="s">
        <v>55</v>
      </c>
      <c r="C43" s="244"/>
      <c r="D43" s="244"/>
      <c r="E43" s="244"/>
      <c r="F43" s="244"/>
      <c r="G43" s="244"/>
      <c r="H43" s="244"/>
      <c r="I43" s="244"/>
      <c r="J43" s="143"/>
      <c r="K43" s="147"/>
      <c r="L43" s="157"/>
      <c r="M43" s="157"/>
      <c r="N43" s="147"/>
      <c r="O43" s="147"/>
      <c r="P43" s="147"/>
      <c r="Q43" s="157"/>
      <c r="R43" s="143"/>
      <c r="T43" s="143"/>
      <c r="U43" s="143"/>
      <c r="V43" s="143"/>
      <c r="Y43" s="24"/>
      <c r="Z43" s="24"/>
      <c r="AA43" s="24"/>
      <c r="AB43" s="24"/>
      <c r="AC43" s="24"/>
    </row>
    <row r="44" spans="1:41" s="18" customFormat="1" ht="15">
      <c r="B44" s="244" t="s">
        <v>56</v>
      </c>
      <c r="C44" s="244" t="s">
        <v>57</v>
      </c>
      <c r="D44" s="244" t="s">
        <v>30</v>
      </c>
      <c r="E44" s="244" t="s">
        <v>58</v>
      </c>
      <c r="F44" s="244" t="s">
        <v>59</v>
      </c>
      <c r="G44" s="244" t="s">
        <v>60</v>
      </c>
      <c r="H44" s="244" t="s">
        <v>706</v>
      </c>
      <c r="I44" s="244" t="s">
        <v>61</v>
      </c>
      <c r="J44" s="143"/>
      <c r="K44" s="139"/>
      <c r="L44" s="157"/>
      <c r="M44" s="157"/>
      <c r="N44" s="147"/>
      <c r="O44" s="147"/>
      <c r="P44" s="147"/>
      <c r="Q44" s="157"/>
      <c r="R44" s="143"/>
      <c r="T44" s="143"/>
      <c r="U44" s="143"/>
      <c r="V44" s="143"/>
      <c r="Y44" s="24"/>
      <c r="Z44" s="24"/>
      <c r="AA44" s="24"/>
      <c r="AB44" s="24"/>
      <c r="AC44" s="24"/>
    </row>
    <row r="45" spans="1:41" s="18" customFormat="1" ht="15">
      <c r="B45" s="244" t="s">
        <v>52</v>
      </c>
      <c r="C45" s="244">
        <f>VLOOKUP($B45,'Standard data'!$B$7:$E$14,2,FALSE)</f>
        <v>0.24</v>
      </c>
      <c r="D45" s="244">
        <f>Feeds!N17</f>
        <v>5.7499999999999991</v>
      </c>
      <c r="E45" s="244">
        <f>Feeds!N16</f>
        <v>0.8</v>
      </c>
      <c r="F45" s="244">
        <f>VLOOKUP($B45,'Standard data'!$B$7:$E$14,3,FALSE)</f>
        <v>0.08</v>
      </c>
      <c r="G45" s="244">
        <f>VLOOKUP($B45,'Standard data'!$B$7:$E$14,4,FALSE)</f>
        <v>0.04</v>
      </c>
      <c r="H45" s="244">
        <f>IF(E45=0,0,18.45*E45*I45)</f>
        <v>8.1210110400000008</v>
      </c>
      <c r="I45" s="244">
        <f>(1.123-(4.092*0.001*(E45*100))+(1.126*0.00001*((E45*100)^2))-(25.4/(E45*100)))</f>
        <v>0.55020400000000003</v>
      </c>
      <c r="J45" s="143"/>
      <c r="K45" s="143"/>
      <c r="L45" s="143"/>
      <c r="M45" s="143"/>
      <c r="N45" s="143"/>
      <c r="O45" s="143"/>
      <c r="P45" s="143"/>
      <c r="Q45" s="139"/>
      <c r="R45" s="147"/>
      <c r="T45" s="147"/>
      <c r="U45" s="143"/>
      <c r="V45" s="147"/>
    </row>
    <row r="46" spans="1:41" s="18" customFormat="1" ht="15">
      <c r="B46" s="244" t="s">
        <v>53</v>
      </c>
      <c r="C46" s="244">
        <f>VLOOKUP($B46,'Standard data'!$B$7:$E$14,2,FALSE)</f>
        <v>0.18</v>
      </c>
      <c r="D46" s="244">
        <f>Feeds!N57</f>
        <v>5.7499999999999991</v>
      </c>
      <c r="E46" s="244">
        <f>Feeds!N56</f>
        <v>0.8</v>
      </c>
      <c r="F46" s="244">
        <f>VLOOKUP($B46,'Standard data'!$B$7:$E$14,3,FALSE)</f>
        <v>0.08</v>
      </c>
      <c r="G46" s="244">
        <f>VLOOKUP($B46,'Standard data'!$B$7:$E$14,4,FALSE)</f>
        <v>0.04</v>
      </c>
      <c r="H46" s="244">
        <f t="shared" ref="H46:H49" si="4">IF(E46=0,0,18.45*E46*I46)</f>
        <v>8.1210110400000008</v>
      </c>
      <c r="I46" s="244">
        <f t="shared" ref="I46:I49" si="5">(1.123-(4.092*0.001*(E46*100))+(1.126*0.00001*((E46*100)^2))-(25.4/(E46*100)))</f>
        <v>0.55020400000000003</v>
      </c>
      <c r="J46" s="143"/>
      <c r="K46" s="139"/>
      <c r="L46" s="139"/>
      <c r="M46" s="139"/>
      <c r="N46" s="139"/>
      <c r="O46" s="139"/>
      <c r="P46" s="139"/>
      <c r="Q46" s="139"/>
      <c r="R46" s="161"/>
      <c r="T46" s="147"/>
      <c r="U46" s="143"/>
      <c r="V46" s="147"/>
    </row>
    <row r="47" spans="1:41" s="18" customFormat="1" ht="15">
      <c r="B47" s="244" t="s">
        <v>482</v>
      </c>
      <c r="C47" s="244">
        <f>VLOOKUP($B47,'Standard data'!$B$7:$E$14,2,FALSE)</f>
        <v>0.19</v>
      </c>
      <c r="D47" s="244">
        <f>Feeds!N97</f>
        <v>5.7499999999999991</v>
      </c>
      <c r="E47" s="244">
        <f>Feeds!N96</f>
        <v>0.8</v>
      </c>
      <c r="F47" s="244">
        <f>VLOOKUP($B47,'Standard data'!$B$7:$E$14,3,FALSE)</f>
        <v>0.08</v>
      </c>
      <c r="G47" s="244">
        <f>VLOOKUP($B47,'Standard data'!$B$7:$E$14,4,FALSE)</f>
        <v>0.04</v>
      </c>
      <c r="H47" s="244">
        <f t="shared" si="4"/>
        <v>8.1210110400000008</v>
      </c>
      <c r="I47" s="244">
        <f t="shared" si="5"/>
        <v>0.55020400000000003</v>
      </c>
      <c r="J47" s="143"/>
      <c r="K47" s="143"/>
      <c r="L47" s="143"/>
      <c r="M47" s="139"/>
      <c r="N47" s="139"/>
      <c r="O47" s="139"/>
      <c r="P47" s="139"/>
      <c r="Q47" s="139"/>
      <c r="R47" s="149"/>
      <c r="T47" s="147"/>
      <c r="U47" s="143"/>
      <c r="V47" s="147"/>
    </row>
    <row r="48" spans="1:41" s="18" customFormat="1" ht="44.25" customHeight="1">
      <c r="B48" s="244" t="s">
        <v>51</v>
      </c>
      <c r="C48" s="244">
        <f>VLOOKUP($B48,'Standard data'!$B$7:$E$14,2,FALSE)</f>
        <v>0.18</v>
      </c>
      <c r="D48" s="244">
        <f>Feeds!N137</f>
        <v>5.7499999999999991</v>
      </c>
      <c r="E48" s="244">
        <f>Feeds!N136</f>
        <v>0.8</v>
      </c>
      <c r="F48" s="244">
        <f>VLOOKUP($B48,'Standard data'!$B$7:$E$14,3,FALSE)</f>
        <v>0.08</v>
      </c>
      <c r="G48" s="244">
        <f>VLOOKUP($B48,'Standard data'!$B$7:$E$14,4,FALSE)</f>
        <v>0.04</v>
      </c>
      <c r="H48" s="244">
        <f t="shared" si="4"/>
        <v>8.1210110400000008</v>
      </c>
      <c r="I48" s="244">
        <f t="shared" si="5"/>
        <v>0.55020400000000003</v>
      </c>
      <c r="J48" s="143"/>
      <c r="K48" s="143"/>
      <c r="L48" s="143"/>
      <c r="M48" s="139"/>
      <c r="N48" s="139"/>
      <c r="O48" s="139"/>
      <c r="P48" s="139"/>
      <c r="Q48" s="139"/>
      <c r="R48" s="149"/>
      <c r="T48" s="147"/>
      <c r="U48" s="143"/>
      <c r="V48" s="147"/>
    </row>
    <row r="49" spans="2:30" s="18" customFormat="1" ht="15">
      <c r="B49" s="244" t="s">
        <v>62</v>
      </c>
      <c r="C49" s="244">
        <f>VLOOKUP($B49,'Standard data'!$B$7:$E$14,2,FALSE)</f>
        <v>0.3</v>
      </c>
      <c r="D49" s="244">
        <f>Feeds!N177</f>
        <v>5.7499999999999991</v>
      </c>
      <c r="E49" s="244">
        <f>Feeds!N176</f>
        <v>0.8</v>
      </c>
      <c r="F49" s="244">
        <f>VLOOKUP($B49,'Standard data'!$B$7:$E$14,3,FALSE)</f>
        <v>0.04</v>
      </c>
      <c r="G49" s="244">
        <f>VLOOKUP($B49,'Standard data'!$B$7:$E$14,4,FALSE)</f>
        <v>0.04</v>
      </c>
      <c r="H49" s="244">
        <f t="shared" si="4"/>
        <v>8.1210110400000008</v>
      </c>
      <c r="I49" s="244">
        <f t="shared" si="5"/>
        <v>0.55020400000000003</v>
      </c>
      <c r="J49" s="143"/>
      <c r="K49" s="143"/>
      <c r="L49" s="143"/>
      <c r="M49" s="139"/>
      <c r="N49" s="139"/>
      <c r="O49" s="139"/>
      <c r="P49" s="139"/>
      <c r="Q49" s="139"/>
      <c r="R49" s="149"/>
      <c r="S49" s="149"/>
      <c r="U49" s="147"/>
      <c r="V49" s="143"/>
      <c r="W49" s="147"/>
    </row>
    <row r="50" spans="2:30" s="18" customFormat="1" ht="15">
      <c r="B50" s="244" t="s">
        <v>63</v>
      </c>
      <c r="C50" s="244">
        <f>VLOOKUP($B50,'Standard data'!$B$7:$E$14,2,FALSE)</f>
        <v>0.45</v>
      </c>
      <c r="D50" s="244">
        <v>0.6</v>
      </c>
      <c r="E50" s="244">
        <f>Feeds!N216</f>
        <v>0.82399999999999995</v>
      </c>
      <c r="F50" s="244">
        <f>VLOOKUP($B50,'Standard data'!$B$7:$E$14,3,FALSE)</f>
        <v>0.02</v>
      </c>
      <c r="G50" s="244">
        <f>VLOOKUP($B50,'Standard data'!$B$7:$E$14,4,FALSE)</f>
        <v>0.02</v>
      </c>
      <c r="H50" s="244"/>
      <c r="I50" s="244"/>
      <c r="J50" s="139"/>
      <c r="K50" s="143"/>
      <c r="L50" s="143"/>
      <c r="M50" s="139"/>
      <c r="N50" s="139"/>
      <c r="O50" s="139"/>
      <c r="P50" s="139"/>
      <c r="Q50" s="139"/>
      <c r="R50" s="149"/>
      <c r="S50" s="149"/>
      <c r="U50" s="147"/>
      <c r="V50" s="143"/>
      <c r="W50" s="147"/>
    </row>
    <row r="51" spans="2:30" s="18" customFormat="1" ht="15">
      <c r="B51" s="244" t="s">
        <v>193</v>
      </c>
      <c r="C51" s="244">
        <f>VLOOKUP($B51,'Standard data'!$B$7:$E$14,2,FALSE)</f>
        <v>0.36</v>
      </c>
      <c r="D51" s="244">
        <v>0.6</v>
      </c>
      <c r="E51" s="244">
        <f>Feeds!N256</f>
        <v>0.84000000000000008</v>
      </c>
      <c r="F51" s="244">
        <f>VLOOKUP($B51,'Standard data'!$B$7:$E$14,3,FALSE)</f>
        <v>0.02</v>
      </c>
      <c r="G51" s="244">
        <f>VLOOKUP($B51,'Standard data'!$B$7:$E$14,4,FALSE)</f>
        <v>0.02</v>
      </c>
      <c r="H51" s="244"/>
      <c r="I51" s="244"/>
      <c r="J51" s="147"/>
      <c r="K51" s="143"/>
      <c r="L51" s="143"/>
      <c r="M51" s="139"/>
      <c r="N51" s="139"/>
      <c r="O51" s="139"/>
      <c r="P51" s="139"/>
      <c r="Q51" s="139"/>
      <c r="R51" s="149"/>
      <c r="S51" s="149"/>
      <c r="U51" s="147"/>
      <c r="V51" s="143"/>
      <c r="W51" s="147"/>
    </row>
    <row r="52" spans="2:30" s="18" customFormat="1" ht="15">
      <c r="B52" s="244"/>
      <c r="C52" s="244"/>
      <c r="D52" s="244"/>
      <c r="E52" s="244"/>
      <c r="F52" s="244"/>
      <c r="G52" s="244"/>
      <c r="H52" s="244"/>
      <c r="I52" s="244"/>
      <c r="J52" s="147"/>
      <c r="K52" s="143"/>
      <c r="L52" s="143"/>
      <c r="M52" s="139"/>
      <c r="N52" s="139"/>
      <c r="O52" s="139"/>
      <c r="P52" s="139"/>
      <c r="Q52" s="139"/>
      <c r="R52" s="149"/>
      <c r="S52" s="149"/>
      <c r="U52" s="147"/>
      <c r="V52" s="143"/>
      <c r="W52" s="147"/>
    </row>
    <row r="53" spans="2:30" s="18" customFormat="1">
      <c r="B53" s="1"/>
      <c r="C53" s="126"/>
      <c r="D53" s="127"/>
      <c r="E53" s="9"/>
      <c r="F53" s="126"/>
      <c r="G53" s="126"/>
      <c r="H53" s="127"/>
      <c r="I53" s="127"/>
      <c r="J53" s="162"/>
      <c r="K53" s="143"/>
      <c r="L53" s="143"/>
      <c r="M53" s="139"/>
      <c r="N53" s="139"/>
      <c r="O53" s="139"/>
      <c r="P53" s="139"/>
      <c r="Q53" s="139"/>
      <c r="R53" s="149"/>
      <c r="S53" s="149"/>
      <c r="U53" s="147"/>
      <c r="V53" s="143"/>
      <c r="W53" s="147"/>
    </row>
    <row r="54" spans="2:30" s="18" customFormat="1">
      <c r="B54" s="74"/>
      <c r="J54" s="143"/>
      <c r="K54" s="143"/>
      <c r="L54" s="143"/>
      <c r="M54" s="139"/>
      <c r="N54" s="139"/>
      <c r="O54" s="139"/>
      <c r="P54" s="139"/>
      <c r="Q54" s="139"/>
      <c r="R54" s="149"/>
      <c r="S54" s="149"/>
      <c r="U54" s="147"/>
      <c r="V54" s="163"/>
      <c r="W54" s="147"/>
    </row>
    <row r="55" spans="2:30" s="18" customFormat="1">
      <c r="B55" s="74"/>
      <c r="J55" s="143"/>
      <c r="K55" s="143"/>
      <c r="L55" s="143"/>
      <c r="M55" s="139"/>
      <c r="N55" s="139"/>
      <c r="O55" s="139"/>
      <c r="P55" s="139"/>
      <c r="Q55" s="139"/>
      <c r="R55" s="149"/>
      <c r="S55" s="149"/>
      <c r="U55" s="147"/>
      <c r="V55" s="163"/>
      <c r="W55" s="147"/>
    </row>
    <row r="56" spans="2:30" s="9" customFormat="1">
      <c r="B56" s="74"/>
      <c r="C56" s="18"/>
      <c r="D56" s="18"/>
      <c r="E56" s="20"/>
      <c r="F56" s="84"/>
      <c r="G56" s="43"/>
      <c r="J56" s="139"/>
      <c r="K56" s="147"/>
      <c r="L56" s="164"/>
      <c r="M56" s="147"/>
      <c r="N56" s="147"/>
      <c r="O56" s="147"/>
      <c r="P56" s="147"/>
      <c r="Q56" s="147"/>
      <c r="R56" s="147"/>
      <c r="S56" s="147"/>
      <c r="U56" s="147"/>
      <c r="V56" s="147"/>
      <c r="W56" s="147"/>
    </row>
    <row r="57" spans="2:30" s="9" customFormat="1">
      <c r="B57" s="74"/>
      <c r="C57" s="18"/>
      <c r="D57" s="18"/>
      <c r="J57" s="147"/>
      <c r="K57" s="147"/>
      <c r="L57" s="164"/>
      <c r="M57" s="147"/>
      <c r="N57" s="147"/>
      <c r="O57" s="147"/>
      <c r="P57" s="147"/>
      <c r="Q57" s="147"/>
      <c r="R57" s="147"/>
      <c r="S57" s="147"/>
      <c r="U57" s="147"/>
      <c r="V57" s="147"/>
      <c r="W57" s="147"/>
    </row>
    <row r="58" spans="2:30" s="9" customFormat="1">
      <c r="B58" s="74"/>
      <c r="C58" s="18"/>
      <c r="D58" s="18"/>
      <c r="J58" s="147"/>
      <c r="K58" s="147"/>
      <c r="L58" s="164"/>
      <c r="M58" s="147"/>
      <c r="N58" s="147"/>
      <c r="O58" s="147"/>
      <c r="P58" s="147"/>
      <c r="Q58" s="147"/>
      <c r="R58" s="147"/>
      <c r="S58" s="147"/>
      <c r="U58" s="147"/>
      <c r="V58" s="147"/>
      <c r="W58" s="147"/>
      <c r="AD58" s="88"/>
    </row>
    <row r="59" spans="2:30" s="9" customFormat="1">
      <c r="B59" s="74"/>
      <c r="C59" s="18"/>
      <c r="D59" s="18"/>
      <c r="J59" s="147"/>
      <c r="K59" s="147"/>
      <c r="L59" s="164"/>
      <c r="M59" s="147"/>
      <c r="N59" s="147"/>
      <c r="O59" s="147"/>
      <c r="P59" s="147"/>
      <c r="Q59" s="147"/>
      <c r="R59" s="147"/>
      <c r="S59" s="147"/>
      <c r="U59" s="147"/>
      <c r="V59" s="147"/>
      <c r="W59" s="147"/>
      <c r="AD59" s="89"/>
    </row>
    <row r="60" spans="2:30" s="9" customFormat="1">
      <c r="B60" s="74"/>
      <c r="C60" s="18"/>
      <c r="D60" s="18"/>
      <c r="J60" s="147"/>
      <c r="K60" s="147"/>
      <c r="L60" s="164"/>
      <c r="M60" s="147"/>
      <c r="N60" s="147"/>
      <c r="O60" s="147"/>
      <c r="P60" s="147"/>
      <c r="Q60" s="147"/>
      <c r="R60" s="147"/>
      <c r="S60" s="147"/>
      <c r="U60" s="147"/>
      <c r="V60" s="147"/>
      <c r="W60" s="147"/>
      <c r="AD60" s="89"/>
    </row>
    <row r="61" spans="2:30" s="9" customFormat="1">
      <c r="B61" s="26"/>
      <c r="J61" s="147"/>
      <c r="K61" s="147"/>
      <c r="L61" s="164"/>
      <c r="M61" s="147"/>
      <c r="N61" s="147"/>
      <c r="O61" s="147"/>
      <c r="P61" s="147"/>
      <c r="Q61" s="147"/>
      <c r="R61" s="147"/>
      <c r="S61" s="147"/>
      <c r="U61" s="147"/>
      <c r="V61" s="147"/>
      <c r="W61" s="147"/>
      <c r="AD61" s="89"/>
    </row>
    <row r="62" spans="2:30" s="9" customFormat="1">
      <c r="B62" s="26"/>
      <c r="J62" s="147"/>
      <c r="K62" s="147"/>
      <c r="L62" s="164"/>
      <c r="M62" s="147"/>
      <c r="N62" s="147"/>
      <c r="O62" s="147"/>
      <c r="P62" s="147"/>
      <c r="Q62" s="147"/>
      <c r="R62" s="147"/>
      <c r="S62" s="147"/>
      <c r="U62" s="147"/>
      <c r="V62" s="147"/>
      <c r="W62" s="147"/>
      <c r="AD62" s="89"/>
    </row>
    <row r="63" spans="2:30" s="9" customFormat="1">
      <c r="B63" s="26"/>
      <c r="J63" s="147"/>
      <c r="K63" s="147"/>
      <c r="L63" s="164"/>
      <c r="M63" s="147"/>
      <c r="N63" s="147"/>
      <c r="O63" s="147"/>
      <c r="P63" s="147"/>
      <c r="Q63" s="147"/>
      <c r="R63" s="147"/>
      <c r="S63" s="147"/>
      <c r="U63" s="147"/>
      <c r="V63" s="147"/>
      <c r="W63" s="147"/>
      <c r="AD63" s="89"/>
    </row>
    <row r="64" spans="2:30" s="9" customFormat="1">
      <c r="B64" s="26"/>
      <c r="J64" s="147"/>
      <c r="K64" s="147"/>
      <c r="L64" s="164"/>
      <c r="M64" s="147"/>
      <c r="N64" s="147"/>
      <c r="O64" s="147"/>
      <c r="P64" s="147"/>
      <c r="Q64" s="147"/>
      <c r="R64" s="147"/>
      <c r="S64" s="147"/>
      <c r="U64" s="147"/>
      <c r="V64" s="147"/>
      <c r="W64" s="147"/>
      <c r="AD64" s="89"/>
    </row>
    <row r="65" spans="2:30" s="9" customFormat="1">
      <c r="B65" s="26"/>
      <c r="J65" s="147"/>
      <c r="K65" s="147"/>
      <c r="L65" s="164"/>
      <c r="M65" s="147"/>
      <c r="N65" s="147"/>
      <c r="O65" s="147"/>
      <c r="P65" s="147"/>
      <c r="Q65" s="147"/>
      <c r="R65" s="147"/>
      <c r="S65" s="147"/>
      <c r="U65" s="147"/>
      <c r="V65" s="147"/>
      <c r="W65" s="147"/>
      <c r="AD65" s="89"/>
    </row>
    <row r="66" spans="2:30" s="9" customFormat="1">
      <c r="B66" s="26"/>
      <c r="J66" s="147"/>
      <c r="K66" s="147"/>
      <c r="L66" s="164"/>
      <c r="M66" s="147"/>
      <c r="N66" s="147"/>
      <c r="O66" s="147"/>
      <c r="P66" s="147"/>
      <c r="Q66" s="147"/>
      <c r="R66" s="147"/>
      <c r="S66" s="147"/>
      <c r="U66" s="147"/>
      <c r="V66" s="147"/>
      <c r="W66" s="147"/>
      <c r="AD66" s="89"/>
    </row>
    <row r="67" spans="2:30" s="9" customFormat="1">
      <c r="B67" s="26"/>
      <c r="J67" s="147"/>
      <c r="K67" s="147"/>
      <c r="L67" s="164"/>
      <c r="M67" s="147"/>
      <c r="N67" s="147"/>
      <c r="O67" s="147"/>
      <c r="P67" s="147"/>
      <c r="Q67" s="147"/>
      <c r="R67" s="147"/>
      <c r="S67" s="147"/>
      <c r="U67" s="147"/>
      <c r="V67" s="147"/>
      <c r="W67" s="147"/>
      <c r="AD67" s="89"/>
    </row>
    <row r="68" spans="2:30" s="9" customFormat="1">
      <c r="B68" s="26"/>
      <c r="J68" s="147"/>
      <c r="K68" s="147"/>
      <c r="L68" s="164"/>
      <c r="M68" s="147"/>
      <c r="N68" s="147"/>
      <c r="O68" s="147"/>
      <c r="P68" s="147"/>
      <c r="Q68" s="147"/>
      <c r="R68" s="147"/>
      <c r="S68" s="147"/>
      <c r="U68" s="147"/>
      <c r="V68" s="147"/>
      <c r="W68" s="147"/>
      <c r="AD68" s="89"/>
    </row>
    <row r="69" spans="2:30" s="9" customFormat="1">
      <c r="B69" s="26"/>
      <c r="C69" s="83"/>
      <c r="J69" s="147"/>
      <c r="K69" s="147"/>
      <c r="L69" s="164"/>
      <c r="M69" s="147"/>
      <c r="N69" s="147"/>
      <c r="O69" s="147"/>
      <c r="P69" s="147"/>
      <c r="Q69" s="147"/>
      <c r="R69" s="147"/>
      <c r="S69" s="147"/>
      <c r="U69" s="147"/>
      <c r="V69" s="147"/>
      <c r="W69" s="147"/>
      <c r="AD69" s="89"/>
    </row>
    <row r="70" spans="2:30" s="9" customFormat="1">
      <c r="B70" s="90"/>
      <c r="C70" s="83"/>
      <c r="J70" s="147"/>
      <c r="K70" s="147"/>
      <c r="L70" s="164"/>
      <c r="M70" s="147"/>
      <c r="N70" s="147"/>
      <c r="O70" s="147"/>
      <c r="P70" s="147"/>
      <c r="Q70" s="147"/>
      <c r="R70" s="147"/>
      <c r="S70" s="147"/>
      <c r="U70" s="147"/>
      <c r="V70" s="147"/>
      <c r="W70" s="147"/>
      <c r="AD70" s="89"/>
    </row>
    <row r="71" spans="2:30" s="9" customFormat="1">
      <c r="B71" s="26"/>
      <c r="C71" s="83"/>
      <c r="J71" s="147"/>
      <c r="K71" s="147"/>
      <c r="L71" s="164"/>
      <c r="M71" s="147"/>
      <c r="N71" s="147"/>
      <c r="O71" s="147"/>
      <c r="P71" s="147"/>
      <c r="Q71" s="147"/>
      <c r="R71" s="147"/>
      <c r="S71" s="147"/>
      <c r="U71" s="147"/>
      <c r="V71" s="147"/>
      <c r="W71" s="147"/>
      <c r="AD71" s="89"/>
    </row>
    <row r="72" spans="2:30" s="9" customFormat="1">
      <c r="B72" s="26"/>
      <c r="C72" s="83"/>
      <c r="J72" s="147"/>
      <c r="K72" s="147"/>
      <c r="L72" s="164"/>
      <c r="M72" s="147"/>
      <c r="N72" s="147"/>
      <c r="O72" s="147"/>
      <c r="P72" s="147"/>
      <c r="Q72" s="147"/>
      <c r="R72" s="147"/>
      <c r="S72" s="147"/>
      <c r="U72" s="147"/>
      <c r="V72" s="147"/>
      <c r="W72" s="147"/>
      <c r="AD72" s="89"/>
    </row>
    <row r="73" spans="2:30" s="9" customFormat="1">
      <c r="B73" s="26"/>
      <c r="C73" s="83"/>
      <c r="D73" s="83"/>
      <c r="E73" s="41"/>
      <c r="F73" s="84"/>
      <c r="G73" s="84"/>
      <c r="J73" s="147"/>
      <c r="K73" s="147"/>
      <c r="L73" s="164"/>
      <c r="M73" s="147"/>
      <c r="N73" s="147"/>
      <c r="O73" s="147"/>
      <c r="P73" s="147"/>
      <c r="Q73" s="147"/>
      <c r="R73" s="147"/>
      <c r="S73" s="147"/>
      <c r="U73" s="147"/>
      <c r="V73" s="147"/>
      <c r="W73" s="147"/>
      <c r="AD73" s="89"/>
    </row>
    <row r="74" spans="2:30" s="9" customFormat="1">
      <c r="B74" s="39"/>
      <c r="C74" s="83"/>
      <c r="D74" s="83"/>
      <c r="E74" s="41"/>
      <c r="F74" s="84"/>
      <c r="G74" s="84"/>
      <c r="J74" s="147"/>
      <c r="K74" s="147"/>
      <c r="L74" s="164"/>
      <c r="M74" s="147"/>
      <c r="N74" s="147"/>
      <c r="O74" s="147"/>
      <c r="P74" s="147"/>
      <c r="Q74" s="147"/>
      <c r="R74" s="147"/>
      <c r="S74" s="147"/>
      <c r="U74" s="147"/>
      <c r="V74" s="147"/>
      <c r="W74" s="147"/>
      <c r="AD74" s="89"/>
    </row>
    <row r="75" spans="2:30" s="9" customFormat="1">
      <c r="B75" s="39"/>
      <c r="J75" s="147"/>
      <c r="K75" s="147"/>
      <c r="L75" s="164"/>
      <c r="M75" s="147"/>
      <c r="N75" s="147"/>
      <c r="O75" s="147"/>
      <c r="P75" s="147"/>
      <c r="Q75" s="147"/>
      <c r="R75" s="147"/>
      <c r="S75" s="147"/>
      <c r="U75" s="147"/>
      <c r="V75" s="147"/>
      <c r="W75" s="147"/>
      <c r="AD75" s="89"/>
    </row>
    <row r="76" spans="2:30" s="9" customFormat="1">
      <c r="B76" s="91"/>
      <c r="J76" s="147"/>
      <c r="K76" s="147"/>
      <c r="L76" s="164"/>
      <c r="M76" s="147"/>
      <c r="N76" s="147"/>
      <c r="O76" s="147"/>
      <c r="P76" s="147"/>
      <c r="Q76" s="147"/>
      <c r="R76" s="147"/>
      <c r="S76" s="147"/>
      <c r="U76" s="147"/>
      <c r="V76" s="147"/>
      <c r="W76" s="147"/>
      <c r="AD76" s="89"/>
    </row>
    <row r="77" spans="2:30" s="9" customFormat="1">
      <c r="B77" s="92"/>
      <c r="J77" s="147"/>
      <c r="K77" s="147"/>
      <c r="L77" s="164"/>
      <c r="M77" s="147"/>
      <c r="N77" s="147"/>
      <c r="O77" s="147"/>
      <c r="P77" s="147"/>
      <c r="Q77" s="147"/>
      <c r="R77" s="147"/>
      <c r="S77" s="147"/>
      <c r="U77" s="147"/>
      <c r="V77" s="147"/>
      <c r="W77" s="147"/>
      <c r="AD77" s="89"/>
    </row>
    <row r="78" spans="2:30" s="9" customFormat="1">
      <c r="J78" s="147"/>
      <c r="K78" s="147"/>
      <c r="L78" s="164"/>
      <c r="M78" s="147"/>
      <c r="N78" s="147"/>
      <c r="O78" s="147"/>
      <c r="P78" s="147"/>
      <c r="Q78" s="147"/>
      <c r="R78" s="147"/>
      <c r="S78" s="147"/>
      <c r="U78" s="147"/>
      <c r="V78" s="147"/>
      <c r="W78" s="147"/>
      <c r="AD78" s="89"/>
    </row>
    <row r="79" spans="2:30" s="9" customFormat="1" ht="15">
      <c r="B79" s="93"/>
      <c r="C79" s="94"/>
      <c r="J79" s="147"/>
      <c r="K79" s="147"/>
      <c r="L79" s="164"/>
      <c r="M79" s="147"/>
      <c r="N79" s="147"/>
      <c r="O79" s="147"/>
      <c r="P79" s="147"/>
      <c r="Q79" s="147"/>
      <c r="R79" s="147"/>
      <c r="S79" s="147"/>
      <c r="U79" s="147"/>
      <c r="V79" s="139"/>
      <c r="W79" s="147"/>
      <c r="X79" s="1"/>
      <c r="Y79" s="1"/>
      <c r="AD79" s="89"/>
    </row>
    <row r="80" spans="2:30" s="9" customFormat="1">
      <c r="C80" s="26"/>
      <c r="F80" s="41"/>
      <c r="G80" s="84"/>
      <c r="J80" s="147"/>
      <c r="K80" s="147"/>
      <c r="L80" s="164"/>
      <c r="M80" s="147"/>
      <c r="N80" s="147"/>
      <c r="O80" s="147"/>
      <c r="P80" s="147"/>
      <c r="Q80" s="147"/>
      <c r="R80" s="147"/>
      <c r="S80" s="147"/>
      <c r="U80" s="147"/>
      <c r="V80" s="147"/>
      <c r="W80" s="147"/>
      <c r="AD80" s="89"/>
    </row>
    <row r="81" spans="2:30" s="9" customFormat="1">
      <c r="F81" s="41"/>
      <c r="G81" s="84"/>
      <c r="J81" s="147"/>
      <c r="K81" s="147"/>
      <c r="L81" s="164"/>
      <c r="M81" s="147"/>
      <c r="N81" s="147"/>
      <c r="O81" s="147"/>
      <c r="P81" s="147"/>
      <c r="Q81" s="147"/>
      <c r="R81" s="147"/>
      <c r="S81" s="147"/>
      <c r="U81" s="147"/>
      <c r="V81" s="147"/>
      <c r="W81" s="147"/>
      <c r="AD81" s="89"/>
    </row>
    <row r="82" spans="2:30" s="9" customFormat="1">
      <c r="C82" s="95"/>
      <c r="F82" s="41"/>
      <c r="G82" s="84"/>
      <c r="J82" s="147"/>
      <c r="K82" s="147"/>
      <c r="L82" s="164"/>
      <c r="M82" s="147"/>
      <c r="N82" s="147"/>
      <c r="O82" s="147"/>
      <c r="P82" s="147"/>
      <c r="Q82" s="147"/>
      <c r="R82" s="147"/>
      <c r="S82" s="147"/>
      <c r="U82" s="147"/>
      <c r="V82" s="147"/>
      <c r="W82" s="147"/>
      <c r="AD82" s="89"/>
    </row>
    <row r="83" spans="2:30" s="9" customFormat="1">
      <c r="F83" s="41"/>
      <c r="G83" s="96"/>
      <c r="J83" s="147"/>
      <c r="K83" s="147"/>
      <c r="L83" s="164"/>
      <c r="M83" s="147"/>
      <c r="N83" s="147"/>
      <c r="O83" s="147"/>
      <c r="P83" s="147"/>
      <c r="Q83" s="147"/>
      <c r="R83" s="147"/>
      <c r="S83" s="147"/>
      <c r="U83" s="147"/>
      <c r="V83" s="147"/>
      <c r="W83" s="147"/>
      <c r="AD83" s="89"/>
    </row>
    <row r="84" spans="2:30" s="9" customFormat="1" ht="15.75">
      <c r="B84" s="82"/>
      <c r="F84" s="41"/>
      <c r="G84" s="96"/>
      <c r="J84" s="147"/>
      <c r="K84" s="147"/>
      <c r="L84" s="164"/>
      <c r="M84" s="147"/>
      <c r="N84" s="147"/>
      <c r="O84" s="147"/>
      <c r="P84" s="147"/>
      <c r="Q84" s="147"/>
      <c r="R84" s="147"/>
      <c r="S84" s="147"/>
      <c r="U84" s="147"/>
      <c r="V84" s="147"/>
      <c r="W84" s="153"/>
      <c r="AD84" s="89"/>
    </row>
    <row r="85" spans="2:30" s="9" customFormat="1">
      <c r="F85" s="41"/>
      <c r="G85" s="96"/>
      <c r="J85" s="147"/>
      <c r="K85" s="147"/>
      <c r="L85" s="164"/>
      <c r="M85" s="147"/>
      <c r="N85" s="147"/>
      <c r="O85" s="147"/>
      <c r="P85" s="147"/>
      <c r="Q85" s="147"/>
      <c r="R85" s="147"/>
      <c r="S85" s="147"/>
      <c r="U85" s="150"/>
      <c r="V85" s="147"/>
      <c r="W85" s="150"/>
      <c r="AD85" s="89"/>
    </row>
    <row r="86" spans="2:30" s="9" customFormat="1">
      <c r="B86" s="48"/>
      <c r="F86" s="41"/>
      <c r="G86" s="96"/>
      <c r="J86" s="147"/>
      <c r="K86" s="147"/>
      <c r="L86" s="164"/>
      <c r="M86" s="147"/>
      <c r="N86" s="147"/>
      <c r="O86" s="147"/>
      <c r="P86" s="147"/>
      <c r="Q86" s="147"/>
      <c r="R86" s="147"/>
      <c r="S86" s="147"/>
      <c r="U86" s="165"/>
      <c r="V86" s="147"/>
      <c r="W86" s="165"/>
      <c r="AD86" s="89"/>
    </row>
    <row r="87" spans="2:30" s="9" customFormat="1">
      <c r="B87" s="26"/>
      <c r="F87" s="41"/>
      <c r="G87" s="96"/>
      <c r="J87" s="147"/>
      <c r="K87" s="147"/>
      <c r="L87" s="164"/>
      <c r="M87" s="147"/>
      <c r="N87" s="147"/>
      <c r="O87" s="147"/>
      <c r="P87" s="147"/>
      <c r="Q87" s="147"/>
      <c r="R87" s="147"/>
      <c r="S87" s="147"/>
      <c r="U87" s="165"/>
      <c r="V87" s="147"/>
      <c r="W87" s="165"/>
      <c r="AD87" s="89"/>
    </row>
    <row r="88" spans="2:30" s="9" customFormat="1">
      <c r="B88" s="26"/>
      <c r="F88" s="41"/>
      <c r="G88" s="96"/>
      <c r="I88" s="24"/>
      <c r="J88" s="147"/>
      <c r="K88" s="147"/>
      <c r="L88" s="164"/>
      <c r="M88" s="147"/>
      <c r="N88" s="147"/>
      <c r="O88" s="147"/>
      <c r="P88" s="147"/>
      <c r="Q88" s="147"/>
      <c r="R88" s="147"/>
      <c r="S88" s="147"/>
      <c r="U88" s="165"/>
      <c r="V88" s="147"/>
      <c r="W88" s="165"/>
      <c r="AD88" s="89"/>
    </row>
    <row r="89" spans="2:30" s="9" customFormat="1">
      <c r="B89" s="26"/>
      <c r="F89" s="41"/>
      <c r="I89" s="24"/>
      <c r="J89" s="147"/>
      <c r="K89" s="147"/>
      <c r="L89" s="164"/>
      <c r="M89" s="147"/>
      <c r="N89" s="147"/>
      <c r="O89" s="147"/>
      <c r="P89" s="147"/>
      <c r="Q89" s="147"/>
      <c r="R89" s="147"/>
      <c r="S89" s="147"/>
      <c r="U89" s="165"/>
      <c r="V89" s="147"/>
      <c r="W89" s="165"/>
      <c r="AD89" s="89"/>
    </row>
    <row r="90" spans="2:30" s="9" customFormat="1">
      <c r="B90" s="26"/>
      <c r="F90" s="41"/>
      <c r="G90" s="84"/>
      <c r="I90" s="24"/>
      <c r="J90" s="147"/>
      <c r="K90" s="147"/>
      <c r="L90" s="164"/>
      <c r="M90" s="147"/>
      <c r="N90" s="147"/>
      <c r="O90" s="147"/>
      <c r="P90" s="147"/>
      <c r="Q90" s="147"/>
      <c r="R90" s="147"/>
      <c r="S90" s="147"/>
      <c r="U90" s="156"/>
      <c r="V90" s="147"/>
      <c r="W90" s="165"/>
      <c r="AD90" s="89"/>
    </row>
    <row r="91" spans="2:30" s="9" customFormat="1">
      <c r="B91" s="26"/>
      <c r="F91" s="41"/>
      <c r="G91" s="96"/>
      <c r="I91" s="24"/>
      <c r="J91" s="147"/>
      <c r="K91" s="147"/>
      <c r="L91" s="164"/>
      <c r="M91" s="147"/>
      <c r="N91" s="147"/>
      <c r="O91" s="147"/>
      <c r="P91" s="147"/>
      <c r="Q91" s="147"/>
      <c r="R91" s="147"/>
      <c r="S91" s="147"/>
      <c r="U91" s="166"/>
      <c r="V91" s="147"/>
      <c r="W91" s="166"/>
      <c r="AD91" s="89"/>
    </row>
    <row r="92" spans="2:30" s="9" customFormat="1">
      <c r="B92" s="26"/>
      <c r="F92" s="41"/>
      <c r="G92" s="96"/>
      <c r="I92" s="24"/>
      <c r="J92" s="147"/>
      <c r="K92" s="147"/>
      <c r="L92" s="164"/>
      <c r="M92" s="147"/>
      <c r="N92" s="147"/>
      <c r="O92" s="147"/>
      <c r="P92" s="147"/>
      <c r="Q92" s="147"/>
      <c r="R92" s="147"/>
      <c r="S92" s="147"/>
      <c r="U92" s="152"/>
      <c r="V92" s="147"/>
      <c r="W92" s="147"/>
      <c r="AD92" s="89"/>
    </row>
    <row r="93" spans="2:30" s="9" customFormat="1">
      <c r="B93" s="39"/>
      <c r="F93" s="41"/>
      <c r="G93" s="96"/>
      <c r="I93" s="24"/>
      <c r="J93" s="147"/>
      <c r="K93" s="147"/>
      <c r="L93" s="164"/>
      <c r="M93" s="147"/>
      <c r="N93" s="147"/>
      <c r="O93" s="147"/>
      <c r="P93" s="147"/>
      <c r="Q93" s="147"/>
      <c r="R93" s="147"/>
      <c r="S93" s="147"/>
      <c r="U93" s="167"/>
      <c r="V93" s="147"/>
      <c r="W93" s="147"/>
      <c r="AD93" s="89"/>
    </row>
    <row r="94" spans="2:30" s="9" customFormat="1">
      <c r="B94" s="39"/>
      <c r="F94" s="41"/>
      <c r="G94" s="96"/>
      <c r="I94" s="24"/>
      <c r="J94" s="147"/>
      <c r="K94" s="147"/>
      <c r="L94" s="164"/>
      <c r="M94" s="147"/>
      <c r="N94" s="147"/>
      <c r="O94" s="147"/>
      <c r="P94" s="147"/>
      <c r="Q94" s="147"/>
      <c r="R94" s="147"/>
      <c r="S94" s="147"/>
      <c r="U94" s="151"/>
      <c r="V94" s="147"/>
      <c r="W94" s="151"/>
      <c r="AD94" s="89"/>
    </row>
    <row r="95" spans="2:30" s="9" customFormat="1">
      <c r="B95" s="26"/>
      <c r="C95" s="95"/>
      <c r="I95" s="24"/>
      <c r="J95" s="147"/>
      <c r="K95" s="147"/>
      <c r="L95" s="164"/>
      <c r="M95" s="147"/>
      <c r="N95" s="147"/>
      <c r="O95" s="147"/>
      <c r="P95" s="147"/>
      <c r="Q95" s="147"/>
      <c r="R95" s="147"/>
      <c r="S95" s="147"/>
      <c r="U95" s="147"/>
      <c r="V95" s="147"/>
      <c r="W95" s="147"/>
      <c r="AD95" s="89"/>
    </row>
    <row r="96" spans="2:30" s="9" customFormat="1">
      <c r="B96" s="26"/>
      <c r="C96" s="95"/>
      <c r="J96" s="147"/>
      <c r="K96" s="147"/>
      <c r="L96" s="164"/>
      <c r="M96" s="147"/>
      <c r="N96" s="147"/>
      <c r="O96" s="147"/>
      <c r="P96" s="147"/>
      <c r="Q96" s="147"/>
      <c r="R96" s="147"/>
      <c r="S96" s="147"/>
      <c r="U96" s="147"/>
      <c r="V96" s="147"/>
      <c r="W96" s="147"/>
      <c r="AD96" s="89"/>
    </row>
    <row r="97" spans="2:40" s="9" customFormat="1">
      <c r="B97" s="26"/>
      <c r="J97" s="147"/>
      <c r="K97" s="147"/>
      <c r="L97" s="164"/>
      <c r="M97" s="147"/>
      <c r="N97" s="147"/>
      <c r="O97" s="147"/>
      <c r="P97" s="147"/>
      <c r="Q97" s="147"/>
      <c r="R97" s="147"/>
      <c r="S97" s="147"/>
      <c r="U97" s="147"/>
      <c r="V97" s="147"/>
      <c r="W97" s="147"/>
      <c r="AC97" s="26"/>
      <c r="AD97" s="24"/>
    </row>
    <row r="98" spans="2:40" s="9" customFormat="1">
      <c r="B98" s="26"/>
      <c r="C98" s="95"/>
      <c r="J98" s="147"/>
      <c r="K98" s="147"/>
      <c r="L98" s="164"/>
      <c r="M98" s="147"/>
      <c r="N98" s="147"/>
      <c r="O98" s="147"/>
      <c r="P98" s="147"/>
      <c r="Q98" s="147"/>
      <c r="R98" s="147"/>
      <c r="S98" s="147"/>
      <c r="U98" s="147"/>
      <c r="V98" s="147"/>
      <c r="W98" s="147"/>
      <c r="AC98" s="26"/>
      <c r="AD98" s="24"/>
    </row>
    <row r="99" spans="2:40" s="9" customFormat="1">
      <c r="B99" s="26"/>
      <c r="C99" s="95"/>
      <c r="J99" s="147"/>
      <c r="K99" s="147"/>
      <c r="L99" s="164"/>
      <c r="M99" s="147"/>
      <c r="N99" s="147"/>
      <c r="O99" s="147"/>
      <c r="P99" s="147"/>
      <c r="Q99" s="147"/>
      <c r="R99" s="147"/>
      <c r="S99" s="147"/>
      <c r="U99" s="147"/>
      <c r="V99" s="147"/>
      <c r="W99" s="147"/>
      <c r="AC99" s="26"/>
      <c r="AD99" s="24"/>
      <c r="AE99" s="24"/>
    </row>
    <row r="100" spans="2:40" s="9" customFormat="1">
      <c r="B100" s="26"/>
      <c r="C100" s="95"/>
      <c r="D100" s="44"/>
      <c r="E100" s="98"/>
      <c r="F100" s="41"/>
      <c r="G100" s="96"/>
      <c r="J100" s="147"/>
      <c r="K100" s="147"/>
      <c r="L100" s="164"/>
      <c r="M100" s="147"/>
      <c r="N100" s="147"/>
      <c r="O100" s="147"/>
      <c r="P100" s="147"/>
      <c r="Q100" s="147"/>
      <c r="R100" s="147"/>
      <c r="S100" s="147"/>
      <c r="U100" s="147"/>
      <c r="V100" s="147"/>
      <c r="W100" s="147"/>
      <c r="AC100" s="26"/>
      <c r="AD100" s="24"/>
      <c r="AE100" s="24"/>
      <c r="AJ100" s="46"/>
    </row>
    <row r="101" spans="2:40" s="9" customFormat="1">
      <c r="B101" s="26"/>
      <c r="C101" s="95"/>
      <c r="D101" s="44"/>
      <c r="E101" s="98"/>
      <c r="F101" s="41"/>
      <c r="G101" s="96"/>
      <c r="J101" s="147"/>
      <c r="K101" s="147"/>
      <c r="L101" s="164"/>
      <c r="M101" s="147"/>
      <c r="N101" s="147"/>
      <c r="O101" s="147"/>
      <c r="P101" s="147"/>
      <c r="Q101" s="147"/>
      <c r="R101" s="147"/>
      <c r="S101" s="147"/>
      <c r="U101" s="147"/>
      <c r="V101" s="147"/>
      <c r="W101" s="147"/>
      <c r="AC101" s="26"/>
      <c r="AD101" s="24"/>
      <c r="AE101" s="24"/>
      <c r="AJ101" s="70"/>
      <c r="AK101" s="70"/>
      <c r="AL101" s="70"/>
    </row>
    <row r="102" spans="2:40" s="9" customFormat="1">
      <c r="B102" s="26"/>
      <c r="C102" s="95"/>
      <c r="D102" s="44"/>
      <c r="E102" s="98"/>
      <c r="F102" s="41"/>
      <c r="G102" s="96"/>
      <c r="J102" s="147"/>
      <c r="K102" s="147"/>
      <c r="L102" s="164"/>
      <c r="M102" s="147"/>
      <c r="N102" s="147"/>
      <c r="O102" s="147"/>
      <c r="P102" s="147"/>
      <c r="Q102" s="147"/>
      <c r="R102" s="147"/>
      <c r="S102" s="147"/>
      <c r="T102" s="147"/>
      <c r="U102" s="147"/>
      <c r="V102" s="147"/>
      <c r="AC102" s="26"/>
      <c r="AD102" s="24"/>
      <c r="AE102" s="24"/>
      <c r="AJ102" s="33"/>
      <c r="AK102" s="34"/>
      <c r="AL102" s="34"/>
    </row>
    <row r="103" spans="2:40" s="9" customFormat="1">
      <c r="B103" s="26"/>
      <c r="C103" s="95"/>
      <c r="D103" s="44"/>
      <c r="E103" s="98"/>
      <c r="F103" s="41"/>
      <c r="G103" s="96"/>
      <c r="J103" s="147"/>
      <c r="K103" s="147"/>
      <c r="L103" s="164"/>
      <c r="M103" s="147"/>
      <c r="N103" s="147"/>
      <c r="O103" s="147"/>
      <c r="P103" s="147"/>
      <c r="Q103" s="147"/>
      <c r="R103" s="147"/>
      <c r="S103" s="147"/>
      <c r="T103" s="150"/>
      <c r="U103" s="150"/>
      <c r="V103" s="147"/>
      <c r="AC103" s="26"/>
      <c r="AD103" s="24"/>
      <c r="AE103" s="24"/>
      <c r="AJ103" s="33"/>
      <c r="AK103" s="34"/>
      <c r="AL103" s="34"/>
    </row>
    <row r="104" spans="2:40" s="9" customFormat="1">
      <c r="B104" s="26"/>
      <c r="C104" s="95"/>
      <c r="D104" s="44"/>
      <c r="E104" s="98"/>
      <c r="F104" s="41"/>
      <c r="G104" s="96"/>
      <c r="J104" s="147"/>
      <c r="K104" s="147"/>
      <c r="L104" s="164"/>
      <c r="M104" s="147"/>
      <c r="N104" s="147"/>
      <c r="O104" s="147"/>
      <c r="P104" s="147"/>
      <c r="Q104" s="147"/>
      <c r="R104" s="147"/>
      <c r="S104" s="147"/>
      <c r="T104" s="147"/>
      <c r="U104" s="150"/>
      <c r="V104" s="147"/>
      <c r="AE104" s="26"/>
      <c r="AF104" s="24"/>
      <c r="AG104" s="24"/>
      <c r="AL104" s="33"/>
      <c r="AM104" s="34"/>
      <c r="AN104" s="34"/>
    </row>
    <row r="105" spans="2:40" s="9" customFormat="1">
      <c r="B105" s="26"/>
      <c r="D105" s="44"/>
      <c r="E105" s="45"/>
      <c r="F105" s="41"/>
      <c r="G105" s="84"/>
      <c r="J105" s="147"/>
      <c r="K105" s="147"/>
      <c r="L105" s="164"/>
      <c r="M105" s="147"/>
      <c r="N105" s="147"/>
      <c r="O105" s="147"/>
      <c r="P105" s="147"/>
      <c r="Q105" s="147"/>
      <c r="R105" s="147"/>
      <c r="S105" s="147"/>
      <c r="T105" s="147"/>
      <c r="U105" s="150"/>
      <c r="V105" s="147"/>
      <c r="AE105" s="26"/>
      <c r="AF105" s="24"/>
      <c r="AG105" s="24"/>
      <c r="AL105" s="33"/>
      <c r="AM105" s="34"/>
      <c r="AN105" s="34"/>
    </row>
    <row r="106" spans="2:40" s="9" customFormat="1">
      <c r="B106" s="48"/>
      <c r="C106" s="95"/>
      <c r="D106" s="99"/>
      <c r="E106" s="99"/>
      <c r="F106" s="41"/>
      <c r="G106" s="84"/>
      <c r="J106" s="147"/>
      <c r="K106" s="147"/>
      <c r="L106" s="164"/>
      <c r="M106" s="147"/>
      <c r="N106" s="147"/>
      <c r="O106" s="147"/>
      <c r="P106" s="168"/>
      <c r="Q106" s="149"/>
      <c r="R106" s="154"/>
      <c r="S106" s="169"/>
      <c r="T106" s="147"/>
      <c r="U106" s="147"/>
      <c r="V106" s="147"/>
      <c r="AE106" s="26"/>
      <c r="AF106" s="24"/>
      <c r="AG106" s="24"/>
      <c r="AL106" s="33"/>
      <c r="AM106" s="34"/>
      <c r="AN106" s="34"/>
    </row>
    <row r="107" spans="2:40" s="9" customFormat="1">
      <c r="C107" s="85"/>
      <c r="D107" s="44"/>
      <c r="E107" s="98"/>
      <c r="F107" s="41"/>
      <c r="G107" s="96"/>
      <c r="J107" s="147"/>
      <c r="K107" s="147"/>
      <c r="L107" s="164"/>
      <c r="M107" s="147"/>
      <c r="N107" s="147"/>
      <c r="O107" s="147"/>
      <c r="P107" s="168"/>
      <c r="Q107" s="149"/>
      <c r="R107" s="154"/>
      <c r="S107" s="154"/>
      <c r="T107" s="147"/>
      <c r="U107" s="147"/>
      <c r="V107" s="147"/>
      <c r="AE107" s="26"/>
      <c r="AF107" s="24"/>
      <c r="AG107" s="24"/>
      <c r="AL107" s="33"/>
      <c r="AM107" s="34"/>
      <c r="AN107" s="34"/>
    </row>
    <row r="108" spans="2:40" s="9" customFormat="1">
      <c r="C108" s="85"/>
      <c r="D108" s="44"/>
      <c r="E108" s="98"/>
      <c r="F108" s="41"/>
      <c r="G108" s="96"/>
      <c r="J108" s="147"/>
      <c r="K108" s="147"/>
      <c r="L108" s="147"/>
      <c r="M108" s="147"/>
      <c r="N108" s="147"/>
      <c r="O108" s="153"/>
      <c r="P108" s="148"/>
      <c r="Q108" s="149"/>
      <c r="R108" s="169"/>
      <c r="S108" s="154"/>
      <c r="T108" s="147"/>
      <c r="U108" s="147"/>
      <c r="V108" s="147"/>
      <c r="AE108" s="39"/>
      <c r="AF108" s="40"/>
      <c r="AG108" s="40"/>
      <c r="AL108" s="33"/>
      <c r="AM108" s="34"/>
      <c r="AN108" s="34"/>
    </row>
    <row r="109" spans="2:40" s="9" customFormat="1">
      <c r="C109" s="85"/>
      <c r="D109" s="44"/>
      <c r="E109" s="98"/>
      <c r="F109" s="41"/>
      <c r="G109" s="96"/>
      <c r="J109" s="147"/>
      <c r="K109" s="147"/>
      <c r="L109" s="147"/>
      <c r="M109" s="147"/>
      <c r="N109" s="152"/>
      <c r="O109" s="147"/>
      <c r="P109" s="148"/>
      <c r="Q109" s="149"/>
      <c r="R109" s="154"/>
      <c r="S109" s="154"/>
      <c r="T109" s="147"/>
      <c r="U109" s="147"/>
      <c r="V109" s="147"/>
      <c r="AE109" s="26"/>
      <c r="AF109" s="24"/>
      <c r="AG109" s="24"/>
      <c r="AL109" s="33"/>
      <c r="AM109" s="34"/>
      <c r="AN109" s="34"/>
    </row>
    <row r="110" spans="2:40" s="9" customFormat="1">
      <c r="C110" s="85"/>
      <c r="D110" s="44"/>
      <c r="E110" s="98"/>
      <c r="F110" s="41"/>
      <c r="G110" s="96"/>
      <c r="J110" s="147"/>
      <c r="K110" s="147"/>
      <c r="L110" s="147"/>
      <c r="M110" s="147"/>
      <c r="N110" s="152"/>
      <c r="O110" s="147"/>
      <c r="P110" s="148"/>
      <c r="Q110" s="149"/>
      <c r="R110" s="154"/>
      <c r="S110" s="154"/>
      <c r="T110" s="147"/>
      <c r="U110" s="147"/>
      <c r="V110" s="147"/>
      <c r="AE110" s="26"/>
      <c r="AF110" s="24"/>
      <c r="AG110" s="24"/>
      <c r="AL110" s="33"/>
      <c r="AM110" s="34"/>
      <c r="AN110" s="34"/>
    </row>
    <row r="111" spans="2:40" s="9" customFormat="1">
      <c r="C111" s="85"/>
      <c r="D111" s="44"/>
      <c r="E111" s="98"/>
      <c r="F111" s="41"/>
      <c r="G111" s="96"/>
      <c r="J111" s="147"/>
      <c r="K111" s="147"/>
      <c r="L111" s="147"/>
      <c r="M111" s="147"/>
      <c r="N111" s="152"/>
      <c r="O111" s="147"/>
      <c r="P111" s="148"/>
      <c r="Q111" s="149"/>
      <c r="R111" s="154"/>
      <c r="S111" s="154"/>
      <c r="T111" s="147"/>
      <c r="U111" s="147"/>
      <c r="V111" s="147"/>
      <c r="AE111" s="26"/>
      <c r="AF111" s="24"/>
      <c r="AG111" s="24"/>
      <c r="AL111" s="33"/>
      <c r="AM111" s="34"/>
      <c r="AN111" s="34"/>
    </row>
    <row r="112" spans="2:40" s="9" customFormat="1">
      <c r="C112" s="85"/>
      <c r="D112" s="44"/>
      <c r="E112" s="98"/>
      <c r="F112" s="41"/>
      <c r="G112" s="96"/>
      <c r="J112" s="147"/>
      <c r="K112" s="147"/>
      <c r="L112" s="147"/>
      <c r="M112" s="147"/>
      <c r="N112" s="152"/>
      <c r="O112" s="147"/>
      <c r="P112" s="148"/>
      <c r="Q112" s="149"/>
      <c r="R112" s="154"/>
      <c r="S112" s="154"/>
      <c r="T112" s="147"/>
      <c r="U112" s="147"/>
      <c r="V112" s="147"/>
      <c r="AE112" s="26"/>
      <c r="AF112" s="24"/>
      <c r="AG112" s="24"/>
      <c r="AL112" s="33"/>
      <c r="AM112" s="34"/>
      <c r="AN112" s="34"/>
    </row>
    <row r="113" spans="2:40" s="9" customFormat="1">
      <c r="D113" s="100"/>
      <c r="E113" s="45"/>
      <c r="F113" s="41"/>
      <c r="G113" s="84"/>
      <c r="J113" s="147"/>
      <c r="K113" s="147"/>
      <c r="L113" s="147"/>
      <c r="M113" s="147"/>
      <c r="N113" s="152"/>
      <c r="O113" s="147"/>
      <c r="P113" s="148"/>
      <c r="Q113" s="149"/>
      <c r="R113" s="154"/>
      <c r="S113" s="154"/>
      <c r="T113" s="153"/>
      <c r="U113" s="153"/>
      <c r="V113" s="147"/>
      <c r="AE113" s="26"/>
      <c r="AF113" s="24"/>
      <c r="AG113" s="24"/>
      <c r="AL113" s="33"/>
      <c r="AM113" s="34"/>
      <c r="AN113" s="34"/>
    </row>
    <row r="114" spans="2:40" s="9" customFormat="1">
      <c r="B114" s="48"/>
      <c r="C114" s="92"/>
      <c r="D114" s="101"/>
      <c r="E114" s="101"/>
      <c r="F114" s="102"/>
      <c r="G114" s="84"/>
      <c r="J114" s="147"/>
      <c r="K114" s="147"/>
      <c r="L114" s="147"/>
      <c r="M114" s="147"/>
      <c r="N114" s="152"/>
      <c r="O114" s="147"/>
      <c r="P114" s="148"/>
      <c r="Q114" s="149"/>
      <c r="R114" s="154"/>
      <c r="S114" s="154"/>
      <c r="T114" s="153"/>
      <c r="U114" s="150"/>
      <c r="V114" s="147"/>
      <c r="AE114" s="26"/>
      <c r="AF114" s="24"/>
      <c r="AG114" s="24"/>
      <c r="AL114" s="33"/>
      <c r="AM114" s="34"/>
      <c r="AN114" s="34"/>
    </row>
    <row r="115" spans="2:40" s="9" customFormat="1">
      <c r="B115" s="48"/>
      <c r="C115" s="39"/>
      <c r="D115" s="45"/>
      <c r="E115" s="98"/>
      <c r="F115" s="41"/>
      <c r="G115" s="84"/>
      <c r="J115" s="147"/>
      <c r="K115" s="147"/>
      <c r="L115" s="147"/>
      <c r="M115" s="147"/>
      <c r="N115" s="147"/>
      <c r="O115" s="153"/>
      <c r="P115" s="147"/>
      <c r="Q115" s="147"/>
      <c r="R115" s="154"/>
      <c r="S115" s="154"/>
      <c r="T115" s="147"/>
      <c r="U115" s="150"/>
      <c r="V115" s="147"/>
      <c r="AE115" s="26"/>
      <c r="AF115" s="24"/>
      <c r="AG115" s="24"/>
      <c r="AL115" s="33"/>
      <c r="AM115" s="34"/>
      <c r="AN115" s="34"/>
    </row>
    <row r="116" spans="2:40" s="9" customFormat="1">
      <c r="B116" s="48"/>
      <c r="C116" s="39"/>
      <c r="D116" s="45"/>
      <c r="E116" s="98"/>
      <c r="F116" s="41"/>
      <c r="G116" s="84"/>
      <c r="J116" s="147"/>
      <c r="K116" s="147"/>
      <c r="L116" s="147"/>
      <c r="M116" s="147"/>
      <c r="N116" s="147"/>
      <c r="O116" s="153"/>
      <c r="P116" s="148"/>
      <c r="Q116" s="147"/>
      <c r="R116" s="154"/>
      <c r="S116" s="154"/>
      <c r="T116" s="147"/>
      <c r="U116" s="150"/>
      <c r="V116" s="147"/>
      <c r="AE116" s="26"/>
      <c r="AF116" s="24"/>
      <c r="AG116" s="24"/>
      <c r="AL116" s="33"/>
      <c r="AM116" s="34"/>
      <c r="AN116" s="34"/>
    </row>
    <row r="117" spans="2:40" s="9" customFormat="1">
      <c r="B117" s="48"/>
      <c r="J117" s="147"/>
      <c r="K117" s="147"/>
      <c r="L117" s="147"/>
      <c r="M117" s="147"/>
      <c r="N117" s="147"/>
      <c r="O117" s="147"/>
      <c r="P117" s="148"/>
      <c r="Q117" s="147"/>
      <c r="R117" s="154"/>
      <c r="S117" s="154"/>
      <c r="T117" s="147"/>
      <c r="U117" s="150"/>
      <c r="V117" s="139"/>
      <c r="W117" s="1"/>
      <c r="X117" s="1"/>
      <c r="Y117" s="1"/>
      <c r="Z117" s="1"/>
      <c r="AA117" s="1"/>
      <c r="AB117" s="1"/>
      <c r="AC117" s="1"/>
      <c r="AE117" s="26"/>
      <c r="AF117" s="24"/>
      <c r="AG117" s="24"/>
      <c r="AL117" s="70"/>
      <c r="AM117" s="70"/>
      <c r="AN117" s="70"/>
    </row>
    <row r="118" spans="2:40" s="9" customFormat="1">
      <c r="B118" s="48"/>
      <c r="J118" s="147"/>
      <c r="K118" s="147"/>
      <c r="L118" s="147"/>
      <c r="M118" s="147"/>
      <c r="N118" s="147"/>
      <c r="O118" s="147"/>
      <c r="P118" s="148"/>
      <c r="Q118" s="147"/>
      <c r="R118" s="154"/>
      <c r="S118" s="154"/>
      <c r="T118" s="147"/>
      <c r="U118" s="150"/>
      <c r="V118" s="139"/>
      <c r="W118" s="1"/>
      <c r="X118" s="1"/>
      <c r="Y118" s="1"/>
      <c r="Z118" s="1"/>
      <c r="AA118" s="1"/>
      <c r="AB118" s="1"/>
      <c r="AC118" s="1"/>
      <c r="AE118" s="26"/>
      <c r="AF118" s="24"/>
      <c r="AG118" s="24"/>
      <c r="AL118" s="33"/>
      <c r="AM118" s="34"/>
      <c r="AN118" s="34"/>
    </row>
    <row r="119" spans="2:40" s="9" customFormat="1">
      <c r="C119" s="1"/>
      <c r="D119" s="1"/>
      <c r="E119" s="1"/>
      <c r="F119" s="1"/>
      <c r="G119" s="1"/>
      <c r="H119" s="1"/>
      <c r="I119" s="1"/>
      <c r="J119" s="139"/>
      <c r="K119" s="139"/>
      <c r="L119" s="147"/>
      <c r="M119" s="147"/>
      <c r="N119" s="147"/>
      <c r="O119" s="147"/>
      <c r="P119" s="148"/>
      <c r="Q119" s="147"/>
      <c r="R119" s="154"/>
      <c r="S119" s="154"/>
      <c r="T119" s="147"/>
      <c r="U119" s="150"/>
      <c r="V119" s="139"/>
      <c r="W119" s="1"/>
      <c r="X119" s="1"/>
      <c r="Y119" s="1"/>
      <c r="Z119" s="1"/>
      <c r="AA119" s="1"/>
      <c r="AB119" s="1"/>
      <c r="AC119" s="1"/>
      <c r="AE119" s="26"/>
      <c r="AF119" s="24"/>
      <c r="AG119" s="24"/>
      <c r="AL119" s="33"/>
      <c r="AM119" s="34"/>
      <c r="AN119" s="34"/>
    </row>
    <row r="120" spans="2:40" s="9" customFormat="1">
      <c r="C120" s="1"/>
      <c r="D120" s="1"/>
      <c r="E120" s="1"/>
      <c r="F120" s="1"/>
      <c r="G120" s="1"/>
      <c r="H120" s="1"/>
      <c r="I120" s="1"/>
      <c r="J120" s="139"/>
      <c r="K120" s="139"/>
      <c r="L120" s="147"/>
      <c r="M120" s="147"/>
      <c r="N120" s="147"/>
      <c r="O120" s="147"/>
      <c r="P120" s="148"/>
      <c r="Q120" s="147"/>
      <c r="R120" s="154"/>
      <c r="S120" s="154"/>
      <c r="T120" s="147"/>
      <c r="U120" s="150"/>
      <c r="V120" s="139"/>
      <c r="W120" s="1"/>
      <c r="X120" s="1"/>
      <c r="Y120" s="1"/>
      <c r="Z120" s="1"/>
      <c r="AA120" s="1"/>
      <c r="AB120" s="1"/>
      <c r="AC120" s="1"/>
      <c r="AE120" s="26"/>
      <c r="AF120" s="24"/>
      <c r="AG120" s="24"/>
      <c r="AL120" s="33"/>
      <c r="AM120" s="34"/>
      <c r="AN120" s="34"/>
    </row>
    <row r="121" spans="2:40" s="9" customFormat="1">
      <c r="C121" s="1"/>
      <c r="D121" s="1"/>
      <c r="E121" s="1"/>
      <c r="F121" s="1"/>
      <c r="G121" s="1"/>
      <c r="H121" s="1"/>
      <c r="I121" s="1"/>
      <c r="J121" s="139"/>
      <c r="K121" s="139"/>
      <c r="L121" s="147"/>
      <c r="M121" s="147"/>
      <c r="N121" s="147"/>
      <c r="O121" s="147"/>
      <c r="P121" s="148"/>
      <c r="Q121" s="147"/>
      <c r="R121" s="154"/>
      <c r="S121" s="154"/>
      <c r="T121" s="147"/>
      <c r="U121" s="147"/>
      <c r="V121" s="139"/>
      <c r="W121" s="1"/>
      <c r="X121" s="1"/>
      <c r="Y121" s="1"/>
      <c r="Z121" s="1"/>
      <c r="AA121" s="1"/>
      <c r="AB121" s="1"/>
      <c r="AC121" s="1"/>
      <c r="AE121" s="26"/>
      <c r="AF121" s="24"/>
      <c r="AG121" s="24"/>
      <c r="AL121" s="33"/>
      <c r="AM121" s="34"/>
      <c r="AN121" s="34"/>
    </row>
    <row r="122" spans="2:40" s="9" customFormat="1">
      <c r="B122" s="48"/>
      <c r="C122" s="1"/>
      <c r="D122" s="1"/>
      <c r="E122" s="1"/>
      <c r="F122" s="1"/>
      <c r="G122" s="1"/>
      <c r="H122" s="1"/>
      <c r="I122" s="1"/>
      <c r="J122" s="139"/>
      <c r="K122" s="139"/>
      <c r="L122" s="147"/>
      <c r="M122" s="147"/>
      <c r="N122" s="147"/>
      <c r="O122" s="153"/>
      <c r="P122" s="148"/>
      <c r="Q122" s="147"/>
      <c r="R122" s="154"/>
      <c r="S122" s="154"/>
      <c r="T122" s="147"/>
      <c r="U122" s="147"/>
      <c r="V122" s="139"/>
      <c r="W122" s="1"/>
      <c r="X122" s="1"/>
      <c r="Y122" s="1"/>
      <c r="Z122" s="1"/>
      <c r="AA122" s="1"/>
      <c r="AB122" s="1"/>
      <c r="AC122" s="1"/>
      <c r="AE122" s="26"/>
      <c r="AF122" s="24"/>
      <c r="AG122" s="24"/>
      <c r="AL122" s="33"/>
      <c r="AM122" s="34"/>
      <c r="AN122" s="34"/>
    </row>
    <row r="123" spans="2:40" s="9" customFormat="1">
      <c r="B123" s="48"/>
      <c r="C123" s="1"/>
      <c r="D123" s="1"/>
      <c r="E123" s="1"/>
      <c r="F123" s="1"/>
      <c r="G123" s="1"/>
      <c r="H123" s="1"/>
      <c r="I123" s="1"/>
      <c r="J123" s="139"/>
      <c r="K123" s="139"/>
      <c r="L123" s="147"/>
      <c r="M123" s="147"/>
      <c r="N123" s="147"/>
      <c r="O123" s="147"/>
      <c r="P123" s="148"/>
      <c r="Q123" s="147"/>
      <c r="R123" s="154"/>
      <c r="S123" s="154"/>
      <c r="T123" s="147"/>
      <c r="U123" s="147"/>
      <c r="V123" s="139"/>
      <c r="W123" s="1"/>
      <c r="X123" s="1"/>
      <c r="Y123" s="1"/>
      <c r="Z123" s="1"/>
      <c r="AA123" s="1"/>
      <c r="AB123" s="1"/>
      <c r="AC123" s="1"/>
      <c r="AE123" s="26"/>
      <c r="AF123" s="24"/>
      <c r="AG123" s="24"/>
      <c r="AL123" s="33"/>
      <c r="AM123" s="34"/>
      <c r="AN123" s="34"/>
    </row>
    <row r="124" spans="2:40" s="9" customFormat="1">
      <c r="B124" s="48"/>
      <c r="C124" s="1"/>
      <c r="D124" s="1"/>
      <c r="E124" s="1"/>
      <c r="F124" s="1"/>
      <c r="G124" s="1"/>
      <c r="H124" s="1"/>
      <c r="I124" s="1"/>
      <c r="J124" s="139"/>
      <c r="K124" s="139"/>
      <c r="L124" s="147"/>
      <c r="M124" s="147"/>
      <c r="N124" s="152"/>
      <c r="O124" s="153"/>
      <c r="P124" s="148"/>
      <c r="Q124" s="147"/>
      <c r="R124" s="154"/>
      <c r="S124" s="154"/>
      <c r="T124" s="147"/>
      <c r="U124" s="147"/>
      <c r="V124" s="139"/>
      <c r="W124" s="1"/>
      <c r="X124" s="1"/>
      <c r="Y124" s="1"/>
      <c r="Z124" s="1"/>
      <c r="AA124" s="1"/>
      <c r="AB124" s="1"/>
      <c r="AC124" s="1"/>
      <c r="AE124" s="26"/>
      <c r="AF124" s="24"/>
      <c r="AG124" s="24"/>
      <c r="AL124" s="33"/>
      <c r="AM124" s="34"/>
      <c r="AN124" s="34"/>
    </row>
    <row r="125" spans="2:40" s="9" customFormat="1">
      <c r="B125" s="48"/>
      <c r="C125" s="1"/>
      <c r="D125" s="1"/>
      <c r="E125" s="1"/>
      <c r="F125" s="1"/>
      <c r="G125" s="1"/>
      <c r="H125" s="1"/>
      <c r="I125" s="1"/>
      <c r="J125" s="139"/>
      <c r="K125" s="139"/>
      <c r="L125" s="147"/>
      <c r="M125" s="147"/>
      <c r="N125" s="152"/>
      <c r="O125" s="147"/>
      <c r="P125" s="148"/>
      <c r="Q125" s="147"/>
      <c r="R125" s="154"/>
      <c r="S125" s="154"/>
      <c r="T125" s="147"/>
      <c r="U125" s="147"/>
      <c r="V125" s="139"/>
      <c r="W125" s="1"/>
      <c r="X125" s="1"/>
      <c r="Y125" s="1"/>
      <c r="Z125" s="1"/>
      <c r="AA125" s="1"/>
      <c r="AB125" s="1"/>
      <c r="AC125" s="1"/>
      <c r="AE125" s="26"/>
      <c r="AF125" s="24"/>
      <c r="AG125" s="24"/>
      <c r="AL125" s="33"/>
      <c r="AM125" s="34"/>
      <c r="AN125" s="34"/>
    </row>
    <row r="126" spans="2:40" s="9" customFormat="1">
      <c r="B126" s="48"/>
      <c r="C126" s="1"/>
      <c r="D126" s="1"/>
      <c r="E126" s="1"/>
      <c r="F126" s="1"/>
      <c r="G126" s="1"/>
      <c r="H126" s="1"/>
      <c r="I126" s="1"/>
      <c r="J126" s="139"/>
      <c r="K126" s="139"/>
      <c r="L126" s="147"/>
      <c r="M126" s="147"/>
      <c r="N126" s="152"/>
      <c r="O126" s="147"/>
      <c r="P126" s="148"/>
      <c r="Q126" s="147"/>
      <c r="R126" s="154"/>
      <c r="S126" s="154"/>
      <c r="T126" s="147"/>
      <c r="U126" s="147"/>
      <c r="V126" s="139"/>
      <c r="W126" s="1"/>
      <c r="X126" s="1"/>
      <c r="Y126" s="1"/>
      <c r="Z126" s="1"/>
      <c r="AA126" s="1"/>
      <c r="AB126" s="1"/>
      <c r="AC126" s="1"/>
      <c r="AE126" s="26"/>
      <c r="AF126" s="24"/>
      <c r="AG126" s="24"/>
      <c r="AL126" s="33"/>
      <c r="AM126" s="34"/>
      <c r="AN126" s="34"/>
    </row>
    <row r="127" spans="2:40" s="9" customFormat="1">
      <c r="C127" s="1"/>
      <c r="D127" s="1"/>
      <c r="E127" s="1"/>
      <c r="F127" s="1"/>
      <c r="G127" s="1"/>
      <c r="H127" s="1"/>
      <c r="I127" s="1"/>
      <c r="J127" s="139"/>
      <c r="K127" s="139"/>
      <c r="L127" s="147"/>
      <c r="M127" s="147"/>
      <c r="N127" s="152"/>
      <c r="O127" s="147"/>
      <c r="P127" s="148"/>
      <c r="Q127" s="147"/>
      <c r="R127" s="154"/>
      <c r="S127" s="154"/>
      <c r="T127" s="147"/>
      <c r="U127" s="153"/>
      <c r="V127" s="139"/>
      <c r="W127" s="1"/>
      <c r="X127" s="1"/>
      <c r="Y127" s="1"/>
      <c r="Z127" s="1"/>
      <c r="AA127" s="1"/>
      <c r="AB127" s="1"/>
      <c r="AC127" s="1"/>
      <c r="AE127" s="26"/>
      <c r="AF127" s="24"/>
      <c r="AG127" s="24"/>
      <c r="AL127" s="33"/>
      <c r="AM127" s="34"/>
      <c r="AN127" s="34"/>
    </row>
    <row r="128" spans="2:40" s="9" customFormat="1">
      <c r="C128" s="1"/>
      <c r="D128" s="1"/>
      <c r="E128" s="1"/>
      <c r="F128" s="1"/>
      <c r="G128" s="1"/>
      <c r="H128" s="1"/>
      <c r="I128" s="1"/>
      <c r="J128" s="139"/>
      <c r="K128" s="139"/>
      <c r="L128" s="147"/>
      <c r="M128" s="147"/>
      <c r="N128" s="152"/>
      <c r="O128" s="147"/>
      <c r="P128" s="148"/>
      <c r="Q128" s="147"/>
      <c r="R128" s="154"/>
      <c r="S128" s="154"/>
      <c r="T128" s="147"/>
      <c r="U128" s="164"/>
      <c r="V128" s="139"/>
      <c r="W128" s="1"/>
      <c r="X128" s="1"/>
      <c r="Y128" s="1"/>
      <c r="Z128" s="1"/>
      <c r="AA128" s="1"/>
      <c r="AB128" s="1"/>
      <c r="AC128" s="1"/>
      <c r="AE128" s="26"/>
      <c r="AF128" s="24"/>
      <c r="AG128" s="24"/>
      <c r="AL128" s="33"/>
      <c r="AM128" s="34"/>
      <c r="AN128" s="34"/>
    </row>
    <row r="129" spans="2:42" s="9" customFormat="1">
      <c r="C129" s="1"/>
      <c r="D129" s="1"/>
      <c r="E129" s="1"/>
      <c r="F129" s="1"/>
      <c r="G129" s="1"/>
      <c r="H129" s="1"/>
      <c r="I129" s="1"/>
      <c r="J129" s="139"/>
      <c r="K129" s="139"/>
      <c r="L129" s="147"/>
      <c r="M129" s="147"/>
      <c r="N129" s="152"/>
      <c r="O129" s="153"/>
      <c r="P129" s="148"/>
      <c r="Q129" s="147"/>
      <c r="R129" s="154"/>
      <c r="S129" s="154"/>
      <c r="T129" s="147"/>
      <c r="U129" s="164"/>
      <c r="V129" s="139"/>
      <c r="W129" s="1"/>
      <c r="X129" s="1"/>
      <c r="Y129" s="1"/>
      <c r="Z129" s="1"/>
      <c r="AA129" s="1"/>
      <c r="AB129" s="1"/>
      <c r="AC129" s="1"/>
      <c r="AE129" s="26"/>
      <c r="AF129" s="24"/>
      <c r="AG129" s="24"/>
      <c r="AL129" s="33"/>
      <c r="AM129" s="34"/>
      <c r="AN129" s="34"/>
    </row>
    <row r="130" spans="2:42" s="9" customFormat="1">
      <c r="B130" s="48"/>
      <c r="C130" s="1"/>
      <c r="D130" s="1"/>
      <c r="E130" s="1"/>
      <c r="F130" s="1"/>
      <c r="G130" s="1"/>
      <c r="H130" s="1"/>
      <c r="I130" s="1"/>
      <c r="J130" s="139"/>
      <c r="K130" s="139"/>
      <c r="L130" s="147"/>
      <c r="M130" s="147"/>
      <c r="N130" s="152"/>
      <c r="O130" s="147"/>
      <c r="P130" s="148"/>
      <c r="Q130" s="147"/>
      <c r="R130" s="154"/>
      <c r="S130" s="154"/>
      <c r="T130" s="147"/>
      <c r="U130" s="164"/>
      <c r="V130" s="139"/>
      <c r="W130" s="1"/>
      <c r="X130" s="1"/>
      <c r="Y130" s="1"/>
      <c r="Z130" s="1"/>
      <c r="AA130" s="1"/>
      <c r="AB130" s="1"/>
      <c r="AC130" s="1"/>
      <c r="AE130" s="26"/>
      <c r="AF130" s="24"/>
      <c r="AG130" s="24"/>
      <c r="AL130" s="70"/>
      <c r="AM130" s="70"/>
      <c r="AN130" s="70"/>
    </row>
    <row r="131" spans="2:42" s="9" customFormat="1">
      <c r="B131" s="103"/>
      <c r="C131" s="1"/>
      <c r="D131" s="1"/>
      <c r="E131" s="1"/>
      <c r="F131" s="1"/>
      <c r="G131" s="1"/>
      <c r="H131" s="1"/>
      <c r="I131" s="1"/>
      <c r="J131" s="139"/>
      <c r="K131" s="139"/>
      <c r="L131" s="147"/>
      <c r="M131" s="147"/>
      <c r="N131" s="147"/>
      <c r="O131" s="147"/>
      <c r="P131" s="148"/>
      <c r="Q131" s="147"/>
      <c r="R131" s="154"/>
      <c r="S131" s="154"/>
      <c r="T131" s="147"/>
      <c r="U131" s="164"/>
      <c r="V131" s="139"/>
      <c r="W131" s="1"/>
      <c r="X131" s="1"/>
      <c r="Y131" s="1"/>
      <c r="Z131" s="1"/>
      <c r="AA131" s="1"/>
      <c r="AB131" s="1"/>
      <c r="AC131" s="1"/>
      <c r="AE131" s="26"/>
      <c r="AF131" s="24"/>
      <c r="AG131" s="24"/>
      <c r="AL131" s="33"/>
      <c r="AM131" s="34"/>
      <c r="AN131" s="34"/>
    </row>
    <row r="132" spans="2:42" s="9" customFormat="1">
      <c r="B132" s="103"/>
      <c r="C132" s="1"/>
      <c r="D132" s="1"/>
      <c r="E132" s="1"/>
      <c r="F132" s="1"/>
      <c r="G132" s="1"/>
      <c r="H132" s="1"/>
      <c r="I132" s="1"/>
      <c r="J132" s="139"/>
      <c r="K132" s="139"/>
      <c r="L132" s="147"/>
      <c r="M132" s="147"/>
      <c r="N132" s="152"/>
      <c r="O132" s="153"/>
      <c r="P132" s="148"/>
      <c r="Q132" s="147"/>
      <c r="R132" s="154"/>
      <c r="S132" s="154"/>
      <c r="T132" s="147"/>
      <c r="U132" s="147"/>
      <c r="V132" s="139"/>
      <c r="W132" s="1"/>
      <c r="X132" s="1"/>
      <c r="Y132" s="1"/>
      <c r="Z132" s="1"/>
      <c r="AA132" s="1"/>
      <c r="AB132" s="1"/>
      <c r="AC132" s="1"/>
      <c r="AE132" s="26"/>
      <c r="AF132" s="24"/>
      <c r="AG132" s="24"/>
      <c r="AL132" s="33"/>
      <c r="AM132" s="34"/>
      <c r="AN132" s="34"/>
    </row>
    <row r="133" spans="2:42" s="9" customFormat="1">
      <c r="B133" s="103"/>
      <c r="C133" s="1"/>
      <c r="D133" s="1"/>
      <c r="E133" s="1"/>
      <c r="F133" s="1"/>
      <c r="G133" s="1"/>
      <c r="H133" s="1"/>
      <c r="I133" s="1"/>
      <c r="J133" s="139"/>
      <c r="K133" s="139"/>
      <c r="L133" s="147"/>
      <c r="M133" s="147"/>
      <c r="N133" s="152"/>
      <c r="O133" s="147"/>
      <c r="P133" s="152"/>
      <c r="Q133" s="147"/>
      <c r="R133" s="154"/>
      <c r="S133" s="154"/>
      <c r="T133" s="147"/>
      <c r="U133" s="147"/>
      <c r="V133" s="139"/>
      <c r="W133" s="1"/>
      <c r="X133" s="1"/>
      <c r="Y133" s="1"/>
      <c r="Z133" s="1"/>
      <c r="AA133" s="1"/>
      <c r="AB133" s="1"/>
      <c r="AC133" s="1"/>
      <c r="AE133" s="39"/>
      <c r="AF133" s="40"/>
      <c r="AG133" s="40"/>
      <c r="AL133" s="33"/>
      <c r="AM133" s="34"/>
      <c r="AN133" s="34"/>
    </row>
    <row r="134" spans="2:42" s="9" customFormat="1">
      <c r="B134" s="103"/>
      <c r="C134" s="1"/>
      <c r="D134" s="1"/>
      <c r="E134" s="1"/>
      <c r="F134" s="1"/>
      <c r="G134" s="1"/>
      <c r="H134" s="1"/>
      <c r="I134" s="1"/>
      <c r="J134" s="139"/>
      <c r="K134" s="139"/>
      <c r="L134" s="147"/>
      <c r="M134" s="147"/>
      <c r="N134" s="152"/>
      <c r="O134" s="147"/>
      <c r="P134" s="152"/>
      <c r="Q134" s="147"/>
      <c r="R134" s="154"/>
      <c r="S134" s="154"/>
      <c r="T134" s="147"/>
      <c r="U134" s="147"/>
      <c r="V134" s="139"/>
      <c r="W134" s="1"/>
      <c r="X134" s="1"/>
      <c r="Y134" s="1"/>
      <c r="Z134" s="1"/>
      <c r="AA134" s="1"/>
      <c r="AB134" s="1"/>
      <c r="AC134" s="1"/>
      <c r="AL134" s="33"/>
      <c r="AM134" s="34"/>
      <c r="AN134" s="34"/>
    </row>
    <row r="135" spans="2:42" s="9" customFormat="1">
      <c r="B135" s="103"/>
      <c r="C135" s="1"/>
      <c r="D135" s="1"/>
      <c r="E135" s="1"/>
      <c r="F135" s="1"/>
      <c r="G135" s="1"/>
      <c r="H135" s="1"/>
      <c r="I135" s="1"/>
      <c r="J135" s="139"/>
      <c r="K135" s="139"/>
      <c r="L135" s="147"/>
      <c r="M135" s="147"/>
      <c r="N135" s="152"/>
      <c r="O135" s="147"/>
      <c r="P135" s="152"/>
      <c r="Q135" s="147"/>
      <c r="R135" s="154"/>
      <c r="S135" s="154"/>
      <c r="T135" s="147"/>
      <c r="U135" s="147"/>
      <c r="V135" s="139"/>
      <c r="W135" s="1"/>
      <c r="X135" s="1"/>
      <c r="Y135" s="1"/>
      <c r="Z135" s="1"/>
      <c r="AA135" s="1"/>
      <c r="AB135" s="1"/>
      <c r="AC135" s="1"/>
      <c r="AL135" s="70"/>
      <c r="AM135" s="70"/>
      <c r="AN135" s="70"/>
    </row>
    <row r="136" spans="2:42" s="9" customFormat="1">
      <c r="B136" s="104"/>
      <c r="C136" s="1"/>
      <c r="D136" s="1"/>
      <c r="E136" s="1"/>
      <c r="F136" s="1"/>
      <c r="G136" s="1"/>
      <c r="H136" s="1"/>
      <c r="I136" s="1"/>
      <c r="J136" s="139"/>
      <c r="K136" s="139"/>
      <c r="L136" s="147"/>
      <c r="M136" s="147"/>
      <c r="N136" s="152"/>
      <c r="O136" s="147"/>
      <c r="P136" s="152"/>
      <c r="Q136" s="147"/>
      <c r="R136" s="154"/>
      <c r="S136" s="154"/>
      <c r="T136" s="147"/>
      <c r="U136" s="147"/>
      <c r="V136" s="139"/>
      <c r="W136" s="1"/>
      <c r="X136" s="1"/>
      <c r="Y136" s="1"/>
      <c r="Z136" s="1"/>
      <c r="AA136" s="1"/>
      <c r="AB136" s="1"/>
      <c r="AC136" s="1"/>
      <c r="AL136" s="33"/>
      <c r="AM136" s="34"/>
      <c r="AN136" s="34"/>
    </row>
    <row r="137" spans="2:42" s="9" customFormat="1">
      <c r="B137" s="104"/>
      <c r="C137" s="1"/>
      <c r="D137" s="1"/>
      <c r="E137" s="1"/>
      <c r="F137" s="1"/>
      <c r="G137" s="1"/>
      <c r="H137" s="1"/>
      <c r="I137" s="1"/>
      <c r="J137" s="139"/>
      <c r="K137" s="139"/>
      <c r="L137" s="147"/>
      <c r="M137" s="147"/>
      <c r="N137" s="152"/>
      <c r="O137" s="147"/>
      <c r="P137" s="152"/>
      <c r="Q137" s="147"/>
      <c r="R137" s="154"/>
      <c r="S137" s="147"/>
      <c r="T137" s="147"/>
      <c r="U137" s="147"/>
      <c r="V137" s="139"/>
      <c r="W137" s="1"/>
      <c r="X137" s="1"/>
      <c r="Y137" s="1"/>
      <c r="Z137" s="1"/>
      <c r="AA137" s="1"/>
      <c r="AB137" s="1"/>
      <c r="AC137" s="1"/>
      <c r="AL137" s="33"/>
      <c r="AM137" s="34"/>
      <c r="AN137" s="34"/>
    </row>
    <row r="138" spans="2:42" s="9" customFormat="1">
      <c r="B138" s="91"/>
      <c r="C138" s="1"/>
      <c r="D138" s="1"/>
      <c r="E138" s="1"/>
      <c r="F138" s="1"/>
      <c r="G138" s="1"/>
      <c r="H138" s="1"/>
      <c r="I138" s="1"/>
      <c r="J138" s="139"/>
      <c r="K138" s="139"/>
      <c r="L138" s="147"/>
      <c r="M138" s="147"/>
      <c r="N138" s="152"/>
      <c r="O138" s="147"/>
      <c r="P138" s="152"/>
      <c r="Q138" s="147"/>
      <c r="R138" s="154"/>
      <c r="S138" s="147"/>
      <c r="T138" s="147"/>
      <c r="U138" s="147"/>
      <c r="V138" s="139"/>
      <c r="W138" s="1"/>
      <c r="X138" s="1"/>
      <c r="Y138" s="1"/>
      <c r="Z138" s="1"/>
      <c r="AA138" s="1"/>
      <c r="AB138" s="1"/>
      <c r="AC138" s="1"/>
      <c r="AL138" s="33"/>
      <c r="AM138" s="34"/>
      <c r="AN138" s="34"/>
    </row>
    <row r="139" spans="2:42" s="9" customFormat="1">
      <c r="B139" s="100"/>
      <c r="C139" s="1"/>
      <c r="D139" s="1"/>
      <c r="E139" s="1"/>
      <c r="F139" s="1"/>
      <c r="G139" s="1"/>
      <c r="H139" s="1"/>
      <c r="I139" s="1"/>
      <c r="J139" s="139"/>
      <c r="K139" s="139"/>
      <c r="L139" s="150"/>
      <c r="M139" s="147"/>
      <c r="N139" s="147"/>
      <c r="O139" s="147"/>
      <c r="P139" s="147"/>
      <c r="Q139" s="147"/>
      <c r="R139" s="147"/>
      <c r="S139" s="147"/>
      <c r="T139" s="147"/>
      <c r="U139" s="147"/>
      <c r="V139" s="139"/>
      <c r="W139" s="1"/>
      <c r="X139" s="1"/>
      <c r="Y139" s="1"/>
      <c r="Z139" s="1"/>
      <c r="AA139" s="1"/>
      <c r="AB139" s="1"/>
      <c r="AC139" s="1"/>
      <c r="AL139" s="33"/>
      <c r="AM139" s="34"/>
      <c r="AN139" s="34"/>
    </row>
    <row r="140" spans="2:42" s="9" customFormat="1">
      <c r="B140" s="100"/>
      <c r="C140" s="1"/>
      <c r="D140" s="1"/>
      <c r="E140" s="1"/>
      <c r="F140" s="1"/>
      <c r="G140" s="1"/>
      <c r="H140" s="1"/>
      <c r="I140" s="1"/>
      <c r="J140" s="139"/>
      <c r="K140" s="139"/>
      <c r="L140" s="147"/>
      <c r="M140" s="147"/>
      <c r="N140" s="150"/>
      <c r="O140" s="147"/>
      <c r="P140" s="152"/>
      <c r="Q140" s="147"/>
      <c r="R140" s="147"/>
      <c r="S140" s="147"/>
      <c r="T140" s="147"/>
      <c r="U140" s="147"/>
      <c r="V140" s="139"/>
      <c r="W140" s="1"/>
      <c r="X140" s="1"/>
      <c r="Y140" s="1"/>
      <c r="Z140" s="1"/>
      <c r="AA140" s="1"/>
      <c r="AB140" s="1"/>
      <c r="AC140" s="1"/>
      <c r="AL140" s="33"/>
      <c r="AM140" s="34"/>
      <c r="AN140" s="34"/>
    </row>
    <row r="141" spans="2:42" s="9" customFormat="1">
      <c r="C141" s="1"/>
      <c r="D141" s="1"/>
      <c r="E141" s="1"/>
      <c r="F141" s="1"/>
      <c r="G141" s="1"/>
      <c r="H141" s="1"/>
      <c r="I141" s="1"/>
      <c r="J141" s="139"/>
      <c r="K141" s="139"/>
      <c r="L141" s="147"/>
      <c r="M141" s="147"/>
      <c r="N141" s="150"/>
      <c r="O141" s="147"/>
      <c r="P141" s="150"/>
      <c r="Q141" s="147"/>
      <c r="R141" s="147"/>
      <c r="S141" s="147"/>
      <c r="T141" s="147"/>
      <c r="U141" s="147"/>
      <c r="V141" s="139"/>
      <c r="W141" s="1"/>
      <c r="X141" s="1"/>
      <c r="Y141" s="1"/>
      <c r="Z141" s="1"/>
      <c r="AA141" s="1"/>
      <c r="AB141" s="1"/>
      <c r="AC141" s="1"/>
    </row>
    <row r="142" spans="2:42" s="9" customFormat="1">
      <c r="C142" s="1"/>
      <c r="D142" s="1"/>
      <c r="E142" s="1"/>
      <c r="F142" s="1"/>
      <c r="G142" s="1"/>
      <c r="H142" s="1"/>
      <c r="I142" s="1"/>
      <c r="J142" s="139"/>
      <c r="K142" s="139"/>
      <c r="L142" s="147"/>
      <c r="M142" s="147"/>
      <c r="N142" s="150"/>
      <c r="O142" s="147"/>
      <c r="P142" s="150"/>
      <c r="Q142" s="147"/>
      <c r="R142" s="147"/>
      <c r="S142" s="147"/>
      <c r="T142" s="147"/>
      <c r="U142" s="147"/>
      <c r="V142" s="139"/>
      <c r="W142" s="1"/>
      <c r="X142" s="1"/>
      <c r="Y142" s="1"/>
      <c r="Z142" s="1"/>
      <c r="AA142" s="1"/>
      <c r="AB142" s="1"/>
      <c r="AC142" s="1"/>
    </row>
    <row r="143" spans="2:42">
      <c r="L143" s="147"/>
      <c r="M143" s="147"/>
      <c r="N143" s="147"/>
      <c r="O143" s="147"/>
      <c r="P143" s="147"/>
      <c r="Q143" s="147"/>
      <c r="R143" s="147"/>
      <c r="AJ143" s="9"/>
      <c r="AK143" s="9"/>
      <c r="AL143" s="9"/>
      <c r="AM143" s="9"/>
      <c r="AN143" s="9"/>
      <c r="AO143" s="9"/>
      <c r="AP143" s="9"/>
    </row>
    <row r="144" spans="2:42">
      <c r="M144" s="147"/>
      <c r="N144" s="147"/>
      <c r="O144" s="147"/>
      <c r="P144" s="147"/>
      <c r="Q144" s="147"/>
      <c r="R144" s="147"/>
      <c r="AJ144" s="9"/>
      <c r="AK144" s="9"/>
      <c r="AL144" s="9"/>
      <c r="AM144" s="9"/>
      <c r="AN144" s="9"/>
      <c r="AO144" s="9"/>
      <c r="AP144" s="9"/>
    </row>
    <row r="145" spans="36:42">
      <c r="AJ145" s="9"/>
      <c r="AK145" s="9"/>
      <c r="AL145" s="9"/>
      <c r="AM145" s="9"/>
      <c r="AN145" s="9"/>
      <c r="AO145" s="9"/>
      <c r="AP145" s="9"/>
    </row>
    <row r="146" spans="36:42">
      <c r="AJ146" s="9"/>
      <c r="AK146" s="9"/>
      <c r="AL146" s="9"/>
      <c r="AM146" s="9"/>
      <c r="AN146" s="9"/>
      <c r="AO146" s="9"/>
      <c r="AP146" s="9"/>
    </row>
    <row r="147" spans="36:42">
      <c r="AJ147" s="9"/>
      <c r="AK147" s="9"/>
      <c r="AL147" s="9"/>
      <c r="AM147" s="9"/>
      <c r="AN147" s="9"/>
      <c r="AO147" s="9"/>
      <c r="AP147" s="9"/>
    </row>
    <row r="148" spans="36:42">
      <c r="AJ148" s="9"/>
      <c r="AK148" s="9"/>
      <c r="AL148" s="9"/>
      <c r="AM148" s="9"/>
      <c r="AN148" s="9"/>
      <c r="AO148" s="9"/>
      <c r="AP148" s="9"/>
    </row>
    <row r="149" spans="36:42">
      <c r="AJ149" s="9"/>
      <c r="AK149" s="9"/>
      <c r="AL149" s="9"/>
      <c r="AM149" s="9"/>
      <c r="AN149" s="9"/>
      <c r="AO149" s="9"/>
      <c r="AP149" s="9"/>
    </row>
    <row r="150" spans="36:42">
      <c r="AJ150" s="9"/>
      <c r="AK150" s="9"/>
      <c r="AL150" s="9"/>
      <c r="AM150" s="9"/>
      <c r="AN150" s="9"/>
      <c r="AO150" s="9"/>
      <c r="AP150" s="9"/>
    </row>
  </sheetData>
  <dataValidations disablePrompts="1" count="5">
    <dataValidation type="list" allowBlank="1" showInputMessage="1" showErrorMessage="1" sqref="C107:C112" xr:uid="{00000000-0002-0000-0100-000000000000}">
      <formula1>$AL$136:$AL$145</formula1>
    </dataValidation>
    <dataValidation type="list" allowBlank="1" showInputMessage="1" showErrorMessage="1" sqref="C99:C104" xr:uid="{00000000-0002-0000-0100-000001000000}">
      <formula1>$AL$131:$AL$134</formula1>
    </dataValidation>
    <dataValidation type="list" allowBlank="1" showInputMessage="1" showErrorMessage="1" sqref="C95:C96" xr:uid="{00000000-0002-0000-0100-000002000000}">
      <formula1>$AL$118:$AL$129</formula1>
    </dataValidation>
    <dataValidation allowBlank="1" showDropDown="1" showInputMessage="1" showErrorMessage="1" sqref="B31" xr:uid="{00000000-0002-0000-0100-000003000000}"/>
    <dataValidation type="list" allowBlank="1" showInputMessage="1" showErrorMessage="1" sqref="C83:C94" xr:uid="{00000000-0002-0000-0100-000004000000}">
      <formula1>$AL$102:$AL$116</formula1>
    </dataValidation>
  </dataValidations>
  <printOptions horizontalCentered="1" verticalCentered="1"/>
  <pageMargins left="0.59055118110236227" right="0.59055118110236227" top="0.78740157480314965" bottom="0.78740157480314965" header="0.51181102362204722" footer="0.51181102362204722"/>
  <pageSetup paperSize="9" scale="46" orientation="landscape" r:id="rId1"/>
  <headerFooter>
    <oddHeader>&amp;RDonnées cheptel, alimentation et matières organiques</oddHeader>
    <oddFooter>&amp;LSOLAGRO - Bilan PLANETE+GES+N agriculture v1 juillet 2006&amp;R&amp;A - &amp;P / &amp;N</oddFooter>
  </headerFooter>
  <rowBreaks count="2" manualBreakCount="2">
    <brk id="13" min="1" max="12" man="1"/>
    <brk id="83" min="1" max="8"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479"/>
  <sheetViews>
    <sheetView zoomScale="90" zoomScaleNormal="90" workbookViewId="0">
      <selection activeCell="B7" sqref="B7"/>
    </sheetView>
  </sheetViews>
  <sheetFormatPr baseColWidth="10" defaultRowHeight="15" outlineLevelRow="1"/>
  <cols>
    <col min="1" max="1" width="18.42578125" customWidth="1"/>
    <col min="2" max="2" width="33.28515625" customWidth="1"/>
    <col min="3" max="3" width="24.85546875" customWidth="1"/>
    <col min="4" max="4" width="12.7109375" customWidth="1"/>
  </cols>
  <sheetData>
    <row r="1" spans="1:22" ht="21">
      <c r="A1" s="213" t="s">
        <v>461</v>
      </c>
    </row>
    <row r="2" spans="1:22" ht="21">
      <c r="A2" s="134"/>
      <c r="B2" s="133" t="s">
        <v>440</v>
      </c>
      <c r="C2" s="134"/>
      <c r="D2" s="134"/>
      <c r="E2" s="134"/>
      <c r="F2" s="134"/>
      <c r="G2" s="134"/>
      <c r="H2" s="134"/>
      <c r="I2" s="134"/>
      <c r="J2" s="134"/>
      <c r="K2" s="134"/>
      <c r="L2" s="134"/>
      <c r="M2" s="134"/>
      <c r="N2" s="134"/>
      <c r="O2" s="134"/>
      <c r="P2" s="134"/>
      <c r="Q2" s="134"/>
      <c r="R2" s="134"/>
      <c r="S2" s="134"/>
      <c r="T2" s="134"/>
      <c r="U2" s="134"/>
      <c r="V2" s="134"/>
    </row>
    <row r="3" spans="1:22">
      <c r="B3" s="24"/>
      <c r="C3" s="36"/>
      <c r="D3" s="36"/>
      <c r="E3" s="86"/>
      <c r="F3" s="35"/>
      <c r="G3" s="87"/>
      <c r="H3" s="24"/>
    </row>
    <row r="4" spans="1:22" ht="15.75">
      <c r="B4" s="49" t="s">
        <v>75</v>
      </c>
      <c r="C4" s="50"/>
      <c r="D4" s="50"/>
      <c r="E4" s="50"/>
      <c r="F4" s="24" t="s">
        <v>74</v>
      </c>
    </row>
    <row r="5" spans="1:22" s="218" customFormat="1" ht="15.75">
      <c r="B5" s="219"/>
      <c r="C5" s="220" t="s">
        <v>487</v>
      </c>
      <c r="D5" s="220" t="s">
        <v>488</v>
      </c>
      <c r="E5" s="220" t="s">
        <v>489</v>
      </c>
    </row>
    <row r="6" spans="1:22" ht="45.75" thickBot="1">
      <c r="B6" s="276" t="s">
        <v>56</v>
      </c>
      <c r="C6" s="276" t="s">
        <v>57</v>
      </c>
      <c r="D6" s="276" t="s">
        <v>59</v>
      </c>
      <c r="E6" s="276" t="s">
        <v>60</v>
      </c>
    </row>
    <row r="7" spans="1:22" ht="16.5" thickTop="1" thickBot="1">
      <c r="A7" t="s">
        <v>480</v>
      </c>
      <c r="B7" s="276" t="s">
        <v>52</v>
      </c>
      <c r="C7" s="275">
        <v>0.24</v>
      </c>
      <c r="D7" s="275">
        <v>0.08</v>
      </c>
      <c r="E7" s="275">
        <v>0.04</v>
      </c>
    </row>
    <row r="8" spans="1:22" ht="16.5" thickTop="1" thickBot="1">
      <c r="A8" t="s">
        <v>481</v>
      </c>
      <c r="B8" s="276" t="s">
        <v>53</v>
      </c>
      <c r="C8" s="275">
        <v>0.18</v>
      </c>
      <c r="D8" s="275">
        <v>0.08</v>
      </c>
      <c r="E8" s="275">
        <v>0.04</v>
      </c>
    </row>
    <row r="9" spans="1:22" ht="16.5" thickTop="1" thickBot="1">
      <c r="A9" t="s">
        <v>483</v>
      </c>
      <c r="B9" s="276" t="s">
        <v>482</v>
      </c>
      <c r="C9" s="275">
        <v>0.19</v>
      </c>
      <c r="D9" s="275">
        <v>0.08</v>
      </c>
      <c r="E9" s="275">
        <v>0.04</v>
      </c>
    </row>
    <row r="10" spans="1:22" ht="16.5" thickTop="1" thickBot="1">
      <c r="A10" t="s">
        <v>476</v>
      </c>
      <c r="B10" s="276" t="s">
        <v>51</v>
      </c>
      <c r="C10" s="275">
        <v>0.18</v>
      </c>
      <c r="D10" s="275">
        <v>0.08</v>
      </c>
      <c r="E10" s="275">
        <v>0.04</v>
      </c>
    </row>
    <row r="11" spans="1:22" ht="16.5" thickTop="1" thickBot="1">
      <c r="A11" t="s">
        <v>484</v>
      </c>
      <c r="B11" s="276" t="s">
        <v>62</v>
      </c>
      <c r="C11" s="275">
        <v>0.3</v>
      </c>
      <c r="D11" s="275">
        <v>0.04</v>
      </c>
      <c r="E11" s="275">
        <v>0.04</v>
      </c>
    </row>
    <row r="12" spans="1:22" ht="16.5" thickTop="1" thickBot="1">
      <c r="A12" t="s">
        <v>485</v>
      </c>
      <c r="B12" s="276" t="s">
        <v>63</v>
      </c>
      <c r="C12" s="275">
        <v>0.45</v>
      </c>
      <c r="D12" s="275">
        <v>0.02</v>
      </c>
      <c r="E12" s="275">
        <v>0.02</v>
      </c>
    </row>
    <row r="13" spans="1:22" ht="16.5" thickTop="1" thickBot="1">
      <c r="A13" t="s">
        <v>73</v>
      </c>
      <c r="B13" s="276" t="s">
        <v>193</v>
      </c>
      <c r="C13" s="275">
        <v>0.36</v>
      </c>
      <c r="D13" s="275">
        <v>0.02</v>
      </c>
      <c r="E13" s="275">
        <v>0.02</v>
      </c>
    </row>
    <row r="14" spans="1:22" ht="15.75" thickTop="1"/>
    <row r="17" spans="1:8" ht="15.75">
      <c r="B17" s="49" t="s">
        <v>87</v>
      </c>
      <c r="C17" s="50"/>
      <c r="D17" s="50"/>
      <c r="E17" s="323" t="s">
        <v>709</v>
      </c>
    </row>
    <row r="18" spans="1:8" ht="15.75" thickBot="1">
      <c r="B18" s="276" t="s">
        <v>88</v>
      </c>
      <c r="C18" s="275">
        <v>18.45</v>
      </c>
      <c r="D18" s="275" t="s">
        <v>89</v>
      </c>
      <c r="E18" s="43"/>
    </row>
    <row r="19" spans="1:8" ht="16.5" thickTop="1" thickBot="1">
      <c r="B19" s="276" t="s">
        <v>90</v>
      </c>
      <c r="C19" s="275">
        <v>55.65</v>
      </c>
      <c r="D19" s="275" t="s">
        <v>91</v>
      </c>
      <c r="E19" s="84"/>
    </row>
    <row r="20" spans="1:8" ht="16.5" thickTop="1" thickBot="1">
      <c r="B20" s="276" t="s">
        <v>92</v>
      </c>
      <c r="C20" s="275">
        <v>0.67</v>
      </c>
      <c r="D20" s="275" t="s">
        <v>93</v>
      </c>
      <c r="E20" s="9"/>
    </row>
    <row r="21" spans="1:8" ht="15.75" thickTop="1">
      <c r="B21" s="9"/>
      <c r="C21" s="9"/>
      <c r="D21" s="9"/>
      <c r="E21" s="9"/>
    </row>
    <row r="23" spans="1:8" ht="15.75">
      <c r="B23" s="49" t="s">
        <v>46</v>
      </c>
      <c r="C23" s="50"/>
      <c r="D23" s="50"/>
      <c r="E23" s="49"/>
      <c r="F23" s="35"/>
      <c r="G23" s="87"/>
      <c r="H23" s="24"/>
    </row>
    <row r="24" spans="1:8" s="218" customFormat="1" ht="15.75">
      <c r="B24" s="219"/>
      <c r="C24" s="220" t="s">
        <v>477</v>
      </c>
      <c r="D24" s="220" t="s">
        <v>493</v>
      </c>
      <c r="E24" s="220" t="s">
        <v>490</v>
      </c>
      <c r="F24" s="35"/>
      <c r="G24" s="87"/>
      <c r="H24" s="24"/>
    </row>
    <row r="25" spans="1:8" ht="45.75" thickBot="1">
      <c r="B25" s="276"/>
      <c r="C25" s="276" t="s">
        <v>47</v>
      </c>
      <c r="D25" s="276" t="s">
        <v>48</v>
      </c>
      <c r="E25" s="276" t="s">
        <v>49</v>
      </c>
      <c r="F25" s="33"/>
      <c r="G25" s="9"/>
      <c r="H25" s="9"/>
    </row>
    <row r="26" spans="1:8" ht="16.5" thickTop="1" thickBot="1">
      <c r="B26" s="276" t="s">
        <v>51</v>
      </c>
      <c r="C26" s="275"/>
      <c r="D26" s="275"/>
      <c r="E26" s="275"/>
      <c r="F26" s="33"/>
      <c r="G26" s="9"/>
      <c r="H26" s="9"/>
    </row>
    <row r="27" spans="1:8" ht="16.5" thickTop="1" thickBot="1">
      <c r="A27" s="1" t="s">
        <v>684</v>
      </c>
      <c r="B27" s="275" t="s">
        <v>682</v>
      </c>
      <c r="C27" s="275">
        <v>70</v>
      </c>
      <c r="D27" s="275">
        <v>14.04</v>
      </c>
      <c r="E27" s="275">
        <v>3</v>
      </c>
      <c r="F27" s="9"/>
      <c r="G27" s="9"/>
      <c r="H27" s="9"/>
    </row>
    <row r="28" spans="1:8" ht="16.5" thickTop="1" thickBot="1">
      <c r="A28" s="1" t="s">
        <v>685</v>
      </c>
      <c r="B28" s="275" t="s">
        <v>683</v>
      </c>
      <c r="C28" s="275">
        <v>35</v>
      </c>
      <c r="D28" s="275">
        <v>7.02</v>
      </c>
      <c r="E28" s="275">
        <v>1</v>
      </c>
      <c r="F28" s="24"/>
      <c r="G28" s="9"/>
      <c r="H28" s="9"/>
    </row>
    <row r="29" spans="1:8" ht="16.5" thickTop="1" thickBot="1">
      <c r="B29" s="276" t="s">
        <v>475</v>
      </c>
      <c r="C29" s="275"/>
      <c r="D29" s="275"/>
      <c r="E29" s="275"/>
      <c r="F29" s="24"/>
      <c r="G29" s="9"/>
      <c r="H29" s="9"/>
    </row>
    <row r="30" spans="1:8" ht="16.5" thickTop="1" thickBot="1">
      <c r="A30" s="1" t="s">
        <v>680</v>
      </c>
      <c r="B30" s="275" t="s">
        <v>678</v>
      </c>
      <c r="C30" s="275">
        <v>65</v>
      </c>
      <c r="D30" s="275">
        <f>D27</f>
        <v>14.04</v>
      </c>
      <c r="E30" s="275">
        <v>2.5</v>
      </c>
      <c r="F30" s="24"/>
      <c r="G30" s="9"/>
      <c r="H30" s="9"/>
    </row>
    <row r="31" spans="1:8" ht="16.5" thickTop="1" thickBot="1">
      <c r="A31" s="1" t="s">
        <v>681</v>
      </c>
      <c r="B31" s="275" t="s">
        <v>679</v>
      </c>
      <c r="C31" s="275">
        <v>35</v>
      </c>
      <c r="D31" s="275">
        <f>D28</f>
        <v>7.02</v>
      </c>
      <c r="E31" s="275">
        <v>1.3</v>
      </c>
      <c r="F31" s="24"/>
      <c r="G31" s="9"/>
      <c r="H31" s="9"/>
    </row>
    <row r="32" spans="1:8" ht="16.5" thickTop="1" thickBot="1">
      <c r="B32" s="276" t="s">
        <v>52</v>
      </c>
      <c r="C32" s="275"/>
      <c r="D32" s="275"/>
      <c r="E32" s="275"/>
      <c r="F32" s="24"/>
      <c r="G32" s="9"/>
      <c r="H32" s="9"/>
    </row>
    <row r="33" spans="1:8" ht="16.5" thickTop="1" thickBot="1">
      <c r="A33" s="124" t="s">
        <v>462</v>
      </c>
      <c r="B33" s="275" t="s">
        <v>9</v>
      </c>
      <c r="C33" s="275">
        <v>610</v>
      </c>
      <c r="D33" s="275">
        <f>D34*(1-0.05)</f>
        <v>107.35</v>
      </c>
      <c r="E33" s="275">
        <v>13</v>
      </c>
      <c r="F33" s="24"/>
      <c r="G33" s="9"/>
      <c r="H33" s="9"/>
    </row>
    <row r="34" spans="1:8" ht="16.5" thickTop="1" thickBot="1">
      <c r="A34" s="124" t="s">
        <v>463</v>
      </c>
      <c r="B34" s="275" t="s">
        <v>10</v>
      </c>
      <c r="C34" s="275">
        <v>650</v>
      </c>
      <c r="D34" s="275">
        <v>113</v>
      </c>
      <c r="E34" s="275">
        <v>14.25</v>
      </c>
      <c r="F34" s="24"/>
      <c r="G34" s="9"/>
      <c r="H34" s="9"/>
    </row>
    <row r="35" spans="1:8" ht="16.5" thickTop="1" thickBot="1">
      <c r="A35" s="124" t="s">
        <v>464</v>
      </c>
      <c r="B35" s="275" t="s">
        <v>11</v>
      </c>
      <c r="C35" s="275">
        <v>700</v>
      </c>
      <c r="D35" s="275">
        <f>D34*(1+0.05)*(1+0.05)</f>
        <v>124.58250000000001</v>
      </c>
      <c r="E35" s="275">
        <v>16.25</v>
      </c>
      <c r="F35" s="9"/>
      <c r="G35" s="9"/>
      <c r="H35" s="9"/>
    </row>
    <row r="36" spans="1:8" ht="16.5" thickTop="1" thickBot="1">
      <c r="A36" s="124" t="s">
        <v>465</v>
      </c>
      <c r="B36" s="275" t="s">
        <v>12</v>
      </c>
      <c r="C36" s="275">
        <v>750</v>
      </c>
      <c r="D36" s="275">
        <v>137</v>
      </c>
      <c r="E36" s="275">
        <v>20</v>
      </c>
      <c r="F36" s="9"/>
      <c r="G36" s="9"/>
      <c r="H36" s="9"/>
    </row>
    <row r="37" spans="1:8" ht="16.5" thickTop="1" thickBot="1">
      <c r="A37" s="18" t="s">
        <v>466</v>
      </c>
      <c r="B37" s="275" t="s">
        <v>668</v>
      </c>
      <c r="C37" s="275">
        <v>50</v>
      </c>
      <c r="D37" s="275">
        <v>6</v>
      </c>
      <c r="E37" s="275">
        <v>1</v>
      </c>
      <c r="F37" s="9"/>
      <c r="G37" s="9"/>
      <c r="H37" s="9"/>
    </row>
    <row r="38" spans="1:8" ht="16.5" thickTop="1" thickBot="1">
      <c r="A38" s="18" t="s">
        <v>675</v>
      </c>
      <c r="B38" s="275" t="s">
        <v>670</v>
      </c>
      <c r="C38" s="275">
        <f>AVERAGE(200,300)</f>
        <v>250</v>
      </c>
      <c r="D38" s="275">
        <v>35</v>
      </c>
      <c r="E38" s="275">
        <v>4.5</v>
      </c>
      <c r="F38" s="9"/>
      <c r="G38" s="9"/>
      <c r="H38" s="9"/>
    </row>
    <row r="39" spans="1:8" ht="16.5" thickTop="1" thickBot="1">
      <c r="A39" s="18" t="s">
        <v>676</v>
      </c>
      <c r="B39" s="275" t="s">
        <v>671</v>
      </c>
      <c r="C39" s="275">
        <v>550</v>
      </c>
      <c r="D39" s="275">
        <v>61</v>
      </c>
      <c r="E39" s="275">
        <v>8.1</v>
      </c>
      <c r="F39" s="9"/>
      <c r="G39" s="9"/>
      <c r="H39" s="9"/>
    </row>
    <row r="40" spans="1:8" ht="16.5" thickTop="1" thickBot="1">
      <c r="A40" s="18" t="s">
        <v>677</v>
      </c>
      <c r="B40" s="275" t="s">
        <v>669</v>
      </c>
      <c r="C40" s="275">
        <v>775</v>
      </c>
      <c r="D40" s="275">
        <v>103</v>
      </c>
      <c r="E40" s="275">
        <v>8.3000000000000007</v>
      </c>
      <c r="F40" s="9"/>
      <c r="G40" s="9"/>
      <c r="H40" s="9"/>
    </row>
    <row r="41" spans="1:8" ht="16.5" thickTop="1" thickBot="1">
      <c r="B41" s="276" t="s">
        <v>53</v>
      </c>
      <c r="C41" s="275"/>
      <c r="D41" s="275"/>
      <c r="E41" s="275"/>
      <c r="F41" s="9"/>
      <c r="G41" s="9"/>
      <c r="H41" s="9"/>
    </row>
    <row r="42" spans="1:8" ht="16.5" thickTop="1" thickBot="1">
      <c r="A42" s="1" t="s">
        <v>672</v>
      </c>
      <c r="B42" s="275" t="s">
        <v>669</v>
      </c>
      <c r="C42" s="275">
        <v>750</v>
      </c>
      <c r="D42" s="275">
        <v>95.7</v>
      </c>
      <c r="E42" s="275">
        <v>12</v>
      </c>
      <c r="F42" s="9"/>
      <c r="G42" s="9"/>
      <c r="H42" s="9"/>
    </row>
    <row r="43" spans="1:8" ht="16.5" thickTop="1" thickBot="1">
      <c r="A43" s="1" t="s">
        <v>467</v>
      </c>
      <c r="B43" s="275" t="s">
        <v>668</v>
      </c>
      <c r="C43" s="275">
        <v>50</v>
      </c>
      <c r="D43" s="275">
        <f>D37</f>
        <v>6</v>
      </c>
      <c r="E43" s="275">
        <v>1</v>
      </c>
      <c r="F43" s="9"/>
      <c r="G43" s="9"/>
      <c r="H43" s="9"/>
    </row>
    <row r="44" spans="1:8" ht="16.5" thickTop="1" thickBot="1">
      <c r="A44" s="1" t="s">
        <v>674</v>
      </c>
      <c r="B44" s="275" t="s">
        <v>670</v>
      </c>
      <c r="C44" s="275">
        <v>250</v>
      </c>
      <c r="D44" s="275">
        <v>18.399999999999999</v>
      </c>
      <c r="E44" s="275">
        <v>2.5</v>
      </c>
      <c r="F44" s="97"/>
      <c r="G44" s="24"/>
      <c r="H44" s="92"/>
    </row>
    <row r="45" spans="1:8" ht="16.5" thickTop="1" thickBot="1">
      <c r="A45" s="1" t="s">
        <v>673</v>
      </c>
      <c r="B45" s="275" t="s">
        <v>671</v>
      </c>
      <c r="C45" s="275">
        <v>600</v>
      </c>
      <c r="D45" s="275">
        <f>D39</f>
        <v>61</v>
      </c>
      <c r="E45" s="275">
        <v>8.1</v>
      </c>
      <c r="F45" s="47"/>
      <c r="G45" s="24"/>
      <c r="H45" s="26"/>
    </row>
    <row r="46" spans="1:8" ht="16.5" thickTop="1" thickBot="1">
      <c r="A46" s="1" t="s">
        <v>686</v>
      </c>
      <c r="B46" s="276" t="s">
        <v>54</v>
      </c>
      <c r="C46" s="275">
        <v>500</v>
      </c>
      <c r="D46" s="275">
        <v>44</v>
      </c>
      <c r="E46" s="275">
        <v>6</v>
      </c>
      <c r="F46" s="47"/>
      <c r="G46" s="9"/>
      <c r="H46" s="9"/>
    </row>
    <row r="47" spans="1:8" ht="15.75" thickTop="1">
      <c r="A47" s="1"/>
      <c r="B47" s="1"/>
      <c r="C47" s="1"/>
      <c r="D47" s="1"/>
      <c r="E47" s="1"/>
      <c r="F47" s="1"/>
      <c r="G47" s="9"/>
      <c r="H47" s="9"/>
    </row>
    <row r="48" spans="1:8">
      <c r="G48" s="9"/>
      <c r="H48" s="9"/>
    </row>
    <row r="49" spans="1:13">
      <c r="G49" s="9"/>
      <c r="H49" s="9"/>
    </row>
    <row r="50" spans="1:13">
      <c r="G50" s="9"/>
      <c r="H50" s="9"/>
    </row>
    <row r="51" spans="1:13" ht="15.75">
      <c r="B51" s="49" t="s">
        <v>76</v>
      </c>
      <c r="C51" s="50"/>
      <c r="D51" s="50"/>
      <c r="E51" s="49"/>
      <c r="F51" s="49"/>
      <c r="G51" s="50"/>
      <c r="H51" s="50"/>
      <c r="I51" s="49"/>
      <c r="J51" s="9"/>
      <c r="K51" s="9"/>
    </row>
    <row r="52" spans="1:13" s="218" customFormat="1" ht="26.25">
      <c r="B52" s="219"/>
      <c r="C52" s="220"/>
      <c r="D52" s="220"/>
      <c r="E52" s="220" t="s">
        <v>494</v>
      </c>
      <c r="F52" s="220"/>
      <c r="G52" s="220" t="s">
        <v>497</v>
      </c>
      <c r="H52" s="220"/>
      <c r="I52" s="220" t="s">
        <v>492</v>
      </c>
      <c r="J52" s="9"/>
      <c r="K52" s="9"/>
    </row>
    <row r="53" spans="1:13" ht="49.5" thickBot="1">
      <c r="B53" s="276" t="s">
        <v>78</v>
      </c>
      <c r="C53" s="277" t="s">
        <v>79</v>
      </c>
      <c r="D53" s="277" t="s">
        <v>80</v>
      </c>
      <c r="E53" s="276" t="s">
        <v>81</v>
      </c>
      <c r="F53" s="277" t="s">
        <v>82</v>
      </c>
      <c r="G53" s="276" t="s">
        <v>642</v>
      </c>
      <c r="H53" s="277" t="s">
        <v>491</v>
      </c>
      <c r="I53" s="276" t="s">
        <v>643</v>
      </c>
      <c r="J53" s="9"/>
      <c r="K53" s="9"/>
    </row>
    <row r="54" spans="1:13" ht="16.5" thickTop="1" thickBot="1">
      <c r="A54" s="1" t="s">
        <v>689</v>
      </c>
      <c r="B54" s="275" t="s">
        <v>688</v>
      </c>
      <c r="C54" s="277">
        <v>365</v>
      </c>
      <c r="D54" s="277">
        <v>250</v>
      </c>
      <c r="E54" s="275">
        <v>250</v>
      </c>
      <c r="F54" s="277">
        <v>1</v>
      </c>
      <c r="G54" s="275">
        <v>3.44</v>
      </c>
      <c r="H54" s="277">
        <v>1250</v>
      </c>
      <c r="I54" s="275">
        <v>20.399999999999999</v>
      </c>
      <c r="J54" s="9"/>
    </row>
    <row r="55" spans="1:13" ht="16.5" thickTop="1" thickBot="1">
      <c r="A55" s="1" t="s">
        <v>690</v>
      </c>
      <c r="B55" s="275" t="s">
        <v>687</v>
      </c>
      <c r="C55" s="277">
        <v>42</v>
      </c>
      <c r="D55" s="277">
        <v>8</v>
      </c>
      <c r="E55" s="275">
        <v>32</v>
      </c>
      <c r="F55" s="277">
        <v>7.6</v>
      </c>
      <c r="G55" s="275">
        <v>0.91</v>
      </c>
      <c r="H55" s="277">
        <v>1.74</v>
      </c>
      <c r="I55" s="275">
        <v>0.62</v>
      </c>
      <c r="J55" s="9"/>
    </row>
    <row r="56" spans="1:13" ht="15.75" thickTop="1"/>
    <row r="57" spans="1:13" ht="15.75">
      <c r="B57" s="49" t="s">
        <v>77</v>
      </c>
      <c r="C57" s="50"/>
      <c r="D57" s="50"/>
      <c r="E57" s="50"/>
      <c r="F57" s="50"/>
      <c r="G57" s="50"/>
      <c r="H57" s="50"/>
      <c r="I57" s="50"/>
      <c r="J57" s="50"/>
      <c r="K57" s="50"/>
      <c r="L57" s="50"/>
      <c r="M57" s="9"/>
    </row>
    <row r="58" spans="1:13" s="218" customFormat="1" ht="26.25">
      <c r="B58" s="219"/>
      <c r="C58" s="220"/>
      <c r="D58" s="220"/>
      <c r="E58" s="220" t="s">
        <v>495</v>
      </c>
      <c r="F58" s="220"/>
      <c r="G58" s="220" t="s">
        <v>496</v>
      </c>
      <c r="H58" s="220"/>
      <c r="I58" s="220" t="s">
        <v>498</v>
      </c>
      <c r="J58" s="220"/>
      <c r="K58" s="220"/>
      <c r="L58" s="220"/>
      <c r="M58" s="9"/>
    </row>
    <row r="59" spans="1:13" ht="60.75" thickBot="1">
      <c r="B59" s="276" t="s">
        <v>83</v>
      </c>
      <c r="C59" s="278" t="s">
        <v>84</v>
      </c>
      <c r="D59" s="278" t="s">
        <v>80</v>
      </c>
      <c r="E59" s="276" t="s">
        <v>81</v>
      </c>
      <c r="F59" s="278" t="s">
        <v>82</v>
      </c>
      <c r="G59" s="276" t="s">
        <v>642</v>
      </c>
      <c r="H59" s="278" t="s">
        <v>641</v>
      </c>
      <c r="I59" s="276" t="s">
        <v>643</v>
      </c>
      <c r="J59" s="278" t="s">
        <v>85</v>
      </c>
      <c r="K59" s="278" t="s">
        <v>86</v>
      </c>
      <c r="L59" s="278" t="s">
        <v>50</v>
      </c>
      <c r="M59" s="9"/>
    </row>
    <row r="60" spans="1:13" ht="16.5" thickTop="1" thickBot="1">
      <c r="A60" s="1" t="s">
        <v>694</v>
      </c>
      <c r="B60" s="275" t="s">
        <v>691</v>
      </c>
      <c r="C60" s="277">
        <v>350</v>
      </c>
      <c r="D60" s="277">
        <v>1.49</v>
      </c>
      <c r="E60" s="275">
        <v>1.95</v>
      </c>
      <c r="F60" s="277">
        <v>1</v>
      </c>
      <c r="G60" s="275">
        <f>H60*90%</f>
        <v>0.10089000000000001</v>
      </c>
      <c r="H60" s="277">
        <v>0.11210000000000001</v>
      </c>
      <c r="I60" s="275">
        <v>0.71299999999999997</v>
      </c>
      <c r="J60" s="277">
        <v>713</v>
      </c>
      <c r="K60" s="277">
        <v>0</v>
      </c>
      <c r="L60" s="277">
        <v>3.3000000000000002E-2</v>
      </c>
      <c r="M60" s="9"/>
    </row>
    <row r="61" spans="1:13" ht="16.5" thickTop="1" thickBot="1">
      <c r="A61" s="1" t="s">
        <v>695</v>
      </c>
      <c r="B61" s="275" t="s">
        <v>692</v>
      </c>
      <c r="C61" s="277">
        <v>336</v>
      </c>
      <c r="D61" s="277">
        <v>1.49</v>
      </c>
      <c r="E61" s="275">
        <v>2.0299999999999998</v>
      </c>
      <c r="F61" s="277">
        <v>1</v>
      </c>
      <c r="G61" s="275">
        <f>H61*90%</f>
        <v>0.10647000000000001</v>
      </c>
      <c r="H61" s="277">
        <v>0.1183</v>
      </c>
      <c r="I61" s="275">
        <v>0.77700000000000002</v>
      </c>
      <c r="J61" s="277">
        <v>583</v>
      </c>
      <c r="K61" s="277">
        <v>194</v>
      </c>
      <c r="L61" s="277">
        <f t="shared" ref="L61:L62" si="0">L$60</f>
        <v>3.3000000000000002E-2</v>
      </c>
      <c r="M61" s="9"/>
    </row>
    <row r="62" spans="1:13" ht="16.5" thickTop="1" thickBot="1">
      <c r="A62" s="1" t="s">
        <v>696</v>
      </c>
      <c r="B62" s="275" t="s">
        <v>693</v>
      </c>
      <c r="C62" s="277">
        <v>335</v>
      </c>
      <c r="D62" s="277">
        <v>1.49</v>
      </c>
      <c r="E62" s="275">
        <v>1.883</v>
      </c>
      <c r="F62" s="277">
        <v>1</v>
      </c>
      <c r="G62" s="275">
        <f>H62*90%</f>
        <v>0.10116</v>
      </c>
      <c r="H62" s="277">
        <v>0.1124</v>
      </c>
      <c r="I62" s="275">
        <v>0.71799999999999997</v>
      </c>
      <c r="J62" s="277">
        <v>539</v>
      </c>
      <c r="K62" s="277">
        <v>180</v>
      </c>
      <c r="L62" s="277">
        <f t="shared" si="0"/>
        <v>3.3000000000000002E-2</v>
      </c>
      <c r="M62" s="9"/>
    </row>
    <row r="63" spans="1:13" ht="15.75" thickTop="1">
      <c r="B63" s="24"/>
      <c r="C63" s="9"/>
      <c r="D63" s="9"/>
      <c r="E63" s="9"/>
      <c r="F63" s="9"/>
      <c r="G63" s="9"/>
      <c r="H63" s="9"/>
      <c r="I63" s="9"/>
      <c r="J63" s="9"/>
      <c r="K63" s="9"/>
      <c r="L63" s="9"/>
      <c r="M63" s="9"/>
    </row>
    <row r="64" spans="1:13">
      <c r="B64" s="24"/>
      <c r="C64" s="9"/>
      <c r="D64" s="9"/>
      <c r="E64" s="9"/>
      <c r="F64" s="9"/>
      <c r="G64" s="9"/>
      <c r="H64" s="9"/>
      <c r="I64" s="9"/>
      <c r="J64" s="9"/>
      <c r="K64" s="9"/>
      <c r="L64" s="9"/>
      <c r="M64" s="9"/>
    </row>
    <row r="65" spans="1:27" ht="15.75">
      <c r="B65" s="222" t="s">
        <v>94</v>
      </c>
      <c r="C65" s="223"/>
      <c r="D65" s="223"/>
      <c r="E65" s="224"/>
      <c r="F65" s="225"/>
      <c r="G65" s="226"/>
    </row>
    <row r="66" spans="1:27" ht="38.25">
      <c r="B66" s="227" t="s">
        <v>95</v>
      </c>
      <c r="C66" s="221" t="s">
        <v>96</v>
      </c>
      <c r="D66" s="221" t="s">
        <v>97</v>
      </c>
      <c r="E66" s="221" t="s">
        <v>98</v>
      </c>
      <c r="F66" s="221" t="s">
        <v>99</v>
      </c>
      <c r="G66" s="226"/>
    </row>
    <row r="67" spans="1:27">
      <c r="B67" s="228" t="s">
        <v>100</v>
      </c>
      <c r="C67" s="215">
        <v>1.03</v>
      </c>
      <c r="D67" s="228">
        <v>40</v>
      </c>
      <c r="E67" s="228">
        <v>32</v>
      </c>
      <c r="F67" s="228">
        <v>128</v>
      </c>
      <c r="G67" s="226"/>
    </row>
    <row r="68" spans="1:27">
      <c r="B68" s="228" t="s">
        <v>101</v>
      </c>
      <c r="C68" s="215">
        <v>1.0349999999999999</v>
      </c>
      <c r="D68" s="228">
        <v>75</v>
      </c>
      <c r="E68" s="228">
        <v>56</v>
      </c>
      <c r="F68" s="228">
        <v>183</v>
      </c>
      <c r="G68" s="226"/>
    </row>
    <row r="69" spans="1:27">
      <c r="B69" s="228" t="s">
        <v>102</v>
      </c>
      <c r="C69" s="215">
        <v>1.03</v>
      </c>
      <c r="D69" s="228">
        <v>41</v>
      </c>
      <c r="E69" s="228">
        <v>32</v>
      </c>
      <c r="F69" s="228">
        <v>134</v>
      </c>
      <c r="G69" s="226"/>
    </row>
    <row r="70" spans="1:27">
      <c r="B70" s="226"/>
      <c r="C70" s="226"/>
      <c r="D70" s="226"/>
      <c r="E70" s="226"/>
      <c r="F70" s="226"/>
      <c r="G70" s="226"/>
    </row>
    <row r="74" spans="1:27" ht="21">
      <c r="A74" s="134"/>
      <c r="B74" s="133" t="s">
        <v>441</v>
      </c>
      <c r="C74" s="134"/>
      <c r="D74" s="134"/>
      <c r="E74" s="134"/>
      <c r="F74" s="134"/>
      <c r="G74" s="134"/>
      <c r="H74" s="134"/>
      <c r="I74" s="134"/>
      <c r="J74" s="134"/>
      <c r="K74" s="134"/>
      <c r="L74" s="134"/>
      <c r="M74" s="134"/>
      <c r="N74" s="134"/>
      <c r="O74" s="134"/>
      <c r="P74" s="134"/>
      <c r="Q74" s="134"/>
      <c r="R74" s="134"/>
      <c r="S74" s="134"/>
      <c r="T74" s="134"/>
      <c r="U74" s="134"/>
      <c r="V74" s="134"/>
    </row>
    <row r="75" spans="1:27">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row>
    <row r="76" spans="1:27">
      <c r="D76" s="1"/>
      <c r="E76" s="1"/>
      <c r="F76" s="1"/>
      <c r="G76" s="1"/>
      <c r="H76" s="1"/>
    </row>
    <row r="77" spans="1:27" ht="15.75">
      <c r="B77" s="49" t="s">
        <v>150</v>
      </c>
      <c r="C77" s="49"/>
      <c r="D77" s="49"/>
      <c r="E77" s="49"/>
      <c r="F77" s="49"/>
      <c r="G77" s="49"/>
      <c r="H77" s="49"/>
      <c r="I77" s="20" t="s">
        <v>146</v>
      </c>
    </row>
    <row r="78" spans="1:27" s="218" customFormat="1" ht="15.75">
      <c r="B78" s="219"/>
      <c r="C78" s="219"/>
      <c r="D78" s="229" t="s">
        <v>518</v>
      </c>
      <c r="E78" s="229" t="s">
        <v>519</v>
      </c>
      <c r="F78" s="229" t="s">
        <v>520</v>
      </c>
      <c r="G78" s="229"/>
      <c r="H78" s="229" t="s">
        <v>521</v>
      </c>
      <c r="I78" s="57"/>
    </row>
    <row r="79" spans="1:27" ht="30.75" thickBot="1">
      <c r="B79" s="279" t="s">
        <v>160</v>
      </c>
      <c r="C79" s="276" t="s">
        <v>14</v>
      </c>
      <c r="D79" s="276" t="s">
        <v>161</v>
      </c>
      <c r="E79" s="276" t="s">
        <v>162</v>
      </c>
      <c r="F79" s="276" t="s">
        <v>163</v>
      </c>
      <c r="G79" s="276" t="s">
        <v>164</v>
      </c>
      <c r="H79" s="276" t="s">
        <v>165</v>
      </c>
    </row>
    <row r="80" spans="1:27" ht="16.5" thickTop="1" thickBot="1">
      <c r="A80" t="s">
        <v>499</v>
      </c>
      <c r="B80" s="279" t="s">
        <v>178</v>
      </c>
      <c r="C80" s="275" t="s">
        <v>22</v>
      </c>
      <c r="D80" s="275">
        <v>0.17</v>
      </c>
      <c r="E80" s="275">
        <v>87</v>
      </c>
      <c r="F80" s="275"/>
      <c r="G80" s="275"/>
      <c r="H80" s="275">
        <v>0.6</v>
      </c>
    </row>
    <row r="81" spans="1:8" ht="16.5" thickTop="1" thickBot="1">
      <c r="A81" t="s">
        <v>501</v>
      </c>
      <c r="B81" s="279" t="s">
        <v>196</v>
      </c>
      <c r="C81" s="275" t="s">
        <v>26</v>
      </c>
      <c r="D81" s="275">
        <v>0.33</v>
      </c>
      <c r="E81" s="275">
        <v>220</v>
      </c>
      <c r="F81" s="275">
        <f>0.56/D81</f>
        <v>1.696969696969697</v>
      </c>
      <c r="G81" s="275"/>
      <c r="H81" s="275">
        <v>0.7</v>
      </c>
    </row>
    <row r="82" spans="1:8" ht="16.5" thickTop="1" thickBot="1">
      <c r="A82" t="s">
        <v>502</v>
      </c>
      <c r="B82" s="279" t="s">
        <v>206</v>
      </c>
      <c r="C82" s="275" t="s">
        <v>24</v>
      </c>
      <c r="D82" s="275">
        <v>0.33</v>
      </c>
      <c r="E82" s="275">
        <v>193</v>
      </c>
      <c r="F82" s="275">
        <v>0.91600000000000004</v>
      </c>
      <c r="G82" s="275"/>
      <c r="H82" s="275">
        <v>0.8</v>
      </c>
    </row>
    <row r="83" spans="1:8" ht="31.5" thickTop="1" thickBot="1">
      <c r="A83" t="s">
        <v>503</v>
      </c>
      <c r="B83" s="279" t="s">
        <v>216</v>
      </c>
      <c r="C83" s="275" t="s">
        <v>25</v>
      </c>
      <c r="D83" s="275">
        <v>0.85</v>
      </c>
      <c r="E83" s="275">
        <v>220</v>
      </c>
      <c r="F83" s="275">
        <f>1.98/D83</f>
        <v>2.3294117647058825</v>
      </c>
      <c r="G83" s="275"/>
      <c r="H83" s="275">
        <v>0.6</v>
      </c>
    </row>
    <row r="84" spans="1:8" ht="16.5" thickTop="1" thickBot="1">
      <c r="A84" t="s">
        <v>504</v>
      </c>
      <c r="B84" s="279" t="s">
        <v>229</v>
      </c>
      <c r="C84" s="275" t="s">
        <v>111</v>
      </c>
      <c r="D84" s="275">
        <v>0.89400000000000002</v>
      </c>
      <c r="E84" s="275">
        <v>220</v>
      </c>
      <c r="F84" s="275">
        <f>1.75/D84</f>
        <v>1.9574944071588367</v>
      </c>
      <c r="G84" s="275"/>
      <c r="H84" s="275">
        <v>0.6</v>
      </c>
    </row>
    <row r="85" spans="1:8" ht="16.5" thickTop="1" thickBot="1">
      <c r="A85" t="s">
        <v>505</v>
      </c>
      <c r="B85" s="279" t="s">
        <v>236</v>
      </c>
      <c r="C85" s="275" t="s">
        <v>27</v>
      </c>
      <c r="D85" s="275">
        <v>0.88</v>
      </c>
      <c r="E85" s="275"/>
      <c r="F85" s="275"/>
      <c r="G85" s="275"/>
      <c r="H85" s="275">
        <v>0.7</v>
      </c>
    </row>
    <row r="86" spans="1:8" ht="16.5" thickTop="1" thickBot="1">
      <c r="A86" t="s">
        <v>506</v>
      </c>
      <c r="B86" s="279" t="s">
        <v>244</v>
      </c>
      <c r="C86" s="275" t="s">
        <v>28</v>
      </c>
      <c r="D86" s="275">
        <v>0.13</v>
      </c>
      <c r="E86" s="275">
        <v>40</v>
      </c>
      <c r="F86" s="275">
        <f>0.355/D86</f>
        <v>2.7307692307692304</v>
      </c>
      <c r="G86" s="275"/>
      <c r="H86" s="275">
        <v>0.8</v>
      </c>
    </row>
    <row r="87" spans="1:8" ht="16.5" thickTop="1" thickBot="1">
      <c r="A87" t="s">
        <v>507</v>
      </c>
      <c r="B87" s="279" t="s">
        <v>256</v>
      </c>
      <c r="C87" s="275" t="s">
        <v>110</v>
      </c>
      <c r="D87" s="275"/>
      <c r="E87" s="275">
        <v>60</v>
      </c>
      <c r="F87" s="275">
        <v>4.8</v>
      </c>
      <c r="G87" s="275"/>
      <c r="H87" s="275">
        <v>0.75</v>
      </c>
    </row>
    <row r="88" spans="1:8" ht="16.5" thickTop="1" thickBot="1">
      <c r="A88" t="s">
        <v>508</v>
      </c>
      <c r="B88" s="279" t="s">
        <v>264</v>
      </c>
      <c r="C88" s="275" t="s">
        <v>265</v>
      </c>
      <c r="D88" s="275"/>
      <c r="E88" s="275">
        <v>60</v>
      </c>
      <c r="F88" s="275">
        <v>4.8</v>
      </c>
      <c r="G88" s="275"/>
      <c r="H88" s="275">
        <v>0.75</v>
      </c>
    </row>
    <row r="89" spans="1:8" ht="16.5" thickTop="1" thickBot="1">
      <c r="A89" t="s">
        <v>509</v>
      </c>
      <c r="B89" s="279" t="s">
        <v>271</v>
      </c>
      <c r="C89" s="275" t="s">
        <v>272</v>
      </c>
      <c r="D89" s="275"/>
      <c r="E89" s="275">
        <v>60</v>
      </c>
      <c r="F89" s="275">
        <v>4.8</v>
      </c>
      <c r="G89" s="275"/>
      <c r="H89" s="275">
        <v>0.75</v>
      </c>
    </row>
    <row r="90" spans="1:8" ht="16.5" thickTop="1" thickBot="1">
      <c r="A90" t="s">
        <v>510</v>
      </c>
      <c r="B90" s="279" t="s">
        <v>285</v>
      </c>
      <c r="C90" s="275" t="s">
        <v>286</v>
      </c>
      <c r="D90" s="275">
        <v>0.88900000000000001</v>
      </c>
      <c r="E90" s="275">
        <v>150</v>
      </c>
      <c r="F90" s="275">
        <f>10.55/D90</f>
        <v>11.86726659167604</v>
      </c>
      <c r="G90" s="275"/>
      <c r="H90" s="275">
        <v>0.8</v>
      </c>
    </row>
    <row r="91" spans="1:8" ht="16.5" thickTop="1" thickBot="1">
      <c r="A91" t="s">
        <v>511</v>
      </c>
      <c r="B91" s="279" t="s">
        <v>292</v>
      </c>
      <c r="C91" s="275" t="s">
        <v>293</v>
      </c>
      <c r="D91" s="275">
        <v>0.22</v>
      </c>
      <c r="E91" s="275">
        <v>307</v>
      </c>
      <c r="F91" s="275">
        <v>3.0179999999999998</v>
      </c>
      <c r="G91" s="275"/>
      <c r="H91" s="275">
        <v>0.8</v>
      </c>
    </row>
    <row r="92" spans="1:8" ht="16.5" thickTop="1" thickBot="1">
      <c r="A92" t="s">
        <v>512</v>
      </c>
      <c r="B92" s="279" t="s">
        <v>300</v>
      </c>
      <c r="C92" s="275" t="s">
        <v>301</v>
      </c>
      <c r="D92" s="275">
        <v>0.76100000000000001</v>
      </c>
      <c r="E92" s="275">
        <v>120</v>
      </c>
      <c r="F92" s="275">
        <v>1</v>
      </c>
      <c r="G92" s="275"/>
      <c r="H92" s="275">
        <v>0.9</v>
      </c>
    </row>
    <row r="93" spans="1:8" ht="31.5" thickTop="1" thickBot="1">
      <c r="A93" t="s">
        <v>500</v>
      </c>
      <c r="B93" s="279" t="s">
        <v>306</v>
      </c>
      <c r="C93" s="275" t="s">
        <v>307</v>
      </c>
      <c r="D93" s="275">
        <v>0.23</v>
      </c>
      <c r="E93" s="275">
        <v>150</v>
      </c>
      <c r="F93" s="275">
        <f>0.3/D93</f>
        <v>1.3043478260869563</v>
      </c>
      <c r="G93" s="275"/>
      <c r="H93" s="275">
        <v>0.8</v>
      </c>
    </row>
    <row r="94" spans="1:8" ht="16.5" thickTop="1" thickBot="1">
      <c r="A94" t="s">
        <v>513</v>
      </c>
      <c r="B94" s="279" t="s">
        <v>311</v>
      </c>
      <c r="C94" s="275" t="s">
        <v>117</v>
      </c>
      <c r="D94" s="275">
        <v>0.91</v>
      </c>
      <c r="E94" s="275">
        <v>150</v>
      </c>
      <c r="F94" s="275">
        <f>12.01/D94</f>
        <v>13.197802197802197</v>
      </c>
      <c r="G94" s="275"/>
      <c r="H94" s="275">
        <v>0.8</v>
      </c>
    </row>
    <row r="95" spans="1:8" ht="16.5" thickTop="1" thickBot="1">
      <c r="A95" t="s">
        <v>514</v>
      </c>
      <c r="B95" s="279" t="s">
        <v>315</v>
      </c>
      <c r="C95" s="275" t="s">
        <v>316</v>
      </c>
      <c r="D95" s="275"/>
      <c r="E95" s="275">
        <v>500</v>
      </c>
      <c r="F95" s="275">
        <v>7.11</v>
      </c>
      <c r="G95" s="275"/>
      <c r="H95" s="275">
        <v>0.8</v>
      </c>
    </row>
    <row r="96" spans="1:8" ht="16.5" thickTop="1" thickBot="1">
      <c r="A96" t="s">
        <v>515</v>
      </c>
      <c r="B96" s="279" t="s">
        <v>319</v>
      </c>
      <c r="C96" s="275" t="s">
        <v>320</v>
      </c>
      <c r="D96" s="275">
        <f>D97</f>
        <v>0.88</v>
      </c>
      <c r="E96" s="275">
        <v>150</v>
      </c>
      <c r="F96" s="275">
        <v>0.3</v>
      </c>
      <c r="G96" s="275"/>
      <c r="H96" s="275">
        <v>0.6</v>
      </c>
    </row>
    <row r="97" spans="1:8" ht="16.5" thickTop="1" thickBot="1">
      <c r="A97" t="s">
        <v>516</v>
      </c>
      <c r="B97" s="279" t="s">
        <v>322</v>
      </c>
      <c r="C97" s="275" t="s">
        <v>323</v>
      </c>
      <c r="D97" s="275">
        <v>0.88</v>
      </c>
      <c r="E97" s="275">
        <v>150</v>
      </c>
      <c r="F97" s="275">
        <f>0.3/D97</f>
        <v>0.34090909090909088</v>
      </c>
      <c r="G97" s="275"/>
      <c r="H97" s="275">
        <v>0.5</v>
      </c>
    </row>
    <row r="98" spans="1:8" ht="16.5" thickTop="1" thickBot="1">
      <c r="A98" t="s">
        <v>517</v>
      </c>
      <c r="B98" s="279" t="s">
        <v>326</v>
      </c>
      <c r="C98" s="275" t="s">
        <v>327</v>
      </c>
      <c r="D98" s="275">
        <f>D97</f>
        <v>0.88</v>
      </c>
      <c r="E98" s="275">
        <v>150</v>
      </c>
      <c r="F98" s="275">
        <v>0.3</v>
      </c>
      <c r="G98" s="275"/>
      <c r="H98" s="275">
        <v>0.6</v>
      </c>
    </row>
    <row r="99" spans="1:8" ht="15.75" thickTop="1">
      <c r="B99" s="279"/>
      <c r="C99" s="281"/>
      <c r="D99" s="108"/>
      <c r="E99" s="108"/>
      <c r="F99" s="282"/>
      <c r="G99" s="283"/>
      <c r="H99" s="283"/>
    </row>
    <row r="100" spans="1:8">
      <c r="B100" s="279"/>
      <c r="C100" s="281"/>
      <c r="D100" s="108"/>
      <c r="E100" s="108"/>
      <c r="F100" s="282"/>
      <c r="G100" s="283"/>
      <c r="H100" s="283"/>
    </row>
    <row r="101" spans="1:8">
      <c r="B101" s="279"/>
      <c r="C101" s="281"/>
      <c r="D101" s="108"/>
      <c r="E101" s="108"/>
      <c r="F101" s="282"/>
      <c r="G101" s="283"/>
      <c r="H101" s="283"/>
    </row>
    <row r="102" spans="1:8">
      <c r="B102" s="279"/>
      <c r="C102" s="281"/>
      <c r="D102" s="108"/>
      <c r="E102" s="108"/>
      <c r="F102" s="282"/>
      <c r="G102" s="283"/>
      <c r="H102" s="283"/>
    </row>
    <row r="103" spans="1:8">
      <c r="B103" s="279" t="s">
        <v>330</v>
      </c>
      <c r="C103" s="284" t="s">
        <v>331</v>
      </c>
      <c r="D103" s="284"/>
      <c r="E103" s="284"/>
      <c r="F103" s="285"/>
      <c r="G103" s="286"/>
      <c r="H103" s="286">
        <v>0.85</v>
      </c>
    </row>
    <row r="104" spans="1:8">
      <c r="B104" s="1"/>
      <c r="C104" s="1"/>
      <c r="D104" s="1"/>
      <c r="E104" s="1"/>
      <c r="F104" s="1"/>
      <c r="G104" s="1"/>
      <c r="H104" s="1"/>
    </row>
    <row r="106" spans="1:8">
      <c r="C106" s="1"/>
      <c r="D106" s="1"/>
      <c r="E106" s="1"/>
      <c r="F106" s="1"/>
    </row>
    <row r="107" spans="1:8" ht="15.75">
      <c r="B107" s="49" t="s">
        <v>151</v>
      </c>
      <c r="C107" s="49"/>
      <c r="D107" s="49"/>
      <c r="E107" s="49"/>
      <c r="F107" s="49"/>
      <c r="G107" s="49"/>
      <c r="H107" s="20" t="s">
        <v>147</v>
      </c>
    </row>
    <row r="108" spans="1:8" s="218" customFormat="1" ht="15.75">
      <c r="B108" s="219"/>
      <c r="C108" s="219"/>
      <c r="D108" t="s">
        <v>541</v>
      </c>
      <c r="E108" t="s">
        <v>542</v>
      </c>
      <c r="F108" t="s">
        <v>543</v>
      </c>
      <c r="G108"/>
      <c r="H108" s="57"/>
    </row>
    <row r="109" spans="1:8" ht="45.75" thickBot="1">
      <c r="B109" s="279" t="s">
        <v>160</v>
      </c>
      <c r="C109" s="276" t="s">
        <v>166</v>
      </c>
      <c r="D109" s="276" t="s">
        <v>161</v>
      </c>
      <c r="E109" s="276" t="s">
        <v>167</v>
      </c>
      <c r="F109" s="276" t="s">
        <v>168</v>
      </c>
      <c r="G109" s="276" t="s">
        <v>164</v>
      </c>
    </row>
    <row r="110" spans="1:8" ht="16.5" thickTop="1" thickBot="1">
      <c r="A110" t="s">
        <v>522</v>
      </c>
      <c r="B110" s="279" t="s">
        <v>179</v>
      </c>
      <c r="C110" s="275" t="s">
        <v>112</v>
      </c>
      <c r="D110" s="275">
        <v>0.86</v>
      </c>
      <c r="E110" s="275">
        <v>353</v>
      </c>
      <c r="F110" s="275">
        <v>2.5630000000000002</v>
      </c>
      <c r="G110" s="275"/>
    </row>
    <row r="111" spans="1:8" ht="16.5" thickTop="1" thickBot="1">
      <c r="A111" t="s">
        <v>523</v>
      </c>
      <c r="B111" s="279" t="s">
        <v>197</v>
      </c>
      <c r="C111" s="275" t="s">
        <v>113</v>
      </c>
      <c r="D111" s="275">
        <v>0.86</v>
      </c>
      <c r="E111" s="275">
        <v>321</v>
      </c>
      <c r="F111" s="275">
        <v>2.4649999999999999</v>
      </c>
      <c r="G111" s="275"/>
    </row>
    <row r="112" spans="1:8" ht="16.5" thickTop="1" thickBot="1">
      <c r="A112" t="s">
        <v>533</v>
      </c>
      <c r="B112" s="279" t="s">
        <v>207</v>
      </c>
      <c r="C112" s="275" t="s">
        <v>31</v>
      </c>
      <c r="D112" s="275">
        <v>0.86</v>
      </c>
      <c r="E112" s="275">
        <v>296</v>
      </c>
      <c r="F112" s="275">
        <v>2.6829999999999998</v>
      </c>
      <c r="G112" s="275"/>
    </row>
    <row r="113" spans="1:7" ht="16.5" thickTop="1" thickBot="1">
      <c r="A113" t="s">
        <v>524</v>
      </c>
      <c r="B113" s="279" t="s">
        <v>114</v>
      </c>
      <c r="C113" s="275" t="s">
        <v>217</v>
      </c>
      <c r="D113" s="275">
        <v>0.86</v>
      </c>
      <c r="E113" s="275">
        <v>353</v>
      </c>
      <c r="F113" s="275">
        <v>2.5630000000000002</v>
      </c>
      <c r="G113" s="275"/>
    </row>
    <row r="114" spans="1:7" ht="16.5" thickTop="1" thickBot="1">
      <c r="A114" t="s">
        <v>525</v>
      </c>
      <c r="B114" s="279" t="s">
        <v>230</v>
      </c>
      <c r="C114" s="275" t="s">
        <v>36</v>
      </c>
      <c r="D114" s="275">
        <v>0.86</v>
      </c>
      <c r="E114" s="275">
        <v>321</v>
      </c>
      <c r="F114" s="275">
        <v>2.4649999999999999</v>
      </c>
      <c r="G114" s="275"/>
    </row>
    <row r="115" spans="1:7" ht="16.5" thickTop="1" thickBot="1">
      <c r="A115" t="s">
        <v>531</v>
      </c>
      <c r="B115" s="279" t="s">
        <v>237</v>
      </c>
      <c r="C115" s="275" t="s">
        <v>238</v>
      </c>
      <c r="D115" s="275">
        <v>0.86</v>
      </c>
      <c r="E115" s="275">
        <v>296</v>
      </c>
      <c r="F115" s="275">
        <v>3.8</v>
      </c>
      <c r="G115" s="275"/>
    </row>
    <row r="116" spans="1:7" ht="16.5" thickTop="1" thickBot="1">
      <c r="A116" t="s">
        <v>534</v>
      </c>
      <c r="B116" s="279" t="s">
        <v>245</v>
      </c>
      <c r="C116" s="275" t="s">
        <v>119</v>
      </c>
      <c r="D116" s="275">
        <v>0.88</v>
      </c>
      <c r="E116" s="275">
        <v>59</v>
      </c>
      <c r="F116" s="275">
        <v>0.94199999999999995</v>
      </c>
      <c r="G116" s="275"/>
    </row>
    <row r="117" spans="1:7" ht="16.5" thickTop="1" thickBot="1">
      <c r="A117" t="s">
        <v>532</v>
      </c>
      <c r="B117" s="279" t="s">
        <v>257</v>
      </c>
      <c r="C117" s="275" t="s">
        <v>258</v>
      </c>
      <c r="D117" s="275">
        <v>0.86</v>
      </c>
      <c r="E117" s="275">
        <v>122</v>
      </c>
      <c r="F117" s="275">
        <v>2.1230000000000002</v>
      </c>
      <c r="G117" s="275"/>
    </row>
    <row r="118" spans="1:7" ht="16.5" thickTop="1" thickBot="1">
      <c r="A118" t="s">
        <v>535</v>
      </c>
      <c r="B118" s="279" t="s">
        <v>266</v>
      </c>
      <c r="C118" s="275" t="s">
        <v>34</v>
      </c>
      <c r="D118" s="275">
        <v>0.89</v>
      </c>
      <c r="E118" s="275">
        <v>810</v>
      </c>
      <c r="F118" s="275">
        <v>5.5990000000000002</v>
      </c>
      <c r="G118" s="275"/>
    </row>
    <row r="119" spans="1:7" ht="16.5" thickTop="1" thickBot="1">
      <c r="A119" t="s">
        <v>536</v>
      </c>
      <c r="B119" s="279" t="s">
        <v>273</v>
      </c>
      <c r="C119" s="275" t="s">
        <v>274</v>
      </c>
      <c r="D119" s="275">
        <v>0.93</v>
      </c>
      <c r="E119" s="275">
        <v>486</v>
      </c>
      <c r="F119" s="275">
        <v>4.9530000000000003</v>
      </c>
      <c r="G119" s="275"/>
    </row>
    <row r="120" spans="1:7" ht="16.5" thickTop="1" thickBot="1">
      <c r="A120" t="s">
        <v>526</v>
      </c>
      <c r="B120" s="279" t="s">
        <v>287</v>
      </c>
      <c r="C120" s="275" t="s">
        <v>35</v>
      </c>
      <c r="D120" s="275">
        <v>0.87</v>
      </c>
      <c r="E120" s="275">
        <v>1579</v>
      </c>
      <c r="F120" s="275">
        <v>5.7050000000000001</v>
      </c>
      <c r="G120" s="275"/>
    </row>
    <row r="121" spans="1:7" ht="16.5" thickTop="1" thickBot="1">
      <c r="A121" t="s">
        <v>538</v>
      </c>
      <c r="B121" s="279" t="s">
        <v>294</v>
      </c>
      <c r="C121" s="275" t="s">
        <v>128</v>
      </c>
      <c r="D121" s="275">
        <v>0.89</v>
      </c>
      <c r="E121" s="275">
        <v>460</v>
      </c>
      <c r="F121" s="275">
        <v>3.3290000000000002</v>
      </c>
      <c r="G121" s="275"/>
    </row>
    <row r="122" spans="1:7" ht="16.5" thickTop="1" thickBot="1">
      <c r="A122" t="s">
        <v>539</v>
      </c>
      <c r="B122" s="279" t="s">
        <v>302</v>
      </c>
      <c r="C122" s="275" t="s">
        <v>303</v>
      </c>
      <c r="D122" s="275">
        <v>0.89</v>
      </c>
      <c r="E122" s="275">
        <v>294</v>
      </c>
      <c r="F122" s="275">
        <v>3.2370000000000001</v>
      </c>
      <c r="G122" s="275"/>
    </row>
    <row r="123" spans="1:7" ht="16.5" thickTop="1" thickBot="1">
      <c r="A123" t="s">
        <v>527</v>
      </c>
      <c r="B123" s="279" t="s">
        <v>308</v>
      </c>
      <c r="C123" s="275" t="s">
        <v>309</v>
      </c>
      <c r="D123" s="275">
        <v>0.88</v>
      </c>
      <c r="E123" s="275">
        <v>295</v>
      </c>
      <c r="F123" s="275">
        <v>3.32</v>
      </c>
      <c r="G123" s="275"/>
    </row>
    <row r="124" spans="1:7" ht="16.5" thickTop="1" thickBot="1">
      <c r="A124" t="s">
        <v>528</v>
      </c>
      <c r="B124" s="279" t="s">
        <v>312</v>
      </c>
      <c r="C124" s="275" t="s">
        <v>135</v>
      </c>
      <c r="D124" s="275">
        <v>0.9</v>
      </c>
      <c r="E124" s="275">
        <v>541</v>
      </c>
      <c r="F124" s="275">
        <v>3.9220000000000002</v>
      </c>
      <c r="G124" s="275"/>
    </row>
    <row r="125" spans="1:7" ht="16.5" thickTop="1" thickBot="1">
      <c r="A125" t="s">
        <v>529</v>
      </c>
      <c r="B125" s="279" t="s">
        <v>317</v>
      </c>
      <c r="C125" s="275" t="s">
        <v>318</v>
      </c>
      <c r="D125" s="275">
        <v>0.9</v>
      </c>
      <c r="E125" s="275">
        <v>493</v>
      </c>
      <c r="F125" s="275">
        <v>5.4139999999999997</v>
      </c>
      <c r="G125" s="275"/>
    </row>
    <row r="126" spans="1:7" ht="16.5" thickTop="1" thickBot="1">
      <c r="A126" t="s">
        <v>530</v>
      </c>
      <c r="B126" s="279" t="s">
        <v>321</v>
      </c>
      <c r="C126" s="275" t="s">
        <v>33</v>
      </c>
      <c r="D126" s="275">
        <v>0.1</v>
      </c>
      <c r="E126" s="275">
        <v>28.69</v>
      </c>
      <c r="F126" s="275">
        <v>0.54640999999999995</v>
      </c>
      <c r="G126" s="275"/>
    </row>
    <row r="127" spans="1:7" ht="16.5" thickTop="1" thickBot="1">
      <c r="A127" t="s">
        <v>537</v>
      </c>
      <c r="B127" s="279" t="s">
        <v>324</v>
      </c>
      <c r="C127" s="275" t="s">
        <v>325</v>
      </c>
      <c r="D127" s="275">
        <f>D110</f>
        <v>0.86</v>
      </c>
      <c r="E127" s="275">
        <v>580.17999999999995</v>
      </c>
      <c r="F127" s="275">
        <v>4.6894099999999996</v>
      </c>
      <c r="G127" s="275"/>
    </row>
    <row r="128" spans="1:7" ht="15.75" thickTop="1">
      <c r="B128" s="107"/>
      <c r="C128" s="281"/>
      <c r="D128" s="108"/>
      <c r="E128" s="108"/>
      <c r="F128" s="282"/>
      <c r="G128" s="283"/>
    </row>
    <row r="129" spans="1:8">
      <c r="B129" s="107"/>
      <c r="C129" s="281"/>
      <c r="D129" s="108"/>
      <c r="E129" s="108"/>
      <c r="F129" s="282"/>
      <c r="G129" s="283"/>
    </row>
    <row r="130" spans="1:8">
      <c r="B130" s="107"/>
      <c r="C130" s="281"/>
      <c r="D130" s="108"/>
      <c r="E130" s="108"/>
      <c r="F130" s="282"/>
      <c r="G130" s="283"/>
    </row>
    <row r="131" spans="1:8">
      <c r="B131" s="107"/>
      <c r="C131" s="281"/>
      <c r="D131" s="108"/>
      <c r="E131" s="108"/>
      <c r="F131" s="282"/>
      <c r="G131" s="283"/>
    </row>
    <row r="132" spans="1:8">
      <c r="B132" s="107"/>
      <c r="C132" s="281"/>
      <c r="D132" s="108"/>
      <c r="E132" s="108"/>
      <c r="F132" s="282"/>
      <c r="G132" s="283"/>
    </row>
    <row r="133" spans="1:8" ht="15.75" thickBot="1">
      <c r="A133" t="s">
        <v>540</v>
      </c>
      <c r="B133" s="279" t="s">
        <v>332</v>
      </c>
      <c r="C133" s="275" t="s">
        <v>44</v>
      </c>
      <c r="D133" s="275">
        <v>0.99</v>
      </c>
      <c r="E133" s="275">
        <v>110</v>
      </c>
      <c r="F133" s="275">
        <v>43.3</v>
      </c>
      <c r="G133" s="275"/>
    </row>
    <row r="134" spans="1:8" ht="15.75" thickTop="1">
      <c r="B134" s="1"/>
      <c r="C134" s="1"/>
      <c r="D134" s="1"/>
      <c r="E134" s="1"/>
      <c r="F134" s="1"/>
      <c r="G134" s="1"/>
    </row>
    <row r="136" spans="1:8">
      <c r="B136" s="1"/>
      <c r="D136" s="1"/>
      <c r="E136" s="1"/>
      <c r="F136" s="1"/>
      <c r="G136" s="1"/>
    </row>
    <row r="137" spans="1:8" ht="15.75">
      <c r="B137" s="49" t="s">
        <v>152</v>
      </c>
      <c r="C137" s="50"/>
      <c r="D137" s="50"/>
      <c r="E137" s="50"/>
      <c r="F137" s="50"/>
      <c r="G137" s="50"/>
      <c r="H137" s="20" t="s">
        <v>147</v>
      </c>
    </row>
    <row r="138" spans="1:8" s="218" customFormat="1" ht="26.25">
      <c r="B138" s="219"/>
      <c r="C138" s="220"/>
      <c r="D138" s="220" t="s">
        <v>559</v>
      </c>
      <c r="E138" s="220" t="s">
        <v>560</v>
      </c>
      <c r="F138" s="220" t="s">
        <v>561</v>
      </c>
      <c r="G138" s="220"/>
      <c r="H138" s="57"/>
    </row>
    <row r="139" spans="1:8" ht="45.75" thickBot="1">
      <c r="B139" s="279" t="s">
        <v>160</v>
      </c>
      <c r="C139" s="276" t="s">
        <v>166</v>
      </c>
      <c r="D139" s="276" t="s">
        <v>161</v>
      </c>
      <c r="E139" s="276" t="s">
        <v>169</v>
      </c>
      <c r="F139" s="276" t="s">
        <v>170</v>
      </c>
      <c r="G139" s="287" t="s">
        <v>164</v>
      </c>
    </row>
    <row r="140" spans="1:8" ht="31.5" thickTop="1" thickBot="1">
      <c r="A140" t="s">
        <v>544</v>
      </c>
      <c r="B140" s="279" t="s">
        <v>180</v>
      </c>
      <c r="C140" s="275" t="s">
        <v>181</v>
      </c>
      <c r="D140" s="275">
        <v>0.88</v>
      </c>
      <c r="E140" s="275">
        <v>616</v>
      </c>
      <c r="F140" s="275">
        <v>4.016</v>
      </c>
      <c r="G140" s="288"/>
    </row>
    <row r="141" spans="1:8" ht="31.5" thickTop="1" thickBot="1">
      <c r="A141" t="s">
        <v>545</v>
      </c>
      <c r="B141" s="279" t="s">
        <v>198</v>
      </c>
      <c r="C141" s="275" t="s">
        <v>199</v>
      </c>
      <c r="D141" s="275">
        <v>0.88</v>
      </c>
      <c r="E141" s="275">
        <v>655</v>
      </c>
      <c r="F141" s="275">
        <v>4.0730000000000004</v>
      </c>
      <c r="G141" s="288"/>
    </row>
    <row r="142" spans="1:8" ht="31.5" thickTop="1" thickBot="1">
      <c r="A142" t="s">
        <v>546</v>
      </c>
      <c r="B142" s="279" t="s">
        <v>208</v>
      </c>
      <c r="C142" s="275" t="s">
        <v>209</v>
      </c>
      <c r="D142" s="275">
        <v>0.88</v>
      </c>
      <c r="E142" s="275">
        <v>694</v>
      </c>
      <c r="F142" s="275">
        <v>4.1310000000000002</v>
      </c>
      <c r="G142" s="288"/>
    </row>
    <row r="143" spans="1:8" ht="31.5" thickTop="1" thickBot="1">
      <c r="A143" t="s">
        <v>547</v>
      </c>
      <c r="B143" s="279" t="s">
        <v>218</v>
      </c>
      <c r="C143" s="275" t="s">
        <v>219</v>
      </c>
      <c r="D143" s="275">
        <v>0.88</v>
      </c>
      <c r="E143" s="275">
        <v>753</v>
      </c>
      <c r="F143" s="275">
        <v>4.2160000000000002</v>
      </c>
      <c r="G143" s="288"/>
    </row>
    <row r="144" spans="1:8" ht="31.5" thickTop="1" thickBot="1">
      <c r="A144" t="s">
        <v>548</v>
      </c>
      <c r="B144" s="279" t="s">
        <v>231</v>
      </c>
      <c r="C144" s="275" t="s">
        <v>232</v>
      </c>
      <c r="D144" s="275">
        <v>0.88</v>
      </c>
      <c r="E144" s="275">
        <v>850</v>
      </c>
      <c r="F144" s="275">
        <v>4.3600000000000003</v>
      </c>
      <c r="G144" s="288"/>
    </row>
    <row r="145" spans="1:7" ht="31.5" thickTop="1" thickBot="1">
      <c r="A145" t="s">
        <v>549</v>
      </c>
      <c r="B145" s="279" t="s">
        <v>239</v>
      </c>
      <c r="C145" s="275" t="s">
        <v>240</v>
      </c>
      <c r="D145" s="275">
        <v>0.88</v>
      </c>
      <c r="E145" s="275">
        <v>948</v>
      </c>
      <c r="F145" s="275">
        <v>4.5030000000000001</v>
      </c>
      <c r="G145" s="288"/>
    </row>
    <row r="146" spans="1:7" ht="31.5" thickTop="1" thickBot="1">
      <c r="A146" t="s">
        <v>550</v>
      </c>
      <c r="B146" s="279" t="s">
        <v>246</v>
      </c>
      <c r="C146" s="275" t="s">
        <v>247</v>
      </c>
      <c r="D146" s="275">
        <v>0.88</v>
      </c>
      <c r="E146" s="275">
        <v>1046</v>
      </c>
      <c r="F146" s="275">
        <v>4.6459999999999999</v>
      </c>
      <c r="G146" s="288"/>
    </row>
    <row r="147" spans="1:7" ht="31.5" thickTop="1" thickBot="1">
      <c r="A147" t="s">
        <v>558</v>
      </c>
      <c r="B147" s="279" t="s">
        <v>259</v>
      </c>
      <c r="C147" s="275" t="s">
        <v>38</v>
      </c>
      <c r="D147" s="275">
        <v>0.88</v>
      </c>
      <c r="E147" s="275">
        <v>556</v>
      </c>
      <c r="F147" s="275">
        <v>3.6179999999999999</v>
      </c>
      <c r="G147" s="288"/>
    </row>
    <row r="148" spans="1:7" ht="31.5" thickTop="1" thickBot="1">
      <c r="A148" t="s">
        <v>557</v>
      </c>
      <c r="B148" s="279" t="s">
        <v>267</v>
      </c>
      <c r="C148" s="275" t="s">
        <v>39</v>
      </c>
      <c r="D148" s="275">
        <v>0.88</v>
      </c>
      <c r="E148" s="275">
        <v>592</v>
      </c>
      <c r="F148" s="275">
        <v>3.6859999999999999</v>
      </c>
      <c r="G148" s="288"/>
    </row>
    <row r="149" spans="1:7" ht="31.5" thickTop="1" thickBot="1">
      <c r="A149" t="s">
        <v>556</v>
      </c>
      <c r="B149" s="279" t="s">
        <v>275</v>
      </c>
      <c r="C149" s="275" t="s">
        <v>276</v>
      </c>
      <c r="D149" s="275">
        <v>0.88</v>
      </c>
      <c r="E149" s="275">
        <v>629</v>
      </c>
      <c r="F149" s="275">
        <v>3.754</v>
      </c>
      <c r="G149" s="288"/>
    </row>
    <row r="150" spans="1:7" ht="31.5" thickTop="1" thickBot="1">
      <c r="A150" t="s">
        <v>555</v>
      </c>
      <c r="B150" s="279" t="s">
        <v>288</v>
      </c>
      <c r="C150" s="275" t="s">
        <v>40</v>
      </c>
      <c r="D150" s="275">
        <v>0.88</v>
      </c>
      <c r="E150" s="275">
        <v>684</v>
      </c>
      <c r="F150" s="275">
        <v>3.855</v>
      </c>
      <c r="G150" s="288"/>
    </row>
    <row r="151" spans="1:7" ht="31.5" thickTop="1" thickBot="1">
      <c r="A151" t="s">
        <v>554</v>
      </c>
      <c r="B151" s="279" t="s">
        <v>295</v>
      </c>
      <c r="C151" s="275" t="s">
        <v>41</v>
      </c>
      <c r="D151" s="275">
        <v>0.88</v>
      </c>
      <c r="E151" s="275">
        <v>775</v>
      </c>
      <c r="F151" s="275">
        <v>4.024</v>
      </c>
      <c r="G151" s="288"/>
    </row>
    <row r="152" spans="1:7" ht="31.5" thickTop="1" thickBot="1">
      <c r="A152" t="s">
        <v>553</v>
      </c>
      <c r="B152" s="279" t="s">
        <v>304</v>
      </c>
      <c r="C152" s="275" t="s">
        <v>305</v>
      </c>
      <c r="D152" s="275">
        <v>0.88</v>
      </c>
      <c r="E152" s="275">
        <v>866</v>
      </c>
      <c r="F152" s="275">
        <v>4.194</v>
      </c>
      <c r="G152" s="288"/>
    </row>
    <row r="153" spans="1:7" ht="31.5" thickTop="1" thickBot="1">
      <c r="A153" t="s">
        <v>552</v>
      </c>
      <c r="B153" s="279" t="s">
        <v>310</v>
      </c>
      <c r="C153" s="275" t="s">
        <v>42</v>
      </c>
      <c r="D153" s="275">
        <v>0.88</v>
      </c>
      <c r="E153" s="275">
        <v>958</v>
      </c>
      <c r="F153" s="275">
        <v>4.3630000000000004</v>
      </c>
      <c r="G153" s="288"/>
    </row>
    <row r="154" spans="1:7" ht="16.5" thickTop="1" thickBot="1">
      <c r="A154" t="s">
        <v>551</v>
      </c>
      <c r="B154" s="279" t="s">
        <v>313</v>
      </c>
      <c r="C154" s="275" t="s">
        <v>314</v>
      </c>
      <c r="D154" s="275">
        <v>0.88</v>
      </c>
      <c r="E154" s="275">
        <v>513</v>
      </c>
      <c r="F154" s="275">
        <v>5.984</v>
      </c>
      <c r="G154" s="288"/>
    </row>
    <row r="155" spans="1:7" ht="15.75" thickTop="1">
      <c r="B155" s="279"/>
      <c r="C155" s="280"/>
      <c r="D155" s="280"/>
      <c r="E155" s="280"/>
      <c r="F155" s="280"/>
      <c r="G155" s="283"/>
    </row>
    <row r="156" spans="1:7">
      <c r="B156" s="279"/>
      <c r="C156" s="280"/>
      <c r="D156" s="280"/>
      <c r="E156" s="280"/>
      <c r="F156" s="280"/>
      <c r="G156" s="283"/>
    </row>
    <row r="157" spans="1:7">
      <c r="B157" s="279"/>
      <c r="C157" s="280"/>
      <c r="D157" s="280"/>
      <c r="E157" s="280"/>
      <c r="F157" s="280"/>
      <c r="G157" s="283"/>
    </row>
    <row r="158" spans="1:7">
      <c r="B158" s="107"/>
      <c r="C158" s="280"/>
      <c r="D158" s="280"/>
      <c r="E158" s="280"/>
      <c r="F158" s="280"/>
      <c r="G158" s="283"/>
    </row>
    <row r="159" spans="1:7">
      <c r="B159" s="107"/>
      <c r="C159" s="280"/>
      <c r="D159" s="280"/>
      <c r="E159" s="280"/>
      <c r="F159" s="280"/>
      <c r="G159" s="283"/>
    </row>
    <row r="160" spans="1:7">
      <c r="B160" s="107"/>
      <c r="C160" s="280"/>
      <c r="D160" s="280"/>
      <c r="E160" s="280"/>
      <c r="F160" s="280"/>
      <c r="G160" s="283"/>
    </row>
    <row r="161" spans="1:8">
      <c r="B161" s="107"/>
      <c r="C161" s="280"/>
      <c r="D161" s="280"/>
      <c r="E161" s="280"/>
      <c r="F161" s="280"/>
      <c r="G161" s="283"/>
    </row>
    <row r="162" spans="1:8" ht="15.75">
      <c r="B162" s="49" t="s">
        <v>153</v>
      </c>
      <c r="C162" s="50"/>
      <c r="D162" s="50"/>
      <c r="E162" s="50"/>
      <c r="F162" s="50"/>
      <c r="G162" s="50"/>
      <c r="H162" s="20" t="s">
        <v>147</v>
      </c>
    </row>
    <row r="163" spans="1:8" s="218" customFormat="1" ht="26.25">
      <c r="B163" s="219"/>
      <c r="C163" s="220"/>
      <c r="D163" s="220" t="s">
        <v>574</v>
      </c>
      <c r="E163" s="220" t="s">
        <v>575</v>
      </c>
      <c r="F163" s="220" t="s">
        <v>576</v>
      </c>
      <c r="G163" s="220"/>
      <c r="H163" s="57"/>
    </row>
    <row r="164" spans="1:8" ht="30.75" thickBot="1">
      <c r="B164" s="279" t="s">
        <v>160</v>
      </c>
      <c r="C164" s="276" t="s">
        <v>166</v>
      </c>
      <c r="D164" s="276" t="s">
        <v>161</v>
      </c>
      <c r="E164" s="276" t="s">
        <v>162</v>
      </c>
      <c r="F164" s="276" t="s">
        <v>163</v>
      </c>
      <c r="G164" s="276" t="s">
        <v>164</v>
      </c>
    </row>
    <row r="165" spans="1:8" ht="31.5" thickTop="1" thickBot="1">
      <c r="A165" t="s">
        <v>562</v>
      </c>
      <c r="B165" s="279" t="s">
        <v>182</v>
      </c>
      <c r="C165" s="275" t="s">
        <v>130</v>
      </c>
      <c r="D165" s="275">
        <v>0.88</v>
      </c>
      <c r="E165" s="275">
        <v>409</v>
      </c>
      <c r="F165" s="275">
        <v>2.08</v>
      </c>
      <c r="G165" s="275"/>
    </row>
    <row r="166" spans="1:8" ht="31.5" thickTop="1" thickBot="1">
      <c r="A166" t="s">
        <v>563</v>
      </c>
      <c r="B166" s="279" t="s">
        <v>200</v>
      </c>
      <c r="C166" s="275" t="s">
        <v>131</v>
      </c>
      <c r="D166" s="275">
        <v>0.88</v>
      </c>
      <c r="E166" s="275">
        <v>284</v>
      </c>
      <c r="F166" s="275">
        <v>1.6240000000000001</v>
      </c>
      <c r="G166" s="275"/>
    </row>
    <row r="167" spans="1:8" ht="31.5" thickTop="1" thickBot="1">
      <c r="A167" t="s">
        <v>564</v>
      </c>
      <c r="B167" s="279" t="s">
        <v>210</v>
      </c>
      <c r="C167" s="275" t="s">
        <v>132</v>
      </c>
      <c r="D167" s="275">
        <v>0.88</v>
      </c>
      <c r="E167" s="275">
        <v>263</v>
      </c>
      <c r="F167" s="275">
        <v>2.0249999999999999</v>
      </c>
      <c r="G167" s="275"/>
    </row>
    <row r="168" spans="1:8" ht="31.5" thickTop="1" thickBot="1">
      <c r="A168" t="s">
        <v>565</v>
      </c>
      <c r="B168" s="279" t="s">
        <v>220</v>
      </c>
      <c r="C168" s="275" t="s">
        <v>133</v>
      </c>
      <c r="D168" s="275">
        <v>0.88</v>
      </c>
      <c r="E168" s="275">
        <v>223</v>
      </c>
      <c r="F168" s="275">
        <v>1.87</v>
      </c>
      <c r="G168" s="275"/>
    </row>
    <row r="169" spans="1:8" ht="16.5" thickTop="1" thickBot="1">
      <c r="A169" t="s">
        <v>566</v>
      </c>
      <c r="B169" s="279" t="s">
        <v>233</v>
      </c>
      <c r="C169" s="275" t="s">
        <v>129</v>
      </c>
      <c r="D169" s="275">
        <v>0.88</v>
      </c>
      <c r="E169" s="275">
        <v>249</v>
      </c>
      <c r="F169" s="275">
        <v>1.34</v>
      </c>
      <c r="G169" s="275"/>
    </row>
    <row r="170" spans="1:8" ht="16.5" thickTop="1" thickBot="1">
      <c r="A170" t="s">
        <v>567</v>
      </c>
      <c r="B170" s="279" t="s">
        <v>241</v>
      </c>
      <c r="C170" s="275" t="s">
        <v>242</v>
      </c>
      <c r="D170" s="275">
        <v>0.88</v>
      </c>
      <c r="E170" s="275">
        <v>342</v>
      </c>
      <c r="F170" s="275">
        <v>1.5109999999999999</v>
      </c>
      <c r="G170" s="275"/>
    </row>
    <row r="171" spans="1:8" ht="31.5" thickTop="1" thickBot="1">
      <c r="A171" t="s">
        <v>570</v>
      </c>
      <c r="B171" s="279" t="s">
        <v>248</v>
      </c>
      <c r="C171" s="275" t="s">
        <v>249</v>
      </c>
      <c r="D171" s="275">
        <v>0.88</v>
      </c>
      <c r="E171" s="275">
        <v>399</v>
      </c>
      <c r="F171" s="275">
        <v>1.556</v>
      </c>
      <c r="G171" s="275"/>
    </row>
    <row r="172" spans="1:8" ht="31.5" thickTop="1" thickBot="1">
      <c r="A172" t="s">
        <v>571</v>
      </c>
      <c r="B172" s="279" t="s">
        <v>260</v>
      </c>
      <c r="C172" s="275" t="s">
        <v>261</v>
      </c>
      <c r="D172" s="275">
        <v>0.88</v>
      </c>
      <c r="E172" s="275">
        <v>274</v>
      </c>
      <c r="F172" s="275">
        <v>1.1000000000000001</v>
      </c>
      <c r="G172" s="275"/>
    </row>
    <row r="173" spans="1:8" ht="31.5" thickTop="1" thickBot="1">
      <c r="A173" t="s">
        <v>572</v>
      </c>
      <c r="B173" s="279" t="s">
        <v>268</v>
      </c>
      <c r="C173" s="275" t="s">
        <v>269</v>
      </c>
      <c r="D173" s="275">
        <v>0.88</v>
      </c>
      <c r="E173" s="275">
        <v>226</v>
      </c>
      <c r="F173" s="275">
        <v>1.5009999999999999</v>
      </c>
      <c r="G173" s="275"/>
    </row>
    <row r="174" spans="1:8" ht="31.5" thickTop="1" thickBot="1">
      <c r="A174" t="s">
        <v>573</v>
      </c>
      <c r="B174" s="279" t="s">
        <v>277</v>
      </c>
      <c r="C174" s="275" t="s">
        <v>278</v>
      </c>
      <c r="D174" s="275">
        <v>0.88</v>
      </c>
      <c r="E174" s="275">
        <v>213</v>
      </c>
      <c r="F174" s="275">
        <v>1.3460000000000001</v>
      </c>
      <c r="G174" s="275"/>
    </row>
    <row r="175" spans="1:8" ht="16.5" thickTop="1" thickBot="1">
      <c r="A175" t="s">
        <v>568</v>
      </c>
      <c r="B175" s="279" t="s">
        <v>289</v>
      </c>
      <c r="C175" s="275" t="s">
        <v>290</v>
      </c>
      <c r="D175" s="275">
        <v>0.88</v>
      </c>
      <c r="E175" s="275">
        <v>239</v>
      </c>
      <c r="F175" s="275">
        <v>0.81699999999999995</v>
      </c>
      <c r="G175" s="275"/>
    </row>
    <row r="176" spans="1:8" ht="16.5" thickTop="1" thickBot="1">
      <c r="A176" t="s">
        <v>569</v>
      </c>
      <c r="B176" s="279" t="s">
        <v>296</v>
      </c>
      <c r="C176" s="275" t="s">
        <v>297</v>
      </c>
      <c r="D176" s="275">
        <v>0.88</v>
      </c>
      <c r="E176" s="275">
        <v>332</v>
      </c>
      <c r="F176" s="275">
        <v>0.98699999999999999</v>
      </c>
      <c r="G176" s="275"/>
    </row>
    <row r="177" spans="1:8" ht="15.75" thickTop="1">
      <c r="B177" s="279"/>
      <c r="C177" s="108"/>
      <c r="D177" s="109"/>
      <c r="E177" s="109"/>
      <c r="F177" s="289"/>
      <c r="G177" s="288"/>
      <c r="H177" s="135"/>
    </row>
    <row r="178" spans="1:8">
      <c r="B178" s="279"/>
      <c r="C178" s="279"/>
      <c r="D178" s="279"/>
      <c r="E178" s="279"/>
      <c r="F178" s="279"/>
      <c r="G178" s="279"/>
    </row>
    <row r="179" spans="1:8">
      <c r="B179" s="279"/>
      <c r="C179" s="279"/>
      <c r="D179" s="279"/>
      <c r="E179" s="279"/>
      <c r="F179" s="279"/>
      <c r="G179" s="279"/>
    </row>
    <row r="180" spans="1:8">
      <c r="B180" s="279"/>
      <c r="C180" s="279"/>
      <c r="D180" s="279"/>
      <c r="E180" s="279"/>
      <c r="F180" s="279"/>
      <c r="G180" s="279"/>
    </row>
    <row r="181" spans="1:8">
      <c r="B181" s="279"/>
      <c r="C181" s="279"/>
      <c r="D181" s="279"/>
      <c r="E181" s="279"/>
      <c r="F181" s="279"/>
      <c r="G181" s="279"/>
    </row>
    <row r="182" spans="1:8">
      <c r="B182" s="279"/>
      <c r="C182" s="279"/>
      <c r="D182" s="279"/>
      <c r="E182" s="279"/>
      <c r="F182" s="279"/>
      <c r="G182" s="279"/>
    </row>
    <row r="183" spans="1:8">
      <c r="B183" s="279"/>
      <c r="C183" s="279"/>
      <c r="D183" s="279"/>
      <c r="E183" s="279"/>
      <c r="F183" s="279"/>
      <c r="G183" s="279"/>
    </row>
    <row r="184" spans="1:8" ht="15.75">
      <c r="B184" s="49" t="s">
        <v>154</v>
      </c>
      <c r="C184" s="50"/>
      <c r="D184" s="50"/>
      <c r="E184" s="50"/>
      <c r="F184" s="50"/>
      <c r="G184" s="50"/>
      <c r="H184" s="20" t="s">
        <v>147</v>
      </c>
    </row>
    <row r="185" spans="1:8" s="218" customFormat="1" ht="26.25">
      <c r="B185" s="219"/>
      <c r="C185" s="220"/>
      <c r="D185" s="220" t="s">
        <v>581</v>
      </c>
      <c r="E185" s="220" t="s">
        <v>582</v>
      </c>
      <c r="F185" s="220" t="s">
        <v>583</v>
      </c>
      <c r="G185" s="220"/>
      <c r="H185" s="57"/>
    </row>
    <row r="186" spans="1:8" ht="30.75" thickBot="1">
      <c r="B186" s="279" t="s">
        <v>160</v>
      </c>
      <c r="C186" s="275" t="s">
        <v>166</v>
      </c>
      <c r="D186" s="275" t="s">
        <v>161</v>
      </c>
      <c r="E186" s="275" t="s">
        <v>162</v>
      </c>
      <c r="F186" s="275" t="s">
        <v>163</v>
      </c>
      <c r="G186" s="275" t="s">
        <v>164</v>
      </c>
    </row>
    <row r="187" spans="1:8" ht="16.5" thickTop="1" thickBot="1">
      <c r="A187" t="s">
        <v>577</v>
      </c>
      <c r="B187" s="279" t="s">
        <v>183</v>
      </c>
      <c r="C187" s="275" t="s">
        <v>136</v>
      </c>
      <c r="D187" s="275">
        <v>0.88</v>
      </c>
      <c r="E187" s="275">
        <v>225.6</v>
      </c>
      <c r="F187" s="275">
        <v>3.2549999999999999</v>
      </c>
      <c r="G187" s="275"/>
    </row>
    <row r="188" spans="1:8" ht="16.5" thickTop="1" thickBot="1">
      <c r="A188" t="s">
        <v>578</v>
      </c>
      <c r="B188" s="279" t="s">
        <v>201</v>
      </c>
      <c r="C188" s="275" t="s">
        <v>137</v>
      </c>
      <c r="D188" s="275">
        <v>0.88</v>
      </c>
      <c r="E188" s="275">
        <v>230.5</v>
      </c>
      <c r="F188" s="275">
        <v>3.327</v>
      </c>
      <c r="G188" s="275"/>
    </row>
    <row r="189" spans="1:8" ht="16.5" thickTop="1" thickBot="1">
      <c r="A189" t="s">
        <v>579</v>
      </c>
      <c r="B189" s="279" t="s">
        <v>211</v>
      </c>
      <c r="C189" s="275" t="s">
        <v>138</v>
      </c>
      <c r="D189" s="275">
        <v>0.88</v>
      </c>
      <c r="E189" s="275">
        <v>199</v>
      </c>
      <c r="F189" s="275">
        <v>2.8693</v>
      </c>
      <c r="G189" s="275"/>
    </row>
    <row r="190" spans="1:8" ht="16.5" thickTop="1" thickBot="1">
      <c r="A190" t="s">
        <v>580</v>
      </c>
      <c r="B190" s="279" t="s">
        <v>221</v>
      </c>
      <c r="C190" s="275" t="s">
        <v>139</v>
      </c>
      <c r="D190" s="275">
        <v>0.88</v>
      </c>
      <c r="E190" s="275">
        <v>204</v>
      </c>
      <c r="F190" s="275">
        <v>2.9414000000000002</v>
      </c>
      <c r="G190" s="275"/>
    </row>
    <row r="191" spans="1:8" ht="15.75" thickTop="1">
      <c r="B191" s="107"/>
      <c r="C191" s="108"/>
      <c r="D191" s="109"/>
      <c r="E191" s="109"/>
      <c r="F191" s="289"/>
      <c r="G191" s="288"/>
    </row>
    <row r="192" spans="1:8">
      <c r="B192" s="107"/>
      <c r="C192" s="108"/>
      <c r="D192" s="109"/>
      <c r="E192" s="109"/>
      <c r="F192" s="289"/>
      <c r="G192" s="288"/>
    </row>
    <row r="193" spans="1:8">
      <c r="B193" s="107"/>
      <c r="C193" s="108"/>
      <c r="D193" s="109"/>
      <c r="E193" s="109"/>
      <c r="F193" s="289"/>
      <c r="G193" s="288"/>
    </row>
    <row r="194" spans="1:8">
      <c r="B194" s="107"/>
      <c r="C194" s="108"/>
      <c r="D194" s="109"/>
      <c r="E194" s="109"/>
      <c r="F194" s="289"/>
      <c r="G194" s="288"/>
    </row>
    <row r="195" spans="1:8">
      <c r="B195" s="107"/>
      <c r="C195" s="108"/>
      <c r="D195" s="109"/>
      <c r="E195" s="109"/>
      <c r="F195" s="289"/>
      <c r="G195" s="288"/>
    </row>
    <row r="196" spans="1:8">
      <c r="B196" s="107"/>
      <c r="C196" s="108"/>
      <c r="D196" s="109"/>
      <c r="E196" s="109"/>
      <c r="F196" s="289"/>
      <c r="G196" s="288"/>
    </row>
    <row r="197" spans="1:8">
      <c r="B197" s="107"/>
      <c r="C197" s="108"/>
      <c r="D197" s="109"/>
      <c r="E197" s="109"/>
      <c r="F197" s="289"/>
      <c r="G197" s="288"/>
    </row>
    <row r="198" spans="1:8">
      <c r="B198" s="107"/>
      <c r="C198" s="108"/>
      <c r="D198" s="109"/>
      <c r="E198" s="109"/>
      <c r="F198" s="289"/>
      <c r="G198" s="288"/>
    </row>
    <row r="199" spans="1:8">
      <c r="B199" s="107"/>
      <c r="C199" s="108"/>
      <c r="D199" s="109"/>
      <c r="E199" s="109"/>
      <c r="F199" s="289"/>
      <c r="G199" s="288"/>
    </row>
    <row r="200" spans="1:8">
      <c r="B200" s="107"/>
      <c r="C200" s="108"/>
      <c r="D200" s="109"/>
      <c r="E200" s="109"/>
      <c r="F200" s="289"/>
      <c r="G200" s="288"/>
    </row>
    <row r="201" spans="1:8" ht="15.75">
      <c r="B201" s="49" t="s">
        <v>155</v>
      </c>
      <c r="C201" s="50"/>
      <c r="D201" s="50"/>
      <c r="E201" s="50"/>
      <c r="F201" s="50"/>
      <c r="G201" s="50"/>
      <c r="H201" s="20" t="s">
        <v>147</v>
      </c>
    </row>
    <row r="202" spans="1:8" s="218" customFormat="1" ht="26.25">
      <c r="B202" s="219"/>
      <c r="C202" s="220"/>
      <c r="D202" s="220" t="s">
        <v>589</v>
      </c>
      <c r="E202" s="220" t="s">
        <v>590</v>
      </c>
      <c r="F202" s="220" t="s">
        <v>591</v>
      </c>
      <c r="G202" s="220"/>
      <c r="H202" s="57"/>
    </row>
    <row r="203" spans="1:8" ht="30.75" thickBot="1">
      <c r="B203" s="279" t="s">
        <v>160</v>
      </c>
      <c r="C203" s="276" t="s">
        <v>166</v>
      </c>
      <c r="D203" s="276" t="s">
        <v>161</v>
      </c>
      <c r="E203" s="276" t="s">
        <v>162</v>
      </c>
      <c r="F203" s="276" t="s">
        <v>163</v>
      </c>
      <c r="G203" s="276" t="s">
        <v>164</v>
      </c>
      <c r="H203" s="1"/>
    </row>
    <row r="204" spans="1:8" ht="31.5" thickTop="1" thickBot="1">
      <c r="A204" t="s">
        <v>584</v>
      </c>
      <c r="B204" s="279" t="s">
        <v>184</v>
      </c>
      <c r="C204" s="275" t="s">
        <v>124</v>
      </c>
      <c r="D204" s="275">
        <v>0.88</v>
      </c>
      <c r="E204" s="275">
        <v>753</v>
      </c>
      <c r="F204" s="275">
        <v>4.2160000000000002</v>
      </c>
      <c r="G204" s="275"/>
      <c r="H204" s="1"/>
    </row>
    <row r="205" spans="1:8" ht="31.5" thickTop="1" thickBot="1">
      <c r="A205" t="s">
        <v>586</v>
      </c>
      <c r="B205" s="279" t="s">
        <v>202</v>
      </c>
      <c r="C205" s="275" t="s">
        <v>121</v>
      </c>
      <c r="D205" s="275">
        <v>0.88</v>
      </c>
      <c r="E205" s="275">
        <v>512</v>
      </c>
      <c r="F205" s="275">
        <v>3.173</v>
      </c>
      <c r="G205" s="275"/>
      <c r="H205" s="1"/>
    </row>
    <row r="206" spans="1:8" ht="31.5" thickTop="1" thickBot="1">
      <c r="A206" t="s">
        <v>587</v>
      </c>
      <c r="B206" s="279" t="s">
        <v>212</v>
      </c>
      <c r="C206" s="275" t="s">
        <v>120</v>
      </c>
      <c r="D206" s="275">
        <v>0.88</v>
      </c>
      <c r="E206" s="275">
        <v>655</v>
      </c>
      <c r="F206" s="275">
        <v>4.0730000000000004</v>
      </c>
      <c r="G206" s="275"/>
      <c r="H206" s="1"/>
    </row>
    <row r="207" spans="1:8" ht="31.5" thickTop="1" thickBot="1">
      <c r="A207" t="s">
        <v>585</v>
      </c>
      <c r="B207" s="279" t="s">
        <v>222</v>
      </c>
      <c r="C207" s="275" t="s">
        <v>126</v>
      </c>
      <c r="D207" s="275">
        <v>0.88</v>
      </c>
      <c r="E207" s="275">
        <v>475</v>
      </c>
      <c r="F207" s="275">
        <v>3.105</v>
      </c>
      <c r="G207" s="275"/>
      <c r="H207" s="1"/>
    </row>
    <row r="208" spans="1:8" ht="16.5" thickTop="1" thickBot="1">
      <c r="A208" t="s">
        <v>588</v>
      </c>
      <c r="B208" s="279" t="s">
        <v>234</v>
      </c>
      <c r="C208" s="275" t="s">
        <v>127</v>
      </c>
      <c r="D208" s="275">
        <v>0.88</v>
      </c>
      <c r="E208" s="275">
        <v>616</v>
      </c>
      <c r="F208" s="275">
        <v>4.016</v>
      </c>
      <c r="G208" s="275"/>
      <c r="H208" s="1"/>
    </row>
    <row r="209" spans="2:8" ht="15.75" thickTop="1">
      <c r="B209" s="107"/>
      <c r="C209" s="108"/>
      <c r="D209" s="109"/>
      <c r="E209" s="109"/>
      <c r="F209" s="289"/>
      <c r="G209" s="288"/>
      <c r="H209" s="1"/>
    </row>
    <row r="210" spans="2:8">
      <c r="B210" s="107"/>
      <c r="C210" s="108"/>
      <c r="D210" s="109"/>
      <c r="E210" s="109"/>
      <c r="F210" s="289"/>
      <c r="G210" s="288"/>
      <c r="H210" s="1"/>
    </row>
    <row r="211" spans="2:8">
      <c r="B211" s="107"/>
      <c r="C211" s="108"/>
      <c r="D211" s="109"/>
      <c r="E211" s="109"/>
      <c r="F211" s="289"/>
      <c r="G211" s="288"/>
      <c r="H211" s="1"/>
    </row>
    <row r="212" spans="2:8">
      <c r="B212" s="107"/>
      <c r="C212" s="108"/>
      <c r="D212" s="109"/>
      <c r="E212" s="109"/>
      <c r="F212" s="289"/>
      <c r="G212" s="288"/>
      <c r="H212" s="1"/>
    </row>
    <row r="213" spans="2:8">
      <c r="B213" s="107"/>
      <c r="C213" s="108"/>
      <c r="D213" s="109"/>
      <c r="E213" s="109"/>
      <c r="F213" s="289"/>
      <c r="G213" s="288"/>
      <c r="H213" s="1"/>
    </row>
    <row r="214" spans="2:8">
      <c r="B214" s="107"/>
      <c r="C214" s="108"/>
      <c r="D214" s="109"/>
      <c r="E214" s="109"/>
      <c r="F214" s="289"/>
      <c r="G214" s="288"/>
      <c r="H214" s="1"/>
    </row>
    <row r="215" spans="2:8">
      <c r="B215" s="107"/>
      <c r="C215" s="108"/>
      <c r="D215" s="109"/>
      <c r="E215" s="109"/>
      <c r="F215" s="289"/>
      <c r="G215" s="288"/>
      <c r="H215" s="1"/>
    </row>
    <row r="216" spans="2:8">
      <c r="B216" s="107"/>
      <c r="C216" s="108"/>
      <c r="D216" s="109"/>
      <c r="E216" s="109"/>
      <c r="F216" s="289"/>
      <c r="G216" s="288"/>
      <c r="H216" s="1"/>
    </row>
    <row r="217" spans="2:8">
      <c r="B217" s="107"/>
      <c r="C217" s="108"/>
      <c r="D217" s="109"/>
      <c r="E217" s="109"/>
      <c r="F217" s="289"/>
      <c r="G217" s="288"/>
      <c r="H217" s="1"/>
    </row>
    <row r="218" spans="2:8">
      <c r="B218" s="107"/>
      <c r="C218" s="108"/>
      <c r="D218" s="109"/>
      <c r="E218" s="109"/>
      <c r="F218" s="289"/>
      <c r="G218" s="288"/>
      <c r="H218" s="1"/>
    </row>
    <row r="219" spans="2:8">
      <c r="B219" s="107"/>
      <c r="C219" s="108"/>
      <c r="D219" s="109"/>
      <c r="E219" s="109"/>
      <c r="F219" s="289"/>
      <c r="G219" s="288"/>
      <c r="H219" s="1"/>
    </row>
    <row r="220" spans="2:8">
      <c r="B220" s="107"/>
      <c r="C220" s="108"/>
      <c r="D220" s="109"/>
      <c r="E220" s="109"/>
      <c r="F220" s="289"/>
      <c r="G220" s="288"/>
      <c r="H220" s="1"/>
    </row>
    <row r="222" spans="2:8" outlineLevel="1">
      <c r="B222" s="234" t="s">
        <v>148</v>
      </c>
      <c r="C222" s="234"/>
      <c r="D222" s="234"/>
      <c r="E222" s="234"/>
      <c r="F222" s="234"/>
      <c r="G222" s="234"/>
      <c r="H222" s="1"/>
    </row>
    <row r="223" spans="2:8" ht="15.75" outlineLevel="1">
      <c r="B223" s="222" t="s">
        <v>156</v>
      </c>
      <c r="C223" s="222"/>
      <c r="D223" s="222"/>
      <c r="E223" s="222"/>
      <c r="F223" s="222"/>
      <c r="G223" s="222"/>
      <c r="H223" s="1"/>
    </row>
    <row r="224" spans="2:8" ht="51" outlineLevel="1">
      <c r="B224" s="235" t="s">
        <v>171</v>
      </c>
      <c r="C224" s="235" t="s">
        <v>172</v>
      </c>
      <c r="D224" s="235" t="s">
        <v>173</v>
      </c>
      <c r="E224" s="235" t="s">
        <v>174</v>
      </c>
      <c r="F224" s="235" t="s">
        <v>175</v>
      </c>
      <c r="G224" s="235" t="s">
        <v>176</v>
      </c>
      <c r="H224" s="1"/>
    </row>
    <row r="225" spans="2:8" outlineLevel="1">
      <c r="B225" s="231" t="s">
        <v>185</v>
      </c>
      <c r="C225" s="231" t="s">
        <v>186</v>
      </c>
      <c r="D225" s="231" t="s">
        <v>187</v>
      </c>
      <c r="E225" s="231" t="s">
        <v>188</v>
      </c>
      <c r="F225" s="236" t="s">
        <v>189</v>
      </c>
      <c r="G225" s="214">
        <v>0.45</v>
      </c>
      <c r="H225" s="106"/>
    </row>
    <row r="226" spans="2:8" outlineLevel="1">
      <c r="B226" s="231" t="s">
        <v>203</v>
      </c>
      <c r="C226" s="231" t="s">
        <v>186</v>
      </c>
      <c r="D226" s="231" t="s">
        <v>187</v>
      </c>
      <c r="E226" s="231" t="s">
        <v>188</v>
      </c>
      <c r="F226" s="236" t="s">
        <v>204</v>
      </c>
      <c r="G226" s="214">
        <v>0.5</v>
      </c>
      <c r="H226" s="106"/>
    </row>
    <row r="227" spans="2:8" outlineLevel="1">
      <c r="B227" s="231" t="s">
        <v>213</v>
      </c>
      <c r="C227" s="231" t="s">
        <v>186</v>
      </c>
      <c r="D227" s="231" t="s">
        <v>187</v>
      </c>
      <c r="E227" s="231" t="s">
        <v>188</v>
      </c>
      <c r="F227" s="236" t="s">
        <v>214</v>
      </c>
      <c r="G227" s="214">
        <v>0.55000000000000004</v>
      </c>
      <c r="H227" s="106"/>
    </row>
    <row r="228" spans="2:8" outlineLevel="1">
      <c r="B228" s="231" t="s">
        <v>223</v>
      </c>
      <c r="C228" s="231" t="s">
        <v>186</v>
      </c>
      <c r="D228" s="231" t="s">
        <v>224</v>
      </c>
      <c r="E228" s="231" t="s">
        <v>225</v>
      </c>
      <c r="F228" s="236" t="s">
        <v>226</v>
      </c>
      <c r="G228" s="214">
        <v>0.55000000000000004</v>
      </c>
      <c r="H228" s="106"/>
    </row>
    <row r="229" spans="2:8" outlineLevel="1">
      <c r="B229" s="231" t="s">
        <v>23</v>
      </c>
      <c r="C229" s="231" t="s">
        <v>186</v>
      </c>
      <c r="D229" s="231" t="s">
        <v>224</v>
      </c>
      <c r="E229" s="231" t="s">
        <v>225</v>
      </c>
      <c r="F229" s="236" t="s">
        <v>235</v>
      </c>
      <c r="G229" s="214">
        <v>0.6</v>
      </c>
      <c r="H229" s="106"/>
    </row>
    <row r="230" spans="2:8" outlineLevel="1">
      <c r="B230" s="231" t="s">
        <v>116</v>
      </c>
      <c r="C230" s="231" t="s">
        <v>186</v>
      </c>
      <c r="D230" s="231" t="s">
        <v>224</v>
      </c>
      <c r="E230" s="231" t="s">
        <v>225</v>
      </c>
      <c r="F230" s="236" t="s">
        <v>243</v>
      </c>
      <c r="G230" s="214">
        <v>0.65</v>
      </c>
      <c r="H230" s="106"/>
    </row>
    <row r="231" spans="2:8" outlineLevel="1">
      <c r="B231" s="231" t="s">
        <v>250</v>
      </c>
      <c r="C231" s="231" t="s">
        <v>186</v>
      </c>
      <c r="D231" s="231" t="s">
        <v>224</v>
      </c>
      <c r="E231" s="231" t="s">
        <v>251</v>
      </c>
      <c r="F231" s="236" t="s">
        <v>252</v>
      </c>
      <c r="G231" s="214">
        <v>0.65</v>
      </c>
      <c r="H231" s="106"/>
    </row>
    <row r="232" spans="2:8" outlineLevel="1">
      <c r="B232" s="231" t="s">
        <v>262</v>
      </c>
      <c r="C232" s="231" t="s">
        <v>186</v>
      </c>
      <c r="D232" s="231" t="s">
        <v>224</v>
      </c>
      <c r="E232" s="231" t="s">
        <v>251</v>
      </c>
      <c r="F232" s="236" t="s">
        <v>263</v>
      </c>
      <c r="G232" s="214">
        <v>0.7</v>
      </c>
      <c r="H232" s="106"/>
    </row>
    <row r="233" spans="2:8" outlineLevel="1">
      <c r="B233" s="231" t="s">
        <v>123</v>
      </c>
      <c r="C233" s="231" t="s">
        <v>186</v>
      </c>
      <c r="D233" s="231" t="s">
        <v>224</v>
      </c>
      <c r="E233" s="231" t="s">
        <v>251</v>
      </c>
      <c r="F233" s="236" t="s">
        <v>270</v>
      </c>
      <c r="G233" s="214">
        <v>0.75</v>
      </c>
      <c r="H233" s="106"/>
    </row>
    <row r="234" spans="2:8" outlineLevel="1">
      <c r="B234" s="231" t="s">
        <v>279</v>
      </c>
      <c r="C234" s="231" t="s">
        <v>186</v>
      </c>
      <c r="D234" s="231" t="s">
        <v>280</v>
      </c>
      <c r="E234" s="231" t="s">
        <v>281</v>
      </c>
      <c r="F234" s="236" t="s">
        <v>282</v>
      </c>
      <c r="G234" s="214">
        <v>0.75</v>
      </c>
      <c r="H234" s="106"/>
    </row>
    <row r="235" spans="2:8" outlineLevel="1">
      <c r="B235" s="231" t="s">
        <v>118</v>
      </c>
      <c r="C235" s="231" t="s">
        <v>186</v>
      </c>
      <c r="D235" s="231" t="s">
        <v>280</v>
      </c>
      <c r="E235" s="231" t="s">
        <v>281</v>
      </c>
      <c r="F235" s="236" t="s">
        <v>291</v>
      </c>
      <c r="G235" s="214">
        <v>0.8</v>
      </c>
      <c r="H235" s="106"/>
    </row>
    <row r="236" spans="2:8" outlineLevel="1">
      <c r="B236" s="231" t="s">
        <v>298</v>
      </c>
      <c r="C236" s="231" t="s">
        <v>186</v>
      </c>
      <c r="D236" s="231" t="s">
        <v>280</v>
      </c>
      <c r="E236" s="231" t="s">
        <v>281</v>
      </c>
      <c r="F236" s="236" t="s">
        <v>299</v>
      </c>
      <c r="G236" s="214">
        <v>0.85</v>
      </c>
      <c r="H236" s="106"/>
    </row>
    <row r="237" spans="2:8" outlineLevel="1">
      <c r="B237" s="231" t="s">
        <v>32</v>
      </c>
      <c r="C237" s="231" t="s">
        <v>32</v>
      </c>
      <c r="D237" s="231"/>
      <c r="E237" s="231"/>
      <c r="F237" s="236"/>
      <c r="G237" s="214"/>
      <c r="H237" s="106"/>
    </row>
    <row r="238" spans="2:8" outlineLevel="1">
      <c r="B238" s="231"/>
      <c r="C238" s="231"/>
      <c r="D238" s="231"/>
      <c r="E238" s="231"/>
      <c r="F238" s="236"/>
      <c r="G238" s="214"/>
      <c r="H238" s="1"/>
    </row>
    <row r="239" spans="2:8" outlineLevel="1">
      <c r="B239" s="231"/>
      <c r="C239" s="231"/>
      <c r="D239" s="231"/>
      <c r="E239" s="231"/>
      <c r="F239" s="236"/>
      <c r="G239" s="214"/>
      <c r="H239" s="1"/>
    </row>
    <row r="240" spans="2:8" outlineLevel="1">
      <c r="B240" s="231"/>
      <c r="C240" s="231"/>
      <c r="D240" s="231"/>
      <c r="E240" s="231"/>
      <c r="F240" s="236"/>
      <c r="G240" s="214"/>
      <c r="H240" s="1"/>
    </row>
    <row r="241" spans="2:8" outlineLevel="1">
      <c r="B241" s="231"/>
      <c r="C241" s="231"/>
      <c r="D241" s="231"/>
      <c r="E241" s="231"/>
      <c r="F241" s="236"/>
      <c r="G241" s="214"/>
      <c r="H241" s="1"/>
    </row>
    <row r="242" spans="2:8" outlineLevel="1">
      <c r="B242" s="113"/>
      <c r="C242" s="113"/>
      <c r="D242" s="113"/>
      <c r="E242" s="114"/>
      <c r="F242" s="115"/>
      <c r="G242" s="116"/>
      <c r="H242" s="1"/>
    </row>
    <row r="243" spans="2:8" outlineLevel="1">
      <c r="B243" s="113"/>
      <c r="C243" s="113"/>
      <c r="D243" s="113"/>
      <c r="E243" s="114"/>
      <c r="F243" s="115"/>
      <c r="G243" s="116"/>
      <c r="H243" s="1"/>
    </row>
    <row r="244" spans="2:8" outlineLevel="1">
      <c r="B244" s="113"/>
      <c r="C244" s="113"/>
      <c r="D244" s="113"/>
      <c r="E244" s="114"/>
      <c r="F244" s="115"/>
      <c r="G244" s="116"/>
      <c r="H244" s="1"/>
    </row>
    <row r="245" spans="2:8" outlineLevel="1">
      <c r="B245" s="113"/>
      <c r="C245" s="113"/>
      <c r="D245" s="113"/>
      <c r="E245" s="114"/>
      <c r="F245" s="115"/>
      <c r="G245" s="116"/>
      <c r="H245" s="1"/>
    </row>
    <row r="246" spans="2:8" outlineLevel="1">
      <c r="B246" s="113"/>
      <c r="C246" s="113"/>
      <c r="D246" s="113"/>
      <c r="E246" s="114"/>
      <c r="F246" s="115"/>
      <c r="G246" s="116"/>
      <c r="H246" s="1"/>
    </row>
    <row r="247" spans="2:8" outlineLevel="1">
      <c r="B247" s="113"/>
      <c r="C247" s="113"/>
      <c r="D247" s="113"/>
      <c r="E247" s="114"/>
      <c r="F247" s="115"/>
      <c r="G247" s="116"/>
      <c r="H247" s="1"/>
    </row>
    <row r="248" spans="2:8" outlineLevel="1">
      <c r="B248" s="113"/>
      <c r="C248" s="113"/>
      <c r="D248" s="113"/>
      <c r="E248" s="114"/>
      <c r="F248" s="115"/>
      <c r="G248" s="116"/>
      <c r="H248" s="1"/>
    </row>
    <row r="249" spans="2:8" outlineLevel="1">
      <c r="B249" s="1"/>
      <c r="C249" s="1"/>
      <c r="D249" s="1"/>
      <c r="E249" s="1"/>
      <c r="F249" s="1"/>
      <c r="G249" s="1"/>
      <c r="H249" s="1"/>
    </row>
    <row r="250" spans="2:8" outlineLevel="1">
      <c r="B250" s="1"/>
      <c r="C250" s="1"/>
      <c r="D250" s="1"/>
      <c r="E250" s="1"/>
      <c r="F250" s="1"/>
      <c r="G250" s="1"/>
      <c r="H250" s="1"/>
    </row>
    <row r="251" spans="2:8" outlineLevel="1">
      <c r="B251" s="234" t="s">
        <v>148</v>
      </c>
      <c r="C251" s="234"/>
      <c r="D251" s="234"/>
      <c r="E251" s="234"/>
      <c r="F251" s="234"/>
      <c r="G251" s="234"/>
      <c r="H251" s="234"/>
    </row>
    <row r="252" spans="2:8" ht="15.75" outlineLevel="1">
      <c r="B252" s="222" t="s">
        <v>157</v>
      </c>
      <c r="C252" s="237"/>
      <c r="D252" s="223"/>
      <c r="E252" s="223"/>
      <c r="F252" s="223"/>
      <c r="G252" s="223"/>
      <c r="H252" s="234"/>
    </row>
    <row r="253" spans="2:8" ht="51" outlineLevel="1">
      <c r="B253" s="235" t="s">
        <v>171</v>
      </c>
      <c r="C253" s="235" t="s">
        <v>172</v>
      </c>
      <c r="D253" s="235" t="s">
        <v>173</v>
      </c>
      <c r="E253" s="235" t="s">
        <v>174</v>
      </c>
      <c r="F253" s="235" t="s">
        <v>175</v>
      </c>
      <c r="G253" s="235" t="s">
        <v>176</v>
      </c>
      <c r="H253" s="234"/>
    </row>
    <row r="254" spans="2:8" outlineLevel="1">
      <c r="B254" s="231" t="str">
        <f t="shared" ref="B254:B263" si="1">CONCATENATE(D254,"-",E254,"-",F254)</f>
        <v>mature swine-confinement-low DE</v>
      </c>
      <c r="C254" s="231" t="s">
        <v>78</v>
      </c>
      <c r="D254" s="231" t="s">
        <v>190</v>
      </c>
      <c r="E254" s="231" t="s">
        <v>191</v>
      </c>
      <c r="F254" s="236" t="s">
        <v>192</v>
      </c>
      <c r="G254" s="214">
        <v>0.7</v>
      </c>
      <c r="H254" s="234"/>
    </row>
    <row r="255" spans="2:8" outlineLevel="1">
      <c r="B255" s="231" t="str">
        <f t="shared" si="1"/>
        <v>mature swine-confinement-medium DE</v>
      </c>
      <c r="C255" s="231" t="s">
        <v>78</v>
      </c>
      <c r="D255" s="231" t="s">
        <v>190</v>
      </c>
      <c r="E255" s="231" t="s">
        <v>191</v>
      </c>
      <c r="F255" s="236" t="s">
        <v>205</v>
      </c>
      <c r="G255" s="214">
        <v>0.75</v>
      </c>
      <c r="H255" s="234"/>
    </row>
    <row r="256" spans="2:8" outlineLevel="1">
      <c r="B256" s="231" t="str">
        <f t="shared" si="1"/>
        <v>mature swine-confinement-high DE</v>
      </c>
      <c r="C256" s="231" t="s">
        <v>78</v>
      </c>
      <c r="D256" s="231" t="s">
        <v>190</v>
      </c>
      <c r="E256" s="231" t="s">
        <v>191</v>
      </c>
      <c r="F256" s="236" t="s">
        <v>215</v>
      </c>
      <c r="G256" s="214">
        <v>0.8</v>
      </c>
      <c r="H256" s="234"/>
    </row>
    <row r="257" spans="2:8" outlineLevel="1">
      <c r="B257" s="231" t="str">
        <f t="shared" si="1"/>
        <v>growing swine-confinement-low DE</v>
      </c>
      <c r="C257" s="231" t="s">
        <v>78</v>
      </c>
      <c r="D257" s="231" t="s">
        <v>227</v>
      </c>
      <c r="E257" s="231" t="s">
        <v>191</v>
      </c>
      <c r="F257" s="236" t="s">
        <v>192</v>
      </c>
      <c r="G257" s="214">
        <v>0.8</v>
      </c>
      <c r="H257" s="234"/>
    </row>
    <row r="258" spans="2:8" outlineLevel="1">
      <c r="B258" s="231" t="str">
        <f t="shared" si="1"/>
        <v>growing swine-confinement-medium DE</v>
      </c>
      <c r="C258" s="231" t="s">
        <v>78</v>
      </c>
      <c r="D258" s="231" t="s">
        <v>227</v>
      </c>
      <c r="E258" s="231" t="s">
        <v>191</v>
      </c>
      <c r="F258" s="236" t="s">
        <v>205</v>
      </c>
      <c r="G258" s="214">
        <v>0.85</v>
      </c>
      <c r="H258" s="234"/>
    </row>
    <row r="259" spans="2:8" outlineLevel="1">
      <c r="B259" s="231" t="str">
        <f t="shared" si="1"/>
        <v>growing swine-confinement-high DE</v>
      </c>
      <c r="C259" s="231" t="s">
        <v>78</v>
      </c>
      <c r="D259" s="231" t="s">
        <v>227</v>
      </c>
      <c r="E259" s="231" t="s">
        <v>191</v>
      </c>
      <c r="F259" s="236" t="s">
        <v>215</v>
      </c>
      <c r="G259" s="214">
        <v>0.9</v>
      </c>
      <c r="H259" s="234"/>
    </row>
    <row r="260" spans="2:8" outlineLevel="1">
      <c r="B260" s="231" t="str">
        <f t="shared" si="1"/>
        <v>swine-free-range-very low DE</v>
      </c>
      <c r="C260" s="231" t="s">
        <v>78</v>
      </c>
      <c r="D260" s="231" t="s">
        <v>253</v>
      </c>
      <c r="E260" s="231" t="s">
        <v>254</v>
      </c>
      <c r="F260" s="236" t="s">
        <v>189</v>
      </c>
      <c r="G260" s="214">
        <v>0.5</v>
      </c>
      <c r="H260" s="234"/>
    </row>
    <row r="261" spans="2:8" outlineLevel="1">
      <c r="B261" s="231" t="str">
        <f t="shared" si="1"/>
        <v>swine-free-range-low DE</v>
      </c>
      <c r="C261" s="231" t="s">
        <v>78</v>
      </c>
      <c r="D261" s="231" t="s">
        <v>253</v>
      </c>
      <c r="E261" s="231" t="s">
        <v>254</v>
      </c>
      <c r="F261" s="236" t="s">
        <v>192</v>
      </c>
      <c r="G261" s="214">
        <v>0.6</v>
      </c>
      <c r="H261" s="234"/>
    </row>
    <row r="262" spans="2:8" outlineLevel="1">
      <c r="B262" s="231" t="str">
        <f t="shared" si="1"/>
        <v>swine-free-range-medium DE</v>
      </c>
      <c r="C262" s="231" t="s">
        <v>78</v>
      </c>
      <c r="D262" s="231" t="s">
        <v>253</v>
      </c>
      <c r="E262" s="231" t="s">
        <v>254</v>
      </c>
      <c r="F262" s="236" t="s">
        <v>205</v>
      </c>
      <c r="G262" s="214">
        <v>0.65</v>
      </c>
      <c r="H262" s="234"/>
    </row>
    <row r="263" spans="2:8" outlineLevel="1">
      <c r="B263" s="231" t="str">
        <f t="shared" si="1"/>
        <v>swine-free-range-like confinement DE</v>
      </c>
      <c r="C263" s="231" t="s">
        <v>78</v>
      </c>
      <c r="D263" s="231" t="s">
        <v>253</v>
      </c>
      <c r="E263" s="231" t="s">
        <v>254</v>
      </c>
      <c r="F263" s="236" t="s">
        <v>283</v>
      </c>
      <c r="G263" s="214">
        <v>0.75</v>
      </c>
      <c r="H263" s="234"/>
    </row>
    <row r="264" spans="2:8" outlineLevel="1">
      <c r="B264" s="231" t="s">
        <v>32</v>
      </c>
      <c r="C264" s="231" t="s">
        <v>32</v>
      </c>
      <c r="D264" s="231"/>
      <c r="E264" s="231"/>
      <c r="F264" s="236"/>
      <c r="G264" s="214"/>
      <c r="H264" s="234"/>
    </row>
    <row r="265" spans="2:8" outlineLevel="1">
      <c r="B265" s="231"/>
      <c r="C265" s="231"/>
      <c r="D265" s="231"/>
      <c r="E265" s="231"/>
      <c r="F265" s="236"/>
      <c r="G265" s="214"/>
      <c r="H265" s="234"/>
    </row>
    <row r="266" spans="2:8" outlineLevel="1">
      <c r="B266" s="231"/>
      <c r="C266" s="231"/>
      <c r="D266" s="231"/>
      <c r="E266" s="231"/>
      <c r="F266" s="236"/>
      <c r="G266" s="214"/>
      <c r="H266" s="234"/>
    </row>
    <row r="267" spans="2:8" outlineLevel="1">
      <c r="B267" s="231"/>
      <c r="C267" s="231"/>
      <c r="D267" s="231"/>
      <c r="E267" s="231"/>
      <c r="F267" s="236"/>
      <c r="G267" s="214"/>
      <c r="H267" s="234"/>
    </row>
    <row r="268" spans="2:8" outlineLevel="1">
      <c r="B268" s="231"/>
      <c r="C268" s="231"/>
      <c r="D268" s="231"/>
      <c r="E268" s="231"/>
      <c r="F268" s="236"/>
      <c r="G268" s="214"/>
      <c r="H268" s="234"/>
    </row>
    <row r="269" spans="2:8" outlineLevel="1">
      <c r="B269" s="231"/>
      <c r="C269" s="231"/>
      <c r="D269" s="231"/>
      <c r="E269" s="231"/>
      <c r="F269" s="236"/>
      <c r="G269" s="214"/>
      <c r="H269" s="234"/>
    </row>
    <row r="270" spans="2:8" outlineLevel="1">
      <c r="B270" s="231"/>
      <c r="C270" s="231"/>
      <c r="D270" s="231"/>
      <c r="E270" s="231"/>
      <c r="F270" s="236"/>
      <c r="G270" s="214"/>
      <c r="H270" s="234"/>
    </row>
    <row r="271" spans="2:8" outlineLevel="1">
      <c r="B271" s="231"/>
      <c r="C271" s="231"/>
      <c r="D271" s="231"/>
      <c r="E271" s="231"/>
      <c r="F271" s="236"/>
      <c r="G271" s="214"/>
      <c r="H271" s="234"/>
    </row>
    <row r="272" spans="2:8" outlineLevel="1">
      <c r="B272" s="231"/>
      <c r="C272" s="231"/>
      <c r="D272" s="231"/>
      <c r="E272" s="231"/>
      <c r="F272" s="236"/>
      <c r="G272" s="214"/>
      <c r="H272" s="234"/>
    </row>
    <row r="273" spans="2:8" outlineLevel="1">
      <c r="B273" s="231"/>
      <c r="C273" s="231"/>
      <c r="D273" s="231"/>
      <c r="E273" s="231"/>
      <c r="F273" s="236"/>
      <c r="G273" s="214"/>
      <c r="H273" s="234"/>
    </row>
    <row r="274" spans="2:8" outlineLevel="1">
      <c r="B274" s="231"/>
      <c r="C274" s="231"/>
      <c r="D274" s="231"/>
      <c r="E274" s="231"/>
      <c r="F274" s="236"/>
      <c r="G274" s="214"/>
      <c r="H274" s="234"/>
    </row>
    <row r="275" spans="2:8" outlineLevel="1">
      <c r="B275" s="231"/>
      <c r="C275" s="231"/>
      <c r="D275" s="231"/>
      <c r="E275" s="231"/>
      <c r="F275" s="236"/>
      <c r="G275" s="214"/>
      <c r="H275" s="234"/>
    </row>
    <row r="276" spans="2:8" outlineLevel="1">
      <c r="B276" s="231" t="str">
        <f>CONCATENATE(D276,"-",E276,"-",F276)</f>
        <v>default value-free-range-</v>
      </c>
      <c r="C276" s="231" t="s">
        <v>78</v>
      </c>
      <c r="D276" s="231" t="s">
        <v>328</v>
      </c>
      <c r="E276" s="231" t="s">
        <v>254</v>
      </c>
      <c r="F276" s="236"/>
      <c r="G276" s="214">
        <v>0.7</v>
      </c>
      <c r="H276" s="234"/>
    </row>
    <row r="277" spans="2:8" outlineLevel="1">
      <c r="B277" s="231" t="str">
        <f>CONCATENATE(D277,"-",E277,"-",F277)</f>
        <v>default value-confinement-</v>
      </c>
      <c r="C277" s="231" t="s">
        <v>78</v>
      </c>
      <c r="D277" s="231" t="s">
        <v>328</v>
      </c>
      <c r="E277" s="231" t="s">
        <v>191</v>
      </c>
      <c r="F277" s="236"/>
      <c r="G277" s="214">
        <v>0.88</v>
      </c>
      <c r="H277" s="234"/>
    </row>
    <row r="278" spans="2:8" outlineLevel="1">
      <c r="B278" s="234"/>
      <c r="C278" s="234"/>
      <c r="D278" s="234"/>
      <c r="E278" s="234"/>
      <c r="F278" s="234"/>
      <c r="G278" s="234"/>
      <c r="H278" s="234"/>
    </row>
    <row r="279" spans="2:8" outlineLevel="1">
      <c r="B279" s="234"/>
      <c r="C279" s="234"/>
      <c r="D279" s="234"/>
      <c r="E279" s="234"/>
      <c r="F279" s="234"/>
      <c r="G279" s="234"/>
      <c r="H279" s="234"/>
    </row>
    <row r="280" spans="2:8" outlineLevel="1">
      <c r="B280" s="234" t="s">
        <v>148</v>
      </c>
      <c r="C280" s="234"/>
      <c r="D280" s="234"/>
      <c r="E280" s="234"/>
      <c r="F280" s="234"/>
      <c r="G280" s="234"/>
      <c r="H280" s="234"/>
    </row>
    <row r="281" spans="2:8" ht="15.75" outlineLevel="1">
      <c r="B281" s="222" t="s">
        <v>158</v>
      </c>
      <c r="C281" s="237"/>
      <c r="D281" s="223"/>
      <c r="E281" s="223"/>
      <c r="F281" s="223"/>
      <c r="G281" s="223"/>
      <c r="H281" s="234"/>
    </row>
    <row r="282" spans="2:8" ht="51" outlineLevel="1">
      <c r="B282" s="235" t="s">
        <v>171</v>
      </c>
      <c r="C282" s="235" t="s">
        <v>172</v>
      </c>
      <c r="D282" s="235" t="s">
        <v>173</v>
      </c>
      <c r="E282" s="235" t="s">
        <v>174</v>
      </c>
      <c r="F282" s="235" t="s">
        <v>175</v>
      </c>
      <c r="G282" s="235" t="s">
        <v>176</v>
      </c>
      <c r="H282" s="234"/>
    </row>
    <row r="283" spans="2:8" outlineLevel="1">
      <c r="B283" s="231" t="str">
        <f t="shared" ref="B283:B298" si="2">CONCATENATE(D283,"-",E283,"-",F283)</f>
        <v>Layer hens-confinement-low DE</v>
      </c>
      <c r="C283" s="231" t="s">
        <v>193</v>
      </c>
      <c r="D283" s="231" t="s">
        <v>194</v>
      </c>
      <c r="E283" s="231" t="s">
        <v>191</v>
      </c>
      <c r="F283" s="236" t="s">
        <v>192</v>
      </c>
      <c r="G283" s="214">
        <v>0.7</v>
      </c>
      <c r="H283" s="234"/>
    </row>
    <row r="284" spans="2:8" outlineLevel="1">
      <c r="B284" s="231" t="str">
        <f t="shared" si="2"/>
        <v>Layer hens-confinement-medium DE</v>
      </c>
      <c r="C284" s="231" t="s">
        <v>193</v>
      </c>
      <c r="D284" s="231" t="s">
        <v>194</v>
      </c>
      <c r="E284" s="231" t="s">
        <v>191</v>
      </c>
      <c r="F284" s="236" t="s">
        <v>205</v>
      </c>
      <c r="G284" s="214">
        <v>0.75</v>
      </c>
      <c r="H284" s="234"/>
    </row>
    <row r="285" spans="2:8" outlineLevel="1">
      <c r="B285" s="231" t="str">
        <f t="shared" si="2"/>
        <v>Layer hens-confinement-high DE</v>
      </c>
      <c r="C285" s="231" t="s">
        <v>193</v>
      </c>
      <c r="D285" s="231" t="s">
        <v>194</v>
      </c>
      <c r="E285" s="231" t="s">
        <v>191</v>
      </c>
      <c r="F285" s="236" t="s">
        <v>215</v>
      </c>
      <c r="G285" s="214">
        <v>0.8</v>
      </c>
      <c r="H285" s="234"/>
    </row>
    <row r="286" spans="2:8" outlineLevel="1">
      <c r="B286" s="231" t="str">
        <f t="shared" si="2"/>
        <v>broiler chickens-confinement-low DE</v>
      </c>
      <c r="C286" s="231" t="s">
        <v>193</v>
      </c>
      <c r="D286" s="231" t="s">
        <v>228</v>
      </c>
      <c r="E286" s="231" t="s">
        <v>191</v>
      </c>
      <c r="F286" s="236" t="s">
        <v>192</v>
      </c>
      <c r="G286" s="214">
        <v>0.85</v>
      </c>
      <c r="H286" s="234"/>
    </row>
    <row r="287" spans="2:8" outlineLevel="1">
      <c r="B287" s="231" t="str">
        <f t="shared" si="2"/>
        <v>broiler chickens-confinement-medium DE</v>
      </c>
      <c r="C287" s="231" t="s">
        <v>193</v>
      </c>
      <c r="D287" s="231" t="s">
        <v>228</v>
      </c>
      <c r="E287" s="231" t="s">
        <v>191</v>
      </c>
      <c r="F287" s="236" t="s">
        <v>205</v>
      </c>
      <c r="G287" s="214">
        <v>0.87</v>
      </c>
      <c r="H287" s="234"/>
    </row>
    <row r="288" spans="2:8" outlineLevel="1">
      <c r="B288" s="231" t="str">
        <f t="shared" si="2"/>
        <v>broiler chickens-confinement-high DE</v>
      </c>
      <c r="C288" s="231" t="s">
        <v>193</v>
      </c>
      <c r="D288" s="231" t="s">
        <v>228</v>
      </c>
      <c r="E288" s="231" t="s">
        <v>191</v>
      </c>
      <c r="F288" s="236" t="s">
        <v>215</v>
      </c>
      <c r="G288" s="214">
        <v>0.93</v>
      </c>
      <c r="H288" s="234"/>
    </row>
    <row r="289" spans="2:8" outlineLevel="1">
      <c r="B289" s="231" t="str">
        <f t="shared" si="2"/>
        <v>turkeys-confinement-low DE</v>
      </c>
      <c r="C289" s="231" t="s">
        <v>193</v>
      </c>
      <c r="D289" s="231" t="s">
        <v>255</v>
      </c>
      <c r="E289" s="231" t="s">
        <v>191</v>
      </c>
      <c r="F289" s="236" t="s">
        <v>192</v>
      </c>
      <c r="G289" s="214">
        <v>0.85</v>
      </c>
      <c r="H289" s="234"/>
    </row>
    <row r="290" spans="2:8" outlineLevel="1">
      <c r="B290" s="231" t="str">
        <f t="shared" si="2"/>
        <v>turkeys-confinement-medium DE</v>
      </c>
      <c r="C290" s="231" t="s">
        <v>193</v>
      </c>
      <c r="D290" s="231" t="s">
        <v>255</v>
      </c>
      <c r="E290" s="231" t="s">
        <v>191</v>
      </c>
      <c r="F290" s="236" t="s">
        <v>205</v>
      </c>
      <c r="G290" s="214">
        <v>0.87</v>
      </c>
      <c r="H290" s="234"/>
    </row>
    <row r="291" spans="2:8" outlineLevel="1">
      <c r="B291" s="231" t="str">
        <f t="shared" si="2"/>
        <v>turkeys-confinement-high DE</v>
      </c>
      <c r="C291" s="231" t="s">
        <v>193</v>
      </c>
      <c r="D291" s="231" t="s">
        <v>255</v>
      </c>
      <c r="E291" s="231" t="s">
        <v>191</v>
      </c>
      <c r="F291" s="236" t="s">
        <v>215</v>
      </c>
      <c r="G291" s="214">
        <v>0.93</v>
      </c>
      <c r="H291" s="234"/>
    </row>
    <row r="292" spans="2:8" outlineLevel="1">
      <c r="B292" s="231" t="str">
        <f t="shared" si="2"/>
        <v>Geese-confinement-low DE</v>
      </c>
      <c r="C292" s="231" t="s">
        <v>193</v>
      </c>
      <c r="D292" s="231" t="s">
        <v>284</v>
      </c>
      <c r="E292" s="231" t="s">
        <v>191</v>
      </c>
      <c r="F292" s="236" t="s">
        <v>192</v>
      </c>
      <c r="G292" s="214">
        <v>0.8</v>
      </c>
      <c r="H292" s="234"/>
    </row>
    <row r="293" spans="2:8" outlineLevel="1">
      <c r="B293" s="231" t="str">
        <f t="shared" si="2"/>
        <v>Geese-confinement-medium DE</v>
      </c>
      <c r="C293" s="231" t="s">
        <v>193</v>
      </c>
      <c r="D293" s="231" t="s">
        <v>284</v>
      </c>
      <c r="E293" s="231" t="s">
        <v>191</v>
      </c>
      <c r="F293" s="236" t="s">
        <v>205</v>
      </c>
      <c r="G293" s="214">
        <v>0.85</v>
      </c>
      <c r="H293" s="234"/>
    </row>
    <row r="294" spans="2:8" outlineLevel="1">
      <c r="B294" s="231" t="str">
        <f t="shared" si="2"/>
        <v>Geese-confinement-high DE</v>
      </c>
      <c r="C294" s="231" t="s">
        <v>193</v>
      </c>
      <c r="D294" s="231" t="s">
        <v>284</v>
      </c>
      <c r="E294" s="231" t="s">
        <v>191</v>
      </c>
      <c r="F294" s="236" t="s">
        <v>215</v>
      </c>
      <c r="G294" s="214">
        <v>0.9</v>
      </c>
      <c r="H294" s="234"/>
    </row>
    <row r="295" spans="2:8" outlineLevel="1">
      <c r="B295" s="231" t="str">
        <f t="shared" si="2"/>
        <v>poultry-free-range-very low DE</v>
      </c>
      <c r="C295" s="231" t="s">
        <v>193</v>
      </c>
      <c r="D295" s="231" t="s">
        <v>73</v>
      </c>
      <c r="E295" s="231" t="s">
        <v>254</v>
      </c>
      <c r="F295" s="236" t="s">
        <v>189</v>
      </c>
      <c r="G295" s="214">
        <v>0.55000000000000004</v>
      </c>
      <c r="H295" s="234"/>
    </row>
    <row r="296" spans="2:8" outlineLevel="1">
      <c r="B296" s="231" t="str">
        <f t="shared" si="2"/>
        <v>poultry-free-range-low DE</v>
      </c>
      <c r="C296" s="231" t="s">
        <v>193</v>
      </c>
      <c r="D296" s="231" t="s">
        <v>73</v>
      </c>
      <c r="E296" s="231" t="s">
        <v>254</v>
      </c>
      <c r="F296" s="236" t="s">
        <v>192</v>
      </c>
      <c r="G296" s="214">
        <v>0.65</v>
      </c>
      <c r="H296" s="234"/>
    </row>
    <row r="297" spans="2:8" outlineLevel="1">
      <c r="B297" s="231" t="str">
        <f t="shared" si="2"/>
        <v>poultry-free-range-medium DE</v>
      </c>
      <c r="C297" s="231" t="s">
        <v>193</v>
      </c>
      <c r="D297" s="231" t="s">
        <v>73</v>
      </c>
      <c r="E297" s="231" t="s">
        <v>254</v>
      </c>
      <c r="F297" s="236" t="s">
        <v>205</v>
      </c>
      <c r="G297" s="214">
        <v>0.75</v>
      </c>
      <c r="H297" s="234"/>
    </row>
    <row r="298" spans="2:8" outlineLevel="1">
      <c r="B298" s="231" t="str">
        <f t="shared" si="2"/>
        <v>poultry-free-range-like confinement DE</v>
      </c>
      <c r="C298" s="231" t="s">
        <v>193</v>
      </c>
      <c r="D298" s="231" t="s">
        <v>73</v>
      </c>
      <c r="E298" s="231" t="s">
        <v>254</v>
      </c>
      <c r="F298" s="236" t="s">
        <v>283</v>
      </c>
      <c r="G298" s="214">
        <v>0.9</v>
      </c>
      <c r="H298" s="234"/>
    </row>
    <row r="299" spans="2:8" outlineLevel="1">
      <c r="B299" s="231" t="s">
        <v>32</v>
      </c>
      <c r="C299" s="231" t="s">
        <v>32</v>
      </c>
      <c r="D299" s="231"/>
      <c r="E299" s="231"/>
      <c r="F299" s="236"/>
      <c r="G299" s="214"/>
      <c r="H299" s="234"/>
    </row>
    <row r="300" spans="2:8" outlineLevel="1">
      <c r="B300" s="231"/>
      <c r="C300" s="231"/>
      <c r="D300" s="231"/>
      <c r="E300" s="231"/>
      <c r="F300" s="236"/>
      <c r="G300" s="214"/>
      <c r="H300" s="234"/>
    </row>
    <row r="301" spans="2:8" outlineLevel="1">
      <c r="B301" s="231"/>
      <c r="C301" s="231"/>
      <c r="D301" s="231"/>
      <c r="E301" s="231"/>
      <c r="F301" s="236"/>
      <c r="G301" s="214"/>
      <c r="H301" s="234"/>
    </row>
    <row r="302" spans="2:8" outlineLevel="1">
      <c r="B302" s="231"/>
      <c r="C302" s="231"/>
      <c r="D302" s="231"/>
      <c r="E302" s="231"/>
      <c r="F302" s="236"/>
      <c r="G302" s="214"/>
      <c r="H302" s="234"/>
    </row>
    <row r="303" spans="2:8" outlineLevel="1">
      <c r="B303" s="231"/>
      <c r="C303" s="231"/>
      <c r="D303" s="231"/>
      <c r="E303" s="231"/>
      <c r="F303" s="236"/>
      <c r="G303" s="214"/>
      <c r="H303" s="234"/>
    </row>
    <row r="304" spans="2:8" outlineLevel="1">
      <c r="B304" s="230"/>
      <c r="C304" s="230"/>
      <c r="D304" s="230"/>
      <c r="E304" s="231"/>
      <c r="F304" s="232"/>
      <c r="G304" s="233"/>
      <c r="H304" s="1"/>
    </row>
    <row r="305" spans="2:10" outlineLevel="1">
      <c r="B305" s="230" t="str">
        <f>CONCATENATE(D305,"-",E305,"-",F305)</f>
        <v>default value-free=range-</v>
      </c>
      <c r="C305" s="230" t="s">
        <v>193</v>
      </c>
      <c r="D305" s="230" t="s">
        <v>328</v>
      </c>
      <c r="E305" s="231" t="s">
        <v>329</v>
      </c>
      <c r="F305" s="232"/>
      <c r="G305" s="233">
        <v>0.6</v>
      </c>
      <c r="H305" s="1"/>
    </row>
    <row r="306" spans="2:10" outlineLevel="1">
      <c r="B306" s="230" t="str">
        <f>CONCATENATE(D306,"-",E306,"-",F306)</f>
        <v>default value-confinement-</v>
      </c>
      <c r="C306" s="230" t="s">
        <v>193</v>
      </c>
      <c r="D306" s="230" t="s">
        <v>328</v>
      </c>
      <c r="E306" s="231" t="s">
        <v>191</v>
      </c>
      <c r="F306" s="232"/>
      <c r="G306" s="233">
        <v>0.9</v>
      </c>
      <c r="H306" s="1"/>
    </row>
    <row r="307" spans="2:10" outlineLevel="1">
      <c r="B307" s="1"/>
      <c r="C307" s="1"/>
      <c r="D307" s="1"/>
      <c r="E307" s="1"/>
      <c r="F307" s="1"/>
      <c r="G307" s="1"/>
      <c r="H307" s="1"/>
    </row>
    <row r="308" spans="2:10" outlineLevel="1">
      <c r="B308" s="1"/>
      <c r="C308" s="1"/>
      <c r="D308" s="1"/>
      <c r="E308" s="1"/>
      <c r="F308" s="1"/>
      <c r="G308" s="1"/>
      <c r="H308" s="1"/>
    </row>
    <row r="309" spans="2:10" outlineLevel="1">
      <c r="B309" s="234" t="s">
        <v>149</v>
      </c>
      <c r="C309" s="234"/>
      <c r="D309" s="234"/>
      <c r="E309" s="234"/>
      <c r="F309" s="234"/>
      <c r="G309" s="1"/>
      <c r="H309" s="1"/>
    </row>
    <row r="310" spans="2:10" ht="15.75" outlineLevel="1">
      <c r="B310" s="222" t="s">
        <v>159</v>
      </c>
      <c r="C310" s="223"/>
      <c r="D310" s="223"/>
      <c r="E310" s="223"/>
      <c r="F310" s="223"/>
      <c r="G310" s="1"/>
      <c r="H310" s="1"/>
    </row>
    <row r="311" spans="2:10" outlineLevel="1">
      <c r="B311" s="235" t="s">
        <v>177</v>
      </c>
      <c r="C311" s="235" t="s">
        <v>30</v>
      </c>
      <c r="D311" s="235"/>
      <c r="E311" s="238"/>
      <c r="F311" s="235"/>
      <c r="G311" s="1"/>
      <c r="H311" s="1"/>
    </row>
    <row r="312" spans="2:10" outlineLevel="1">
      <c r="B312" s="236" t="s">
        <v>195</v>
      </c>
      <c r="C312" s="239">
        <v>6.0000000000000001E-3</v>
      </c>
      <c r="D312" s="231"/>
      <c r="E312" s="231"/>
      <c r="F312" s="231"/>
      <c r="G312" s="1"/>
      <c r="H312" s="1"/>
    </row>
    <row r="313" spans="2:10" outlineLevel="1">
      <c r="B313" s="236" t="s">
        <v>73</v>
      </c>
      <c r="C313" s="239">
        <v>6.0000000000000001E-3</v>
      </c>
      <c r="D313" s="231"/>
      <c r="E313" s="231"/>
      <c r="F313" s="231"/>
      <c r="G313" s="1"/>
      <c r="H313" s="1"/>
    </row>
    <row r="314" spans="2:10" outlineLevel="1">
      <c r="B314" s="1"/>
      <c r="C314" s="1"/>
      <c r="D314" s="1"/>
      <c r="E314" s="1"/>
      <c r="F314" s="1"/>
      <c r="G314" s="1"/>
      <c r="H314" s="1"/>
    </row>
    <row r="315" spans="2:10">
      <c r="B315" s="1"/>
      <c r="C315" s="1"/>
      <c r="D315" s="1"/>
      <c r="E315" s="1"/>
      <c r="F315" s="1"/>
      <c r="G315" s="1"/>
      <c r="H315" s="1"/>
    </row>
    <row r="316" spans="2:10">
      <c r="B316" s="1"/>
      <c r="C316" s="1"/>
      <c r="D316" s="1"/>
      <c r="E316" s="1"/>
      <c r="F316" s="1"/>
      <c r="G316" s="1"/>
      <c r="H316" s="1"/>
    </row>
    <row r="317" spans="2:10" ht="15.75">
      <c r="B317" s="49" t="s">
        <v>103</v>
      </c>
      <c r="C317" s="50"/>
      <c r="D317" s="50"/>
      <c r="E317" s="50"/>
      <c r="F317" s="50"/>
      <c r="G317" s="50"/>
      <c r="H317" s="50"/>
      <c r="I317" s="50"/>
      <c r="J317" s="50"/>
    </row>
    <row r="318" spans="2:10" ht="75.75" thickBot="1">
      <c r="B318" s="276" t="s">
        <v>442</v>
      </c>
      <c r="C318" s="276" t="s">
        <v>104</v>
      </c>
      <c r="D318" s="276" t="s">
        <v>105</v>
      </c>
      <c r="E318" s="276" t="s">
        <v>443</v>
      </c>
      <c r="F318" s="276" t="s">
        <v>106</v>
      </c>
      <c r="G318" s="276" t="s">
        <v>107</v>
      </c>
      <c r="H318" s="276" t="s">
        <v>444</v>
      </c>
      <c r="I318" s="276" t="s">
        <v>108</v>
      </c>
      <c r="J318" s="276" t="s">
        <v>109</v>
      </c>
    </row>
    <row r="319" spans="2:10" ht="16.5" thickTop="1" thickBot="1">
      <c r="B319" s="275">
        <f>[1]Intro!AB3</f>
        <v>1.0032295</v>
      </c>
      <c r="C319" s="275">
        <f>[1]Intro!AC3</f>
        <v>2.9102900000000001E-2</v>
      </c>
      <c r="D319" s="275">
        <f>[1]Intro!AD3</f>
        <v>1.0323324</v>
      </c>
      <c r="E319" s="275">
        <f>[1]Intro!AE3</f>
        <v>2.4697505999999998</v>
      </c>
      <c r="F319" s="275">
        <f>[1]Intro!AF3</f>
        <v>0.2118688</v>
      </c>
      <c r="G319" s="275">
        <f>[1]Intro!AG3</f>
        <v>2.6816193999999998</v>
      </c>
      <c r="H319" s="275">
        <f>[1]Intro!AH3</f>
        <v>0.17217089999999999</v>
      </c>
      <c r="I319" s="275">
        <f>[1]Intro!AI3</f>
        <v>6.68049E-2</v>
      </c>
      <c r="J319" s="275">
        <f>[1]Intro!AJ3</f>
        <v>0.23897579999999999</v>
      </c>
    </row>
    <row r="320" spans="2:10" ht="15.75" thickTop="1">
      <c r="B320" s="110"/>
      <c r="C320" s="110"/>
      <c r="D320" s="110"/>
      <c r="E320" s="110"/>
      <c r="F320" s="110"/>
      <c r="G320" s="110"/>
      <c r="H320" s="110"/>
      <c r="I320" s="110"/>
      <c r="J320" s="110"/>
    </row>
    <row r="321" spans="1:22">
      <c r="B321" s="110"/>
      <c r="C321" s="110"/>
      <c r="D321" s="110"/>
      <c r="E321" s="110"/>
      <c r="F321" s="110"/>
      <c r="G321" s="110"/>
      <c r="H321" s="110"/>
      <c r="I321" s="110"/>
      <c r="J321" s="110"/>
    </row>
    <row r="322" spans="1:22">
      <c r="B322" s="110"/>
      <c r="C322" s="110"/>
      <c r="D322" s="110"/>
      <c r="E322" s="110"/>
      <c r="F322" s="110"/>
      <c r="G322" s="110"/>
      <c r="H322" s="110"/>
      <c r="I322" s="110"/>
      <c r="J322" s="110"/>
    </row>
    <row r="323" spans="1:22">
      <c r="B323" s="110"/>
      <c r="C323" s="110"/>
      <c r="D323" s="110"/>
      <c r="E323" s="110"/>
      <c r="F323" s="110"/>
      <c r="G323" s="110"/>
      <c r="H323" s="110"/>
      <c r="I323" s="110"/>
      <c r="J323" s="110"/>
    </row>
    <row r="324" spans="1:22">
      <c r="B324" s="110"/>
      <c r="C324" s="110"/>
      <c r="D324" s="110"/>
      <c r="E324" s="110"/>
      <c r="F324" s="110"/>
      <c r="G324" s="110"/>
      <c r="H324" s="110"/>
      <c r="I324" s="110"/>
      <c r="J324" s="110"/>
    </row>
    <row r="325" spans="1:22">
      <c r="B325" s="110"/>
      <c r="C325" s="110"/>
      <c r="D325" s="110"/>
      <c r="E325" s="110"/>
      <c r="F325" s="110"/>
      <c r="G325" s="110"/>
      <c r="H325" s="110"/>
      <c r="I325" s="110"/>
      <c r="J325" s="110"/>
    </row>
    <row r="326" spans="1:22">
      <c r="B326" s="1"/>
      <c r="C326" s="1"/>
      <c r="D326" s="1"/>
      <c r="E326" s="1"/>
      <c r="F326" s="1"/>
      <c r="G326" s="1"/>
      <c r="H326" s="1"/>
    </row>
    <row r="327" spans="1:22">
      <c r="B327" s="1"/>
      <c r="C327" s="1"/>
      <c r="D327" s="1"/>
      <c r="E327" s="1"/>
      <c r="F327" s="1"/>
      <c r="G327" s="1"/>
      <c r="H327" s="1"/>
    </row>
    <row r="328" spans="1:22" ht="21">
      <c r="A328" s="134"/>
      <c r="B328" s="133" t="s">
        <v>451</v>
      </c>
      <c r="C328" s="134"/>
      <c r="D328" s="134"/>
      <c r="E328" s="134"/>
      <c r="F328" s="134"/>
      <c r="G328" s="134"/>
      <c r="H328" s="134"/>
      <c r="I328" s="134"/>
      <c r="J328" s="134"/>
      <c r="K328" s="134"/>
      <c r="L328" s="134"/>
      <c r="M328" s="134"/>
      <c r="N328" s="134"/>
      <c r="O328" s="134"/>
      <c r="P328" s="134"/>
      <c r="Q328" s="134"/>
      <c r="R328" s="134"/>
      <c r="S328" s="134"/>
      <c r="T328" s="134"/>
      <c r="U328" s="134"/>
      <c r="V328" s="134"/>
    </row>
    <row r="329" spans="1:22">
      <c r="B329" s="1"/>
      <c r="C329" s="1"/>
      <c r="D329" s="1"/>
      <c r="E329" s="1"/>
      <c r="F329" s="1"/>
      <c r="G329" s="1"/>
      <c r="H329" s="1"/>
    </row>
    <row r="330" spans="1:22">
      <c r="B330" s="1"/>
      <c r="C330" s="1"/>
      <c r="D330" s="1"/>
      <c r="E330" s="1"/>
      <c r="F330" s="1"/>
      <c r="G330" s="1"/>
      <c r="H330" s="1"/>
    </row>
    <row r="331" spans="1:22" ht="15.75">
      <c r="B331" s="49" t="s">
        <v>370</v>
      </c>
      <c r="C331" s="50"/>
      <c r="D331" s="50"/>
      <c r="E331" s="50"/>
      <c r="F331" s="50"/>
      <c r="G331" s="50"/>
      <c r="H331" s="50"/>
      <c r="I331" s="50"/>
      <c r="J331" s="50"/>
      <c r="K331" s="323" t="s">
        <v>709</v>
      </c>
    </row>
    <row r="332" spans="1:22" ht="45.75" thickBot="1">
      <c r="B332" s="276" t="s">
        <v>8</v>
      </c>
      <c r="C332" s="276" t="s">
        <v>13</v>
      </c>
      <c r="D332" s="276" t="s">
        <v>115</v>
      </c>
      <c r="E332" s="276" t="s">
        <v>66</v>
      </c>
      <c r="F332" s="276" t="s">
        <v>122</v>
      </c>
      <c r="G332" s="276" t="s">
        <v>125</v>
      </c>
      <c r="H332" s="276" t="s">
        <v>71</v>
      </c>
      <c r="I332" s="276" t="s">
        <v>134</v>
      </c>
      <c r="J332" s="276" t="s">
        <v>72</v>
      </c>
    </row>
    <row r="333" spans="1:22" ht="46.5" thickTop="1" thickBot="1">
      <c r="B333" s="275" t="s">
        <v>346</v>
      </c>
      <c r="C333" s="275" t="s">
        <v>346</v>
      </c>
      <c r="D333" s="275" t="s">
        <v>346</v>
      </c>
      <c r="E333" s="275" t="s">
        <v>346</v>
      </c>
      <c r="F333" s="275" t="s">
        <v>346</v>
      </c>
      <c r="G333" s="275" t="s">
        <v>346</v>
      </c>
      <c r="H333" s="275" t="s">
        <v>346</v>
      </c>
      <c r="I333" s="275" t="s">
        <v>346</v>
      </c>
      <c r="J333" s="275" t="str">
        <f t="shared" ref="J333:J341" si="3">I333</f>
        <v>Pasture, range, paddock</v>
      </c>
    </row>
    <row r="334" spans="1:22" ht="31.5" thickTop="1" thickBot="1">
      <c r="B334" s="275" t="s">
        <v>396</v>
      </c>
      <c r="C334" s="275" t="s">
        <v>396</v>
      </c>
      <c r="D334" s="275" t="s">
        <v>396</v>
      </c>
      <c r="E334" s="275" t="s">
        <v>396</v>
      </c>
      <c r="F334" s="275" t="s">
        <v>396</v>
      </c>
      <c r="G334" s="275" t="s">
        <v>397</v>
      </c>
      <c r="H334" s="275" t="s">
        <v>397</v>
      </c>
      <c r="I334" s="275" t="s">
        <v>398</v>
      </c>
      <c r="J334" s="275" t="str">
        <f t="shared" si="3"/>
        <v>Dry lot</v>
      </c>
    </row>
    <row r="335" spans="1:22" ht="46.5" thickTop="1" thickBot="1">
      <c r="B335" s="275" t="s">
        <v>397</v>
      </c>
      <c r="C335" s="275" t="s">
        <v>397</v>
      </c>
      <c r="D335" s="275" t="s">
        <v>397</v>
      </c>
      <c r="E335" s="275" t="s">
        <v>397</v>
      </c>
      <c r="F335" s="275" t="s">
        <v>397</v>
      </c>
      <c r="G335" s="275" t="s">
        <v>398</v>
      </c>
      <c r="H335" s="275" t="s">
        <v>398</v>
      </c>
      <c r="I335" s="275" t="s">
        <v>400</v>
      </c>
      <c r="J335" s="275" t="str">
        <f t="shared" si="3"/>
        <v xml:space="preserve">Uncovered anaerobic lagoon </v>
      </c>
    </row>
    <row r="336" spans="1:22" ht="61.5" thickTop="1" thickBot="1">
      <c r="B336" s="275" t="s">
        <v>398</v>
      </c>
      <c r="C336" s="275" t="s">
        <v>398</v>
      </c>
      <c r="D336" s="275" t="s">
        <v>402</v>
      </c>
      <c r="E336" s="275" t="s">
        <v>402</v>
      </c>
      <c r="F336" s="275" t="s">
        <v>402</v>
      </c>
      <c r="G336" s="275" t="s">
        <v>403</v>
      </c>
      <c r="H336" s="275" t="s">
        <v>402</v>
      </c>
      <c r="I336" s="275" t="s">
        <v>404</v>
      </c>
      <c r="J336" s="275" t="str">
        <f t="shared" si="3"/>
        <v>Composting In-vessel</v>
      </c>
    </row>
    <row r="337" spans="2:10" ht="76.5" thickTop="1" thickBot="1">
      <c r="B337" s="275" t="s">
        <v>402</v>
      </c>
      <c r="C337" s="275" t="s">
        <v>402</v>
      </c>
      <c r="D337" s="275" t="s">
        <v>406</v>
      </c>
      <c r="E337" s="275" t="s">
        <v>406</v>
      </c>
      <c r="F337" s="275" t="s">
        <v>406</v>
      </c>
      <c r="G337" s="275" t="s">
        <v>407</v>
      </c>
      <c r="H337" s="275" t="s">
        <v>406</v>
      </c>
      <c r="I337" s="275" t="s">
        <v>408</v>
      </c>
      <c r="J337" s="275" t="str">
        <f t="shared" si="3"/>
        <v>Composting Static Pile</v>
      </c>
    </row>
    <row r="338" spans="2:10" ht="76.5" thickTop="1" thickBot="1">
      <c r="B338" s="275" t="s">
        <v>406</v>
      </c>
      <c r="C338" s="275" t="s">
        <v>406</v>
      </c>
      <c r="D338" s="275" t="s">
        <v>400</v>
      </c>
      <c r="E338" s="275" t="s">
        <v>400</v>
      </c>
      <c r="F338" s="275" t="s">
        <v>400</v>
      </c>
      <c r="G338" s="275" t="s">
        <v>410</v>
      </c>
      <c r="H338" s="275" t="s">
        <v>400</v>
      </c>
      <c r="I338" s="275" t="s">
        <v>411</v>
      </c>
      <c r="J338" s="275" t="str">
        <f t="shared" si="3"/>
        <v>Composting intensive windrow</v>
      </c>
    </row>
    <row r="339" spans="2:10" ht="91.5" thickTop="1" thickBot="1">
      <c r="B339" s="275" t="s">
        <v>400</v>
      </c>
      <c r="C339" s="275" t="s">
        <v>400</v>
      </c>
      <c r="D339" s="275" t="s">
        <v>413</v>
      </c>
      <c r="E339" s="275" t="s">
        <v>413</v>
      </c>
      <c r="F339" s="275" t="s">
        <v>413</v>
      </c>
      <c r="G339" s="275" t="s">
        <v>404</v>
      </c>
      <c r="H339" s="275" t="s">
        <v>413</v>
      </c>
      <c r="I339" s="275" t="s">
        <v>414</v>
      </c>
      <c r="J339" s="275" t="str">
        <f t="shared" si="3"/>
        <v>Composting passive windrow</v>
      </c>
    </row>
    <row r="340" spans="2:10" ht="91.5" thickTop="1" thickBot="1">
      <c r="B340" s="275" t="s">
        <v>413</v>
      </c>
      <c r="C340" s="275" t="s">
        <v>413</v>
      </c>
      <c r="D340" s="275" t="s">
        <v>416</v>
      </c>
      <c r="E340" s="275" t="s">
        <v>416</v>
      </c>
      <c r="F340" s="275" t="s">
        <v>416</v>
      </c>
      <c r="G340" s="275" t="s">
        <v>408</v>
      </c>
      <c r="H340" s="275" t="s">
        <v>416</v>
      </c>
      <c r="I340" s="275" t="s">
        <v>417</v>
      </c>
      <c r="J340" s="275" t="str">
        <f t="shared" si="3"/>
        <v>Poultry manure with litter</v>
      </c>
    </row>
    <row r="341" spans="2:10" ht="46.5" thickTop="1" thickBot="1">
      <c r="B341" s="275" t="s">
        <v>416</v>
      </c>
      <c r="C341" s="275" t="s">
        <v>416</v>
      </c>
      <c r="D341" s="275" t="s">
        <v>403</v>
      </c>
      <c r="E341" s="275" t="s">
        <v>403</v>
      </c>
      <c r="F341" s="275" t="s">
        <v>403</v>
      </c>
      <c r="G341" s="275" t="s">
        <v>411</v>
      </c>
      <c r="H341" s="275" t="s">
        <v>403</v>
      </c>
      <c r="I341" s="275" t="s">
        <v>419</v>
      </c>
      <c r="J341" s="275" t="str">
        <f t="shared" si="3"/>
        <v>Poultry without litter</v>
      </c>
    </row>
    <row r="342" spans="2:10" ht="76.5" thickTop="1" thickBot="1">
      <c r="B342" s="275" t="s">
        <v>403</v>
      </c>
      <c r="C342" s="275" t="s">
        <v>403</v>
      </c>
      <c r="D342" s="275" t="s">
        <v>407</v>
      </c>
      <c r="E342" s="275" t="s">
        <v>407</v>
      </c>
      <c r="F342" s="275" t="s">
        <v>407</v>
      </c>
      <c r="G342" s="275" t="s">
        <v>414</v>
      </c>
      <c r="H342" s="275" t="s">
        <v>407</v>
      </c>
      <c r="I342" s="275"/>
      <c r="J342" s="275"/>
    </row>
    <row r="343" spans="2:10" ht="76.5" thickTop="1" thickBot="1">
      <c r="B343" s="275" t="s">
        <v>407</v>
      </c>
      <c r="C343" s="275" t="s">
        <v>407</v>
      </c>
      <c r="D343" s="275" t="s">
        <v>410</v>
      </c>
      <c r="E343" s="275" t="s">
        <v>410</v>
      </c>
      <c r="F343" s="275" t="s">
        <v>410</v>
      </c>
      <c r="G343" s="275"/>
      <c r="H343" s="275" t="s">
        <v>410</v>
      </c>
      <c r="I343" s="275"/>
      <c r="J343" s="275"/>
    </row>
    <row r="344" spans="2:10" ht="91.5" thickTop="1" thickBot="1">
      <c r="B344" s="275" t="s">
        <v>410</v>
      </c>
      <c r="C344" s="275" t="s">
        <v>410</v>
      </c>
      <c r="D344" s="275" t="s">
        <v>423</v>
      </c>
      <c r="E344" s="275" t="s">
        <v>423</v>
      </c>
      <c r="F344" s="275" t="s">
        <v>423</v>
      </c>
      <c r="G344" s="275"/>
      <c r="H344" s="275" t="s">
        <v>423</v>
      </c>
      <c r="I344" s="275"/>
      <c r="J344" s="275"/>
    </row>
    <row r="345" spans="2:10" ht="91.5" thickTop="1" thickBot="1">
      <c r="B345" s="275" t="s">
        <v>423</v>
      </c>
      <c r="C345" s="275" t="s">
        <v>423</v>
      </c>
      <c r="D345" s="275" t="s">
        <v>425</v>
      </c>
      <c r="E345" s="275" t="s">
        <v>425</v>
      </c>
      <c r="F345" s="275" t="s">
        <v>425</v>
      </c>
      <c r="G345" s="275"/>
      <c r="H345" s="275" t="s">
        <v>425</v>
      </c>
      <c r="I345" s="275"/>
      <c r="J345" s="275"/>
    </row>
    <row r="346" spans="2:10" ht="46.5" thickTop="1" thickBot="1">
      <c r="B346" s="275" t="s">
        <v>425</v>
      </c>
      <c r="C346" s="275" t="s">
        <v>425</v>
      </c>
      <c r="D346" s="275" t="s">
        <v>404</v>
      </c>
      <c r="E346" s="275" t="s">
        <v>404</v>
      </c>
      <c r="F346" s="275" t="s">
        <v>404</v>
      </c>
      <c r="G346" s="275"/>
      <c r="H346" s="275" t="s">
        <v>404</v>
      </c>
      <c r="I346" s="275"/>
      <c r="J346" s="275"/>
    </row>
    <row r="347" spans="2:10" ht="31.5" thickTop="1" thickBot="1">
      <c r="B347" s="275" t="s">
        <v>404</v>
      </c>
      <c r="C347" s="275" t="s">
        <v>404</v>
      </c>
      <c r="D347" s="275" t="s">
        <v>408</v>
      </c>
      <c r="E347" s="275" t="s">
        <v>408</v>
      </c>
      <c r="F347" s="275" t="s">
        <v>408</v>
      </c>
      <c r="G347" s="275"/>
      <c r="H347" s="275" t="s">
        <v>408</v>
      </c>
      <c r="I347" s="275"/>
      <c r="J347" s="275"/>
    </row>
    <row r="348" spans="2:10" ht="46.5" thickTop="1" thickBot="1">
      <c r="B348" s="275" t="s">
        <v>408</v>
      </c>
      <c r="C348" s="275" t="s">
        <v>408</v>
      </c>
      <c r="D348" s="275" t="s">
        <v>411</v>
      </c>
      <c r="E348" s="275" t="s">
        <v>411</v>
      </c>
      <c r="F348" s="275" t="s">
        <v>411</v>
      </c>
      <c r="G348" s="275"/>
      <c r="H348" s="275" t="s">
        <v>411</v>
      </c>
      <c r="I348" s="275"/>
      <c r="J348" s="275"/>
    </row>
    <row r="349" spans="2:10" ht="46.5" thickTop="1" thickBot="1">
      <c r="B349" s="275" t="s">
        <v>411</v>
      </c>
      <c r="C349" s="275" t="s">
        <v>411</v>
      </c>
      <c r="D349" s="275" t="s">
        <v>414</v>
      </c>
      <c r="E349" s="275" t="s">
        <v>414</v>
      </c>
      <c r="F349" s="275" t="s">
        <v>414</v>
      </c>
      <c r="G349" s="275"/>
      <c r="H349" s="275" t="s">
        <v>414</v>
      </c>
      <c r="I349" s="275"/>
      <c r="J349" s="275"/>
    </row>
    <row r="350" spans="2:10" ht="76.5" thickTop="1" thickBot="1">
      <c r="B350" s="275" t="s">
        <v>414</v>
      </c>
      <c r="C350" s="275" t="s">
        <v>414</v>
      </c>
      <c r="D350" s="275"/>
      <c r="E350" s="275"/>
      <c r="F350" s="275"/>
      <c r="G350" s="275"/>
      <c r="H350" s="275" t="s">
        <v>431</v>
      </c>
      <c r="I350" s="275"/>
      <c r="J350" s="275"/>
    </row>
    <row r="351" spans="2:10" ht="76.5" thickTop="1" thickBot="1">
      <c r="B351" s="275"/>
      <c r="C351" s="275"/>
      <c r="D351" s="275"/>
      <c r="E351" s="275"/>
      <c r="F351" s="275"/>
      <c r="G351" s="275"/>
      <c r="H351" s="275" t="s">
        <v>433</v>
      </c>
      <c r="I351" s="275"/>
      <c r="J351" s="275"/>
    </row>
    <row r="352" spans="2:10" ht="16.5" thickTop="1" thickBot="1">
      <c r="B352" s="275"/>
      <c r="C352" s="275"/>
      <c r="D352" s="275"/>
      <c r="E352" s="275"/>
      <c r="F352" s="275"/>
      <c r="G352" s="275"/>
      <c r="H352" s="275"/>
      <c r="I352" s="275"/>
      <c r="J352" s="275"/>
    </row>
    <row r="353" spans="1:10" ht="16.5" thickTop="1" thickBot="1">
      <c r="B353" s="275"/>
      <c r="C353" s="275"/>
      <c r="D353" s="275"/>
      <c r="E353" s="275"/>
      <c r="F353" s="275"/>
      <c r="G353" s="275"/>
      <c r="H353" s="275"/>
      <c r="I353" s="275"/>
      <c r="J353" s="275"/>
    </row>
    <row r="354" spans="1:10" ht="16.5" thickTop="1" thickBot="1">
      <c r="B354" s="275"/>
      <c r="C354" s="275"/>
      <c r="D354" s="275"/>
      <c r="E354" s="275"/>
      <c r="F354" s="275"/>
      <c r="G354" s="275"/>
      <c r="H354" s="275"/>
      <c r="I354" s="275"/>
      <c r="J354" s="275"/>
    </row>
    <row r="355" spans="1:10" ht="15.75" thickTop="1">
      <c r="B355" s="1"/>
      <c r="C355" s="1"/>
      <c r="D355" s="1"/>
      <c r="E355" s="1"/>
      <c r="F355" s="1"/>
      <c r="G355" s="1"/>
      <c r="H355" s="1"/>
    </row>
    <row r="356" spans="1:10">
      <c r="B356" s="1"/>
      <c r="C356" s="1"/>
      <c r="D356" s="1"/>
      <c r="E356" s="1"/>
      <c r="F356" s="1"/>
      <c r="G356" s="1"/>
      <c r="H356" s="1"/>
    </row>
    <row r="357" spans="1:10" ht="15.75">
      <c r="B357" s="49" t="s">
        <v>371</v>
      </c>
      <c r="C357" s="50"/>
      <c r="D357" s="323" t="s">
        <v>709</v>
      </c>
      <c r="E357" s="1"/>
      <c r="F357" s="1"/>
      <c r="G357" s="1"/>
      <c r="H357" s="1"/>
    </row>
    <row r="358" spans="1:10" ht="30.75" thickBot="1">
      <c r="B358" s="276" t="s">
        <v>385</v>
      </c>
      <c r="C358" s="276" t="s">
        <v>386</v>
      </c>
      <c r="D358" s="1"/>
      <c r="E358" s="1"/>
      <c r="F358" s="1"/>
      <c r="G358" s="1"/>
      <c r="H358" s="1"/>
    </row>
    <row r="359" spans="1:10" ht="16.5" thickTop="1" thickBot="1">
      <c r="A359" t="s">
        <v>480</v>
      </c>
      <c r="B359" s="275" t="s">
        <v>8</v>
      </c>
      <c r="C359" s="275">
        <v>0.02</v>
      </c>
      <c r="D359" s="1"/>
      <c r="E359" s="1"/>
      <c r="F359" s="1"/>
      <c r="G359" s="1"/>
      <c r="H359" s="1"/>
    </row>
    <row r="360" spans="1:10" ht="16.5" thickTop="1" thickBot="1">
      <c r="A360" t="s">
        <v>481</v>
      </c>
      <c r="B360" s="275" t="s">
        <v>13</v>
      </c>
      <c r="C360" s="275">
        <v>0.02</v>
      </c>
      <c r="D360" s="1"/>
      <c r="E360" s="1"/>
      <c r="F360" s="1"/>
      <c r="G360" s="1"/>
      <c r="H360" s="1"/>
    </row>
    <row r="361" spans="1:10" ht="16.5" thickTop="1" thickBot="1">
      <c r="B361" s="277" t="s">
        <v>115</v>
      </c>
      <c r="C361" s="277">
        <v>0.01</v>
      </c>
      <c r="D361" s="1"/>
      <c r="E361" s="1"/>
      <c r="F361" s="1"/>
      <c r="G361" s="1"/>
      <c r="H361" s="1"/>
    </row>
    <row r="362" spans="1:10" ht="16.5" thickTop="1" thickBot="1">
      <c r="A362" t="s">
        <v>483</v>
      </c>
      <c r="B362" s="275" t="s">
        <v>469</v>
      </c>
      <c r="C362" s="275">
        <v>0.01</v>
      </c>
      <c r="D362" s="1"/>
      <c r="E362" s="1"/>
      <c r="F362" s="1"/>
      <c r="G362" s="1"/>
      <c r="H362" s="1"/>
    </row>
    <row r="363" spans="1:10" ht="16.5" thickTop="1" thickBot="1">
      <c r="A363" t="s">
        <v>476</v>
      </c>
      <c r="B363" s="275" t="s">
        <v>122</v>
      </c>
      <c r="C363" s="275">
        <v>0.01</v>
      </c>
      <c r="D363" s="1"/>
      <c r="E363" s="1"/>
      <c r="F363" s="1"/>
      <c r="G363" s="1"/>
      <c r="H363" s="1"/>
    </row>
    <row r="364" spans="1:10" ht="16.5" thickTop="1" thickBot="1">
      <c r="A364" t="s">
        <v>484</v>
      </c>
      <c r="B364" s="275" t="s">
        <v>125</v>
      </c>
      <c r="C364" s="275">
        <v>0.01</v>
      </c>
      <c r="D364" s="1"/>
      <c r="E364" s="1"/>
      <c r="F364" s="1"/>
      <c r="G364" s="1"/>
      <c r="H364" s="1"/>
    </row>
    <row r="365" spans="1:10" ht="16.5" thickTop="1" thickBot="1">
      <c r="A365" t="s">
        <v>485</v>
      </c>
      <c r="B365" s="275" t="s">
        <v>71</v>
      </c>
      <c r="C365" s="275">
        <v>0.02</v>
      </c>
    </row>
    <row r="366" spans="1:10" ht="16.5" thickTop="1" thickBot="1">
      <c r="A366" t="s">
        <v>73</v>
      </c>
      <c r="B366" s="275" t="s">
        <v>134</v>
      </c>
      <c r="C366" s="275">
        <v>0.02</v>
      </c>
    </row>
    <row r="367" spans="1:10" ht="16.5" thickTop="1" thickBot="1">
      <c r="A367" t="s">
        <v>486</v>
      </c>
      <c r="B367" s="275" t="s">
        <v>72</v>
      </c>
      <c r="C367" s="275">
        <v>0.02</v>
      </c>
    </row>
    <row r="368" spans="1:10" ht="16.5" thickTop="1" thickBot="1">
      <c r="B368" s="275"/>
      <c r="C368" s="275"/>
    </row>
    <row r="369" spans="1:5" ht="15.75" thickTop="1"/>
    <row r="371" spans="1:5" ht="15.75">
      <c r="B371" s="49" t="s">
        <v>372</v>
      </c>
      <c r="C371" s="50"/>
      <c r="D371" s="50"/>
      <c r="E371" s="323" t="s">
        <v>709</v>
      </c>
    </row>
    <row r="372" spans="1:5" ht="60.75" thickBot="1">
      <c r="B372" s="275" t="s">
        <v>387</v>
      </c>
      <c r="C372" s="275" t="s">
        <v>388</v>
      </c>
      <c r="D372" s="275" t="s">
        <v>389</v>
      </c>
    </row>
    <row r="373" spans="1:5" ht="76.5" thickTop="1" thickBot="1">
      <c r="A373" t="s">
        <v>592</v>
      </c>
      <c r="B373" s="275" t="s">
        <v>346</v>
      </c>
      <c r="C373" s="275" t="s">
        <v>393</v>
      </c>
      <c r="D373" s="275" t="s">
        <v>352</v>
      </c>
    </row>
    <row r="374" spans="1:5" ht="91.5" thickTop="1" thickBot="1">
      <c r="A374" t="s">
        <v>593</v>
      </c>
      <c r="B374" s="275" t="s">
        <v>396</v>
      </c>
      <c r="C374" s="275" t="s">
        <v>399</v>
      </c>
      <c r="D374" s="275" t="s">
        <v>353</v>
      </c>
    </row>
    <row r="375" spans="1:5" ht="151.5" thickTop="1" thickBot="1">
      <c r="A375" t="s">
        <v>594</v>
      </c>
      <c r="B375" s="275" t="s">
        <v>397</v>
      </c>
      <c r="C375" s="275" t="s">
        <v>401</v>
      </c>
      <c r="D375" s="275" t="s">
        <v>354</v>
      </c>
    </row>
    <row r="376" spans="1:5" ht="91.5" thickTop="1" thickBot="1">
      <c r="A376" t="s">
        <v>595</v>
      </c>
      <c r="B376" s="275" t="s">
        <v>398</v>
      </c>
      <c r="C376" s="275" t="s">
        <v>405</v>
      </c>
      <c r="D376" s="275" t="s">
        <v>353</v>
      </c>
    </row>
    <row r="377" spans="1:5" ht="121.5" thickTop="1" thickBot="1">
      <c r="A377" t="s">
        <v>597</v>
      </c>
      <c r="B377" s="275" t="s">
        <v>402</v>
      </c>
      <c r="C377" s="275" t="s">
        <v>409</v>
      </c>
      <c r="D377" s="275" t="s">
        <v>353</v>
      </c>
    </row>
    <row r="378" spans="1:5" ht="31.5" thickTop="1" thickBot="1">
      <c r="A378" t="s">
        <v>598</v>
      </c>
      <c r="B378" s="275" t="s">
        <v>406</v>
      </c>
      <c r="C378" s="275" t="s">
        <v>412</v>
      </c>
      <c r="D378" s="275" t="s">
        <v>353</v>
      </c>
    </row>
    <row r="379" spans="1:5" ht="316.5" thickTop="1" thickBot="1">
      <c r="A379" t="s">
        <v>596</v>
      </c>
      <c r="B379" s="275" t="s">
        <v>400</v>
      </c>
      <c r="C379" s="275" t="s">
        <v>415</v>
      </c>
      <c r="D379" s="275" t="s">
        <v>353</v>
      </c>
    </row>
    <row r="380" spans="1:5" ht="121.5" thickTop="1" thickBot="1">
      <c r="A380" t="s">
        <v>599</v>
      </c>
      <c r="B380" s="275" t="s">
        <v>413</v>
      </c>
      <c r="C380" s="275" t="s">
        <v>418</v>
      </c>
      <c r="D380" s="275" t="s">
        <v>353</v>
      </c>
    </row>
    <row r="381" spans="1:5" ht="31.5" thickTop="1" thickBot="1">
      <c r="A381" t="s">
        <v>600</v>
      </c>
      <c r="B381" s="275" t="s">
        <v>416</v>
      </c>
      <c r="C381" s="275" t="s">
        <v>420</v>
      </c>
      <c r="D381" s="275" t="s">
        <v>353</v>
      </c>
    </row>
    <row r="382" spans="1:5" ht="211.5" thickTop="1" thickBot="1">
      <c r="A382" t="s">
        <v>601</v>
      </c>
      <c r="B382" s="275" t="s">
        <v>403</v>
      </c>
      <c r="C382" s="275" t="s">
        <v>421</v>
      </c>
      <c r="D382" s="275" t="s">
        <v>353</v>
      </c>
    </row>
    <row r="383" spans="1:5" ht="211.5" thickTop="1" thickBot="1">
      <c r="A383" t="s">
        <v>602</v>
      </c>
      <c r="B383" s="275" t="s">
        <v>407</v>
      </c>
      <c r="C383" s="275" t="s">
        <v>422</v>
      </c>
      <c r="D383" s="275" t="s">
        <v>354</v>
      </c>
    </row>
    <row r="384" spans="1:5" ht="31.5" thickTop="1" thickBot="1">
      <c r="A384" t="s">
        <v>603</v>
      </c>
      <c r="B384" s="275" t="s">
        <v>410</v>
      </c>
      <c r="C384" s="275" t="s">
        <v>424</v>
      </c>
      <c r="D384" s="275" t="s">
        <v>354</v>
      </c>
    </row>
    <row r="385" spans="1:4" ht="46.5" thickTop="1" thickBot="1">
      <c r="A385" t="s">
        <v>604</v>
      </c>
      <c r="B385" s="275" t="s">
        <v>423</v>
      </c>
      <c r="C385" s="275" t="s">
        <v>426</v>
      </c>
      <c r="D385" s="275" t="s">
        <v>354</v>
      </c>
    </row>
    <row r="386" spans="1:4" ht="46.5" thickTop="1" thickBot="1">
      <c r="A386" t="s">
        <v>605</v>
      </c>
      <c r="B386" s="275" t="s">
        <v>425</v>
      </c>
      <c r="C386" s="275" t="s">
        <v>427</v>
      </c>
      <c r="D386" s="275" t="s">
        <v>354</v>
      </c>
    </row>
    <row r="387" spans="1:4" ht="61.5" thickTop="1" thickBot="1">
      <c r="A387" t="s">
        <v>606</v>
      </c>
      <c r="B387" s="275" t="s">
        <v>404</v>
      </c>
      <c r="C387" s="275" t="s">
        <v>428</v>
      </c>
      <c r="D387" s="275" t="s">
        <v>354</v>
      </c>
    </row>
    <row r="388" spans="1:4" ht="46.5" thickTop="1" thickBot="1">
      <c r="A388" t="s">
        <v>607</v>
      </c>
      <c r="B388" s="275" t="s">
        <v>408</v>
      </c>
      <c r="C388" s="275" t="s">
        <v>429</v>
      </c>
      <c r="D388" s="275" t="s">
        <v>354</v>
      </c>
    </row>
    <row r="389" spans="1:4" ht="61.5" thickTop="1" thickBot="1">
      <c r="A389" t="s">
        <v>608</v>
      </c>
      <c r="B389" s="275" t="s">
        <v>411</v>
      </c>
      <c r="C389" s="275" t="s">
        <v>430</v>
      </c>
      <c r="D389" s="275" t="s">
        <v>354</v>
      </c>
    </row>
    <row r="390" spans="1:4" ht="46.5" thickTop="1" thickBot="1">
      <c r="A390" t="s">
        <v>609</v>
      </c>
      <c r="B390" s="275" t="s">
        <v>414</v>
      </c>
      <c r="C390" s="275" t="s">
        <v>432</v>
      </c>
      <c r="D390" s="275" t="s">
        <v>354</v>
      </c>
    </row>
    <row r="391" spans="1:4" ht="136.5" thickTop="1" thickBot="1">
      <c r="A391" t="s">
        <v>610</v>
      </c>
      <c r="B391" s="275" t="s">
        <v>417</v>
      </c>
      <c r="C391" s="275" t="s">
        <v>434</v>
      </c>
      <c r="D391" s="275" t="s">
        <v>354</v>
      </c>
    </row>
    <row r="392" spans="1:4" ht="196.5" thickTop="1" thickBot="1">
      <c r="A392" t="s">
        <v>611</v>
      </c>
      <c r="B392" s="275" t="s">
        <v>419</v>
      </c>
      <c r="C392" s="275" t="s">
        <v>435</v>
      </c>
      <c r="D392" s="275" t="s">
        <v>353</v>
      </c>
    </row>
    <row r="393" spans="1:4" ht="196.5" thickTop="1" thickBot="1">
      <c r="A393" t="s">
        <v>612</v>
      </c>
      <c r="B393" s="275" t="s">
        <v>431</v>
      </c>
      <c r="C393" s="275" t="s">
        <v>436</v>
      </c>
      <c r="D393" s="275" t="s">
        <v>353</v>
      </c>
    </row>
    <row r="394" spans="1:4" ht="196.5" thickTop="1" thickBot="1">
      <c r="A394" t="s">
        <v>613</v>
      </c>
      <c r="B394" s="275" t="s">
        <v>433</v>
      </c>
      <c r="C394" s="275" t="s">
        <v>436</v>
      </c>
      <c r="D394" s="275" t="s">
        <v>353</v>
      </c>
    </row>
    <row r="395" spans="1:4" ht="31.5" thickTop="1" thickBot="1">
      <c r="A395" t="s">
        <v>614</v>
      </c>
      <c r="B395" s="275" t="s">
        <v>437</v>
      </c>
      <c r="C395" s="275"/>
      <c r="D395" s="275" t="s">
        <v>354</v>
      </c>
    </row>
    <row r="396" spans="1:4" ht="15.75" thickTop="1">
      <c r="B396" s="9">
        <v>0</v>
      </c>
      <c r="C396" s="9"/>
      <c r="D396" s="9"/>
    </row>
    <row r="397" spans="1:4">
      <c r="B397" s="9"/>
      <c r="C397" s="9"/>
      <c r="D397" s="9"/>
    </row>
    <row r="398" spans="1:4">
      <c r="B398" s="9"/>
      <c r="C398" s="9"/>
      <c r="D398" s="9"/>
    </row>
    <row r="399" spans="1:4">
      <c r="B399" s="9"/>
      <c r="C399" s="9"/>
      <c r="D399" s="9"/>
    </row>
    <row r="400" spans="1:4">
      <c r="B400" s="9"/>
      <c r="C400" s="9"/>
      <c r="D400" s="9"/>
    </row>
    <row r="401" spans="1:23">
      <c r="B401" s="9"/>
      <c r="C401" s="9"/>
      <c r="D401" s="9"/>
    </row>
    <row r="402" spans="1:23">
      <c r="B402" s="9"/>
      <c r="C402" s="9"/>
      <c r="D402" s="9"/>
    </row>
    <row r="403" spans="1:23">
      <c r="B403" s="9"/>
      <c r="C403" s="9"/>
      <c r="D403" s="9"/>
    </row>
    <row r="404" spans="1:23">
      <c r="B404" s="290"/>
      <c r="C404" s="290"/>
      <c r="D404" s="290"/>
    </row>
    <row r="405" spans="1:23">
      <c r="B405" s="1"/>
      <c r="C405" s="1"/>
      <c r="D405" s="1"/>
    </row>
    <row r="408" spans="1:23">
      <c r="B408" s="19">
        <v>1</v>
      </c>
      <c r="C408" s="19">
        <v>2</v>
      </c>
      <c r="D408" s="175">
        <v>3</v>
      </c>
      <c r="E408" s="175">
        <v>4</v>
      </c>
      <c r="F408" s="175">
        <v>5</v>
      </c>
      <c r="G408" s="175">
        <v>6</v>
      </c>
      <c r="H408" s="175">
        <v>7</v>
      </c>
      <c r="I408" s="175">
        <v>8</v>
      </c>
      <c r="J408" s="175">
        <v>9</v>
      </c>
      <c r="K408" s="175">
        <v>10</v>
      </c>
      <c r="L408" s="175">
        <v>11</v>
      </c>
      <c r="M408" s="175">
        <v>12</v>
      </c>
      <c r="N408" s="175">
        <v>13</v>
      </c>
      <c r="O408" s="175">
        <v>14</v>
      </c>
      <c r="P408" s="175">
        <v>15</v>
      </c>
      <c r="Q408" s="175">
        <v>16</v>
      </c>
      <c r="R408" s="175">
        <v>17</v>
      </c>
      <c r="S408" s="175">
        <v>18</v>
      </c>
      <c r="T408" s="175">
        <v>19</v>
      </c>
      <c r="U408" s="175">
        <v>20</v>
      </c>
      <c r="V408" s="175">
        <v>21</v>
      </c>
      <c r="W408" s="171"/>
    </row>
    <row r="409" spans="1:23" ht="15.75">
      <c r="B409" s="49" t="s">
        <v>373</v>
      </c>
      <c r="C409" s="322" t="s">
        <v>374</v>
      </c>
      <c r="D409" s="323" t="s">
        <v>709</v>
      </c>
      <c r="E409" s="178"/>
      <c r="G409" s="178"/>
      <c r="H409" s="178"/>
      <c r="I409" s="178"/>
      <c r="J409" s="178"/>
      <c r="K409" s="178"/>
      <c r="L409" s="178"/>
      <c r="M409" s="178"/>
      <c r="N409" s="178"/>
      <c r="O409" s="178"/>
      <c r="P409" s="178"/>
      <c r="Q409" s="178"/>
      <c r="R409" s="178"/>
      <c r="S409" s="178"/>
      <c r="T409" s="178"/>
      <c r="U409" s="178"/>
      <c r="V409" s="178"/>
      <c r="W409" s="171"/>
    </row>
    <row r="410" spans="1:23" ht="15.75">
      <c r="B410" s="219"/>
      <c r="C410" s="220" t="s">
        <v>615</v>
      </c>
      <c r="D410" t="s">
        <v>710</v>
      </c>
      <c r="E410" t="s">
        <v>711</v>
      </c>
      <c r="F410" t="s">
        <v>712</v>
      </c>
      <c r="G410" t="s">
        <v>713</v>
      </c>
      <c r="H410" t="s">
        <v>714</v>
      </c>
      <c r="I410" t="s">
        <v>715</v>
      </c>
      <c r="J410" t="s">
        <v>716</v>
      </c>
      <c r="K410" t="s">
        <v>717</v>
      </c>
      <c r="L410" t="s">
        <v>718</v>
      </c>
      <c r="M410" t="s">
        <v>719</v>
      </c>
      <c r="N410" t="s">
        <v>720</v>
      </c>
      <c r="O410" t="s">
        <v>721</v>
      </c>
      <c r="P410" t="s">
        <v>722</v>
      </c>
      <c r="Q410" t="s">
        <v>723</v>
      </c>
      <c r="R410" t="s">
        <v>724</v>
      </c>
      <c r="S410" t="s">
        <v>725</v>
      </c>
      <c r="T410" t="s">
        <v>726</v>
      </c>
      <c r="U410" t="s">
        <v>727</v>
      </c>
      <c r="V410" t="s">
        <v>728</v>
      </c>
      <c r="W410" s="171"/>
    </row>
    <row r="411" spans="1:23" ht="30">
      <c r="B411" s="219"/>
      <c r="C411" s="324" t="s">
        <v>386</v>
      </c>
      <c r="D411" s="321" t="s">
        <v>375</v>
      </c>
      <c r="E411" s="178"/>
      <c r="F411" s="178"/>
      <c r="G411" s="178"/>
      <c r="H411" s="178"/>
      <c r="I411" s="178"/>
      <c r="J411" s="178"/>
      <c r="K411" s="178"/>
      <c r="L411" s="178"/>
      <c r="M411" s="178"/>
      <c r="N411" s="178"/>
      <c r="O411" s="178"/>
      <c r="P411" s="178"/>
      <c r="Q411" s="178"/>
      <c r="R411" s="178"/>
      <c r="S411" s="178"/>
      <c r="T411" s="178"/>
      <c r="U411" s="178"/>
      <c r="V411" s="178"/>
      <c r="W411" s="171"/>
    </row>
    <row r="412" spans="1:23" ht="15.75" thickBot="1">
      <c r="B412" s="276" t="s">
        <v>387</v>
      </c>
      <c r="C412" s="276"/>
      <c r="D412" s="275">
        <v>10</v>
      </c>
      <c r="E412" s="275">
        <v>11</v>
      </c>
      <c r="F412" s="275">
        <v>12</v>
      </c>
      <c r="G412" s="275">
        <v>13</v>
      </c>
      <c r="H412" s="275">
        <v>14</v>
      </c>
      <c r="I412" s="275">
        <v>15</v>
      </c>
      <c r="J412" s="275">
        <v>16</v>
      </c>
      <c r="K412" s="275">
        <v>17</v>
      </c>
      <c r="L412" s="275">
        <v>18</v>
      </c>
      <c r="M412" s="275">
        <v>19</v>
      </c>
      <c r="N412" s="275">
        <v>20</v>
      </c>
      <c r="O412" s="275">
        <v>21</v>
      </c>
      <c r="P412" s="275">
        <v>22</v>
      </c>
      <c r="Q412" s="275">
        <v>23</v>
      </c>
      <c r="R412" s="275">
        <v>24</v>
      </c>
      <c r="S412" s="275">
        <v>25</v>
      </c>
      <c r="T412" s="275">
        <v>26</v>
      </c>
      <c r="U412" s="275">
        <v>27</v>
      </c>
      <c r="V412" s="275">
        <v>28</v>
      </c>
      <c r="W412" s="275"/>
    </row>
    <row r="413" spans="1:23" ht="16.5" thickTop="1" thickBot="1">
      <c r="A413" t="s">
        <v>592</v>
      </c>
      <c r="B413" s="275" t="str">
        <f>'Standard data'!B373</f>
        <v>Pasture, range, paddock</v>
      </c>
      <c r="C413" s="275" t="s">
        <v>394</v>
      </c>
      <c r="D413" s="275">
        <v>0.01</v>
      </c>
      <c r="E413" s="275">
        <v>0.01</v>
      </c>
      <c r="F413" s="275">
        <v>0.01</v>
      </c>
      <c r="G413" s="275">
        <v>0.01</v>
      </c>
      <c r="H413" s="275">
        <v>0.01</v>
      </c>
      <c r="I413" s="275">
        <v>1.4999999999999999E-2</v>
      </c>
      <c r="J413" s="275">
        <v>1.4999999999999999E-2</v>
      </c>
      <c r="K413" s="275">
        <v>1.4999999999999999E-2</v>
      </c>
      <c r="L413" s="275">
        <v>1.4999999999999999E-2</v>
      </c>
      <c r="M413" s="275">
        <v>1.4999999999999999E-2</v>
      </c>
      <c r="N413" s="275">
        <v>1.4999999999999999E-2</v>
      </c>
      <c r="O413" s="275">
        <v>1.4999999999999999E-2</v>
      </c>
      <c r="P413" s="275">
        <v>1.4999999999999999E-2</v>
      </c>
      <c r="Q413" s="275">
        <v>1.4999999999999999E-2</v>
      </c>
      <c r="R413" s="275">
        <v>1.4999999999999999E-2</v>
      </c>
      <c r="S413" s="275">
        <v>1.4999999999999999E-2</v>
      </c>
      <c r="T413" s="275">
        <v>0.02</v>
      </c>
      <c r="U413" s="275">
        <v>0.02</v>
      </c>
      <c r="V413" s="275">
        <v>0.02</v>
      </c>
      <c r="W413" s="275"/>
    </row>
    <row r="414" spans="1:23" ht="16.5" thickTop="1" thickBot="1">
      <c r="A414" t="s">
        <v>593</v>
      </c>
      <c r="B414" s="275" t="str">
        <f>'Standard data'!B374</f>
        <v>Daily spread</v>
      </c>
      <c r="C414" s="275">
        <v>0</v>
      </c>
      <c r="D414" s="275">
        <v>1E-3</v>
      </c>
      <c r="E414" s="275">
        <v>1E-3</v>
      </c>
      <c r="F414" s="275">
        <v>1E-3</v>
      </c>
      <c r="G414" s="275">
        <v>1E-3</v>
      </c>
      <c r="H414" s="275">
        <v>1E-3</v>
      </c>
      <c r="I414" s="275">
        <v>5.0000000000000001E-3</v>
      </c>
      <c r="J414" s="275">
        <v>5.0000000000000001E-3</v>
      </c>
      <c r="K414" s="275">
        <v>5.0000000000000001E-3</v>
      </c>
      <c r="L414" s="275">
        <v>5.0000000000000001E-3</v>
      </c>
      <c r="M414" s="275">
        <v>5.0000000000000001E-3</v>
      </c>
      <c r="N414" s="275">
        <v>5.0000000000000001E-3</v>
      </c>
      <c r="O414" s="275">
        <v>5.0000000000000001E-3</v>
      </c>
      <c r="P414" s="275">
        <v>5.0000000000000001E-3</v>
      </c>
      <c r="Q414" s="275">
        <v>5.0000000000000001E-3</v>
      </c>
      <c r="R414" s="275">
        <v>5.0000000000000001E-3</v>
      </c>
      <c r="S414" s="275">
        <v>5.0000000000000001E-3</v>
      </c>
      <c r="T414" s="275">
        <v>0.01</v>
      </c>
      <c r="U414" s="275">
        <v>0.01</v>
      </c>
      <c r="V414" s="275">
        <v>0.01</v>
      </c>
      <c r="W414" s="275"/>
    </row>
    <row r="415" spans="1:23" ht="16.5" thickTop="1" thickBot="1">
      <c r="A415" t="s">
        <v>594</v>
      </c>
      <c r="B415" s="275" t="str">
        <f>'Standard data'!B375</f>
        <v>Solid storage</v>
      </c>
      <c r="C415" s="275">
        <v>5.0000000000000001E-3</v>
      </c>
      <c r="D415" s="275">
        <v>0.02</v>
      </c>
      <c r="E415" s="275">
        <v>0.02</v>
      </c>
      <c r="F415" s="275">
        <v>0.02</v>
      </c>
      <c r="G415" s="275">
        <v>0.02</v>
      </c>
      <c r="H415" s="275">
        <v>0.02</v>
      </c>
      <c r="I415" s="275">
        <v>0.04</v>
      </c>
      <c r="J415" s="275">
        <v>0.04</v>
      </c>
      <c r="K415" s="275">
        <v>0.04</v>
      </c>
      <c r="L415" s="275">
        <v>0.04</v>
      </c>
      <c r="M415" s="275">
        <v>0.04</v>
      </c>
      <c r="N415" s="275">
        <v>0.04</v>
      </c>
      <c r="O415" s="275">
        <v>0.04</v>
      </c>
      <c r="P415" s="275">
        <v>0.04</v>
      </c>
      <c r="Q415" s="275">
        <v>0.04</v>
      </c>
      <c r="R415" s="275">
        <v>0.04</v>
      </c>
      <c r="S415" s="275">
        <v>0.04</v>
      </c>
      <c r="T415" s="275">
        <v>0.05</v>
      </c>
      <c r="U415" s="275">
        <v>0.05</v>
      </c>
      <c r="V415" s="275">
        <v>0.05</v>
      </c>
      <c r="W415" s="275"/>
    </row>
    <row r="416" spans="1:23" ht="16.5" thickTop="1" thickBot="1">
      <c r="A416" t="s">
        <v>595</v>
      </c>
      <c r="B416" s="275" t="str">
        <f>'Standard data'!B376</f>
        <v>Dry lot</v>
      </c>
      <c r="C416" s="275">
        <v>0.02</v>
      </c>
      <c r="D416" s="275">
        <v>0.01</v>
      </c>
      <c r="E416" s="275">
        <v>0.01</v>
      </c>
      <c r="F416" s="275">
        <v>0.01</v>
      </c>
      <c r="G416" s="275">
        <v>0.01</v>
      </c>
      <c r="H416" s="275">
        <v>0.01</v>
      </c>
      <c r="I416" s="275">
        <v>1.4999999999999999E-2</v>
      </c>
      <c r="J416" s="275">
        <v>1.4999999999999999E-2</v>
      </c>
      <c r="K416" s="275">
        <v>1.4999999999999999E-2</v>
      </c>
      <c r="L416" s="275">
        <v>1.4999999999999999E-2</v>
      </c>
      <c r="M416" s="275">
        <v>1.4999999999999999E-2</v>
      </c>
      <c r="N416" s="275">
        <v>1.4999999999999999E-2</v>
      </c>
      <c r="O416" s="275">
        <v>1.4999999999999999E-2</v>
      </c>
      <c r="P416" s="275">
        <v>1.4999999999999999E-2</v>
      </c>
      <c r="Q416" s="275">
        <v>1.4999999999999999E-2</v>
      </c>
      <c r="R416" s="275">
        <v>1.4999999999999999E-2</v>
      </c>
      <c r="S416" s="275">
        <v>1.4999999999999999E-2</v>
      </c>
      <c r="T416" s="275">
        <v>0.02</v>
      </c>
      <c r="U416" s="275">
        <v>0.02</v>
      </c>
      <c r="V416" s="275">
        <v>0.02</v>
      </c>
      <c r="W416" s="275"/>
    </row>
    <row r="417" spans="1:23" ht="31.5" thickTop="1" thickBot="1">
      <c r="A417" t="s">
        <v>597</v>
      </c>
      <c r="B417" s="275" t="str">
        <f>'Standard data'!B377</f>
        <v>Liquid / Slurry with natural crust cover</v>
      </c>
      <c r="C417" s="275">
        <v>5.0000000000000001E-3</v>
      </c>
      <c r="D417" s="275">
        <v>0.1</v>
      </c>
      <c r="E417" s="275">
        <v>0.11</v>
      </c>
      <c r="F417" s="275">
        <v>0.13</v>
      </c>
      <c r="G417" s="275">
        <v>0.14000000000000001</v>
      </c>
      <c r="H417" s="275">
        <v>0.15</v>
      </c>
      <c r="I417" s="275">
        <v>0.17</v>
      </c>
      <c r="J417" s="275">
        <v>0.18</v>
      </c>
      <c r="K417" s="275">
        <v>0.2</v>
      </c>
      <c r="L417" s="275">
        <v>0.22</v>
      </c>
      <c r="M417" s="275">
        <v>0.24</v>
      </c>
      <c r="N417" s="275">
        <v>0.26</v>
      </c>
      <c r="O417" s="275">
        <v>0.28999999999999998</v>
      </c>
      <c r="P417" s="275">
        <v>0.31</v>
      </c>
      <c r="Q417" s="275">
        <v>0.34</v>
      </c>
      <c r="R417" s="275">
        <v>0.37</v>
      </c>
      <c r="S417" s="275">
        <v>0.41</v>
      </c>
      <c r="T417" s="275">
        <v>0.44</v>
      </c>
      <c r="U417" s="275">
        <v>0.48</v>
      </c>
      <c r="V417" s="275">
        <v>0.5</v>
      </c>
      <c r="W417" s="275"/>
    </row>
    <row r="418" spans="1:23" ht="31.5" thickTop="1" thickBot="1">
      <c r="A418" t="s">
        <v>598</v>
      </c>
      <c r="B418" s="275" t="str">
        <f>'Standard data'!B378</f>
        <v>Liquid / slurry without natural crust cover</v>
      </c>
      <c r="C418" s="275">
        <v>0</v>
      </c>
      <c r="D418" s="275">
        <v>0.17</v>
      </c>
      <c r="E418" s="275">
        <v>0.19</v>
      </c>
      <c r="F418" s="275">
        <v>0.2</v>
      </c>
      <c r="G418" s="275">
        <v>0.22</v>
      </c>
      <c r="H418" s="275">
        <v>0.25</v>
      </c>
      <c r="I418" s="275">
        <v>0.27</v>
      </c>
      <c r="J418" s="275">
        <v>0.28999999999999998</v>
      </c>
      <c r="K418" s="275">
        <v>0.32</v>
      </c>
      <c r="L418" s="275">
        <v>0.35</v>
      </c>
      <c r="M418" s="275">
        <v>0.39</v>
      </c>
      <c r="N418" s="275">
        <v>0.42</v>
      </c>
      <c r="O418" s="275">
        <v>0.46</v>
      </c>
      <c r="P418" s="275">
        <v>0.5</v>
      </c>
      <c r="Q418" s="275">
        <v>0.55000000000000004</v>
      </c>
      <c r="R418" s="275">
        <v>0.6</v>
      </c>
      <c r="S418" s="275">
        <v>0.65</v>
      </c>
      <c r="T418" s="275">
        <v>0.71</v>
      </c>
      <c r="U418" s="275">
        <v>0.78</v>
      </c>
      <c r="V418" s="275">
        <v>0.8</v>
      </c>
      <c r="W418" s="275"/>
    </row>
    <row r="419" spans="1:23" ht="16.5" thickTop="1" thickBot="1">
      <c r="A419" t="s">
        <v>596</v>
      </c>
      <c r="B419" s="275" t="str">
        <f>'Standard data'!B379</f>
        <v xml:space="preserve">Uncovered anaerobic lagoon </v>
      </c>
      <c r="C419" s="275">
        <v>0</v>
      </c>
      <c r="D419" s="275">
        <v>0.66</v>
      </c>
      <c r="E419" s="275">
        <v>0.68</v>
      </c>
      <c r="F419" s="275">
        <v>0.7</v>
      </c>
      <c r="G419" s="275">
        <v>0.71</v>
      </c>
      <c r="H419" s="275">
        <v>0.73</v>
      </c>
      <c r="I419" s="275">
        <v>0.74</v>
      </c>
      <c r="J419" s="275">
        <v>0.75</v>
      </c>
      <c r="K419" s="275">
        <v>0.76</v>
      </c>
      <c r="L419" s="275">
        <v>0.77</v>
      </c>
      <c r="M419" s="275">
        <v>0.77</v>
      </c>
      <c r="N419" s="275">
        <v>0.78</v>
      </c>
      <c r="O419" s="275">
        <v>0.78</v>
      </c>
      <c r="P419" s="275">
        <v>0.78</v>
      </c>
      <c r="Q419" s="275">
        <v>0.79</v>
      </c>
      <c r="R419" s="275">
        <v>0.79</v>
      </c>
      <c r="S419" s="275">
        <v>0.79</v>
      </c>
      <c r="T419" s="275">
        <v>0.79</v>
      </c>
      <c r="U419" s="275">
        <v>0.8</v>
      </c>
      <c r="V419" s="275">
        <v>0.8</v>
      </c>
      <c r="W419" s="275"/>
    </row>
    <row r="420" spans="1:23" ht="31.5" thickTop="1" thickBot="1">
      <c r="A420" t="s">
        <v>599</v>
      </c>
      <c r="B420" s="275" t="str">
        <f>'Standard data'!B380</f>
        <v>Pit storage below animal confinements, &lt;1 month</v>
      </c>
      <c r="C420" s="275">
        <v>2E-3</v>
      </c>
      <c r="D420" s="275">
        <v>0.03</v>
      </c>
      <c r="E420" s="275">
        <v>0.03</v>
      </c>
      <c r="F420" s="275">
        <v>0.03</v>
      </c>
      <c r="G420" s="275">
        <v>0.03</v>
      </c>
      <c r="H420" s="275">
        <v>0.03</v>
      </c>
      <c r="I420" s="275">
        <v>0.03</v>
      </c>
      <c r="J420" s="275">
        <v>0.03</v>
      </c>
      <c r="K420" s="275">
        <v>0.03</v>
      </c>
      <c r="L420" s="275">
        <v>0.03</v>
      </c>
      <c r="M420" s="275">
        <v>0.03</v>
      </c>
      <c r="N420" s="275">
        <v>0.03</v>
      </c>
      <c r="O420" s="275">
        <v>0.03</v>
      </c>
      <c r="P420" s="275">
        <v>0.03</v>
      </c>
      <c r="Q420" s="275">
        <v>0.03</v>
      </c>
      <c r="R420" s="275">
        <v>0.03</v>
      </c>
      <c r="S420" s="275">
        <v>0.03</v>
      </c>
      <c r="T420" s="275">
        <v>0.3</v>
      </c>
      <c r="U420" s="275">
        <v>0.3</v>
      </c>
      <c r="V420" s="275">
        <v>0.3</v>
      </c>
      <c r="W420" s="275"/>
    </row>
    <row r="421" spans="1:23" ht="31.5" thickTop="1" thickBot="1">
      <c r="A421" t="s">
        <v>600</v>
      </c>
      <c r="B421" s="275" t="str">
        <f>'Standard data'!B381</f>
        <v>Pit storage below animal confinements, &gt; 1 month</v>
      </c>
      <c r="C421" s="275">
        <v>2E-3</v>
      </c>
      <c r="D421" s="275">
        <v>0.17</v>
      </c>
      <c r="E421" s="275">
        <v>0.19</v>
      </c>
      <c r="F421" s="275">
        <v>0.2</v>
      </c>
      <c r="G421" s="275">
        <v>0.22</v>
      </c>
      <c r="H421" s="275">
        <v>0.25</v>
      </c>
      <c r="I421" s="275">
        <v>0.27</v>
      </c>
      <c r="J421" s="275">
        <v>0.28999999999999998</v>
      </c>
      <c r="K421" s="275">
        <v>0.32</v>
      </c>
      <c r="L421" s="275">
        <v>0.35</v>
      </c>
      <c r="M421" s="275">
        <v>0.39</v>
      </c>
      <c r="N421" s="275">
        <v>0.42</v>
      </c>
      <c r="O421" s="275">
        <v>0.46</v>
      </c>
      <c r="P421" s="275">
        <v>0.5</v>
      </c>
      <c r="Q421" s="275">
        <v>0.55000000000000004</v>
      </c>
      <c r="R421" s="275">
        <v>0.6</v>
      </c>
      <c r="S421" s="275">
        <v>0.65</v>
      </c>
      <c r="T421" s="275">
        <v>0.71</v>
      </c>
      <c r="U421" s="275">
        <v>0.78</v>
      </c>
      <c r="V421" s="275">
        <v>0.8</v>
      </c>
      <c r="W421" s="275"/>
    </row>
    <row r="422" spans="1:23" ht="16.5" thickTop="1" thickBot="1">
      <c r="A422" t="s">
        <v>601</v>
      </c>
      <c r="B422" s="275" t="str">
        <f>'Standard data'!B382</f>
        <v xml:space="preserve">Anaerobic digester </v>
      </c>
      <c r="C422" s="275">
        <v>0</v>
      </c>
      <c r="D422" s="275">
        <v>0.1</v>
      </c>
      <c r="E422" s="275">
        <v>0.1</v>
      </c>
      <c r="F422" s="275">
        <v>0.1</v>
      </c>
      <c r="G422" s="275">
        <v>0.1</v>
      </c>
      <c r="H422" s="275">
        <v>0.1</v>
      </c>
      <c r="I422" s="275">
        <v>0.1</v>
      </c>
      <c r="J422" s="275">
        <v>0.1</v>
      </c>
      <c r="K422" s="275">
        <v>0.1</v>
      </c>
      <c r="L422" s="275">
        <v>0.1</v>
      </c>
      <c r="M422" s="275">
        <v>0.1</v>
      </c>
      <c r="N422" s="275">
        <v>0.1</v>
      </c>
      <c r="O422" s="275">
        <v>0.1</v>
      </c>
      <c r="P422" s="275">
        <v>0.1</v>
      </c>
      <c r="Q422" s="275">
        <v>0.1</v>
      </c>
      <c r="R422" s="275">
        <v>0.1</v>
      </c>
      <c r="S422" s="275">
        <v>0.1</v>
      </c>
      <c r="T422" s="275">
        <v>0.1</v>
      </c>
      <c r="U422" s="275">
        <v>0.1</v>
      </c>
      <c r="V422" s="275">
        <v>0.1</v>
      </c>
      <c r="W422" s="275"/>
    </row>
    <row r="423" spans="1:23" ht="31.5" thickTop="1" thickBot="1">
      <c r="A423" t="s">
        <v>602</v>
      </c>
      <c r="B423" s="275" t="str">
        <f>'Standard data'!B383</f>
        <v>Cattle and swine deep bedding-no mixing, &lt;1 month</v>
      </c>
      <c r="C423" s="275">
        <v>0.01</v>
      </c>
      <c r="D423" s="275">
        <v>0.03</v>
      </c>
      <c r="E423" s="275">
        <v>0.03</v>
      </c>
      <c r="F423" s="275">
        <v>0.03</v>
      </c>
      <c r="G423" s="275">
        <v>0.03</v>
      </c>
      <c r="H423" s="275">
        <v>0.03</v>
      </c>
      <c r="I423" s="275">
        <v>0.03</v>
      </c>
      <c r="J423" s="275">
        <v>0.03</v>
      </c>
      <c r="K423" s="275">
        <v>0.03</v>
      </c>
      <c r="L423" s="275">
        <v>0.03</v>
      </c>
      <c r="M423" s="275">
        <v>0.03</v>
      </c>
      <c r="N423" s="275">
        <v>0.03</v>
      </c>
      <c r="O423" s="275">
        <v>0.03</v>
      </c>
      <c r="P423" s="275">
        <v>0.03</v>
      </c>
      <c r="Q423" s="275">
        <v>0.03</v>
      </c>
      <c r="R423" s="275">
        <v>0.03</v>
      </c>
      <c r="S423" s="275">
        <v>0.03</v>
      </c>
      <c r="T423" s="275">
        <v>0.3</v>
      </c>
      <c r="U423" s="275">
        <v>0.3</v>
      </c>
      <c r="V423" s="275">
        <v>0.3</v>
      </c>
      <c r="W423" s="275"/>
    </row>
    <row r="424" spans="1:23" ht="31.5" thickTop="1" thickBot="1">
      <c r="A424" t="s">
        <v>603</v>
      </c>
      <c r="B424" s="275" t="str">
        <f>'Standard data'!B384</f>
        <v>Cattle and swine deep bedding-no mixing, &gt;1 month</v>
      </c>
      <c r="C424" s="275">
        <v>0.01</v>
      </c>
      <c r="D424" s="275">
        <v>0.17</v>
      </c>
      <c r="E424" s="275">
        <v>0.19</v>
      </c>
      <c r="F424" s="275">
        <v>0.2</v>
      </c>
      <c r="G424" s="275">
        <v>0.22</v>
      </c>
      <c r="H424" s="275">
        <v>0.25</v>
      </c>
      <c r="I424" s="275">
        <v>0.27</v>
      </c>
      <c r="J424" s="275">
        <v>0.28999999999999998</v>
      </c>
      <c r="K424" s="275">
        <v>0.32</v>
      </c>
      <c r="L424" s="275">
        <v>0.35</v>
      </c>
      <c r="M424" s="275">
        <v>0.39</v>
      </c>
      <c r="N424" s="275">
        <v>0.42</v>
      </c>
      <c r="O424" s="275">
        <v>0.46</v>
      </c>
      <c r="P424" s="275">
        <v>0.5</v>
      </c>
      <c r="Q424" s="275">
        <v>0.55000000000000004</v>
      </c>
      <c r="R424" s="275">
        <v>0.6</v>
      </c>
      <c r="S424" s="275">
        <v>0.65</v>
      </c>
      <c r="T424" s="275">
        <v>0.71</v>
      </c>
      <c r="U424" s="275">
        <v>0.78</v>
      </c>
      <c r="V424" s="275">
        <v>0.8</v>
      </c>
      <c r="W424" s="275"/>
    </row>
    <row r="425" spans="1:23" ht="31.5" thickTop="1" thickBot="1">
      <c r="A425" t="s">
        <v>604</v>
      </c>
      <c r="B425" s="275" t="str">
        <f>'Standard data'!B385</f>
        <v>Cattle and swine deep bedding-active mixing, &lt; 1 month</v>
      </c>
      <c r="C425" s="275">
        <v>7.0000000000000007E-2</v>
      </c>
      <c r="D425" s="275">
        <v>0.03</v>
      </c>
      <c r="E425" s="275">
        <v>0.03</v>
      </c>
      <c r="F425" s="275">
        <v>0.03</v>
      </c>
      <c r="G425" s="275">
        <v>0.03</v>
      </c>
      <c r="H425" s="275">
        <v>0.03</v>
      </c>
      <c r="I425" s="275">
        <v>0.03</v>
      </c>
      <c r="J425" s="275">
        <v>0.03</v>
      </c>
      <c r="K425" s="275">
        <v>0.03</v>
      </c>
      <c r="L425" s="275">
        <v>0.03</v>
      </c>
      <c r="M425" s="275">
        <v>0.03</v>
      </c>
      <c r="N425" s="275">
        <v>0.03</v>
      </c>
      <c r="O425" s="275">
        <v>0.03</v>
      </c>
      <c r="P425" s="275">
        <v>0.03</v>
      </c>
      <c r="Q425" s="275">
        <v>0.03</v>
      </c>
      <c r="R425" s="275">
        <v>0.03</v>
      </c>
      <c r="S425" s="275">
        <v>0.03</v>
      </c>
      <c r="T425" s="275">
        <v>0.3</v>
      </c>
      <c r="U425" s="275">
        <v>0.3</v>
      </c>
      <c r="V425" s="275">
        <v>0.3</v>
      </c>
      <c r="W425" s="275"/>
    </row>
    <row r="426" spans="1:23" ht="31.5" thickTop="1" thickBot="1">
      <c r="A426" t="s">
        <v>605</v>
      </c>
      <c r="B426" s="275" t="str">
        <f>'Standard data'!B386</f>
        <v>Cattle and swine deep bedding-active mixing, &gt; 1 month</v>
      </c>
      <c r="C426" s="275">
        <v>7.0000000000000007E-2</v>
      </c>
      <c r="D426" s="275">
        <v>0.17</v>
      </c>
      <c r="E426" s="275">
        <v>0.19</v>
      </c>
      <c r="F426" s="275">
        <v>0.2</v>
      </c>
      <c r="G426" s="275">
        <v>0.22</v>
      </c>
      <c r="H426" s="275">
        <v>0.25</v>
      </c>
      <c r="I426" s="275">
        <v>0.27</v>
      </c>
      <c r="J426" s="275">
        <v>0.28999999999999998</v>
      </c>
      <c r="K426" s="275">
        <v>0.32</v>
      </c>
      <c r="L426" s="275">
        <v>0.35</v>
      </c>
      <c r="M426" s="275">
        <v>0.39</v>
      </c>
      <c r="N426" s="275">
        <v>0.42</v>
      </c>
      <c r="O426" s="275">
        <v>0.46</v>
      </c>
      <c r="P426" s="275">
        <v>0.5</v>
      </c>
      <c r="Q426" s="275">
        <v>0.55000000000000004</v>
      </c>
      <c r="R426" s="275">
        <v>0.6</v>
      </c>
      <c r="S426" s="275">
        <v>0.65</v>
      </c>
      <c r="T426" s="275">
        <v>0.71</v>
      </c>
      <c r="U426" s="275">
        <v>0.78</v>
      </c>
      <c r="V426" s="275">
        <v>0.8</v>
      </c>
      <c r="W426" s="275"/>
    </row>
    <row r="427" spans="1:23" ht="16.5" thickTop="1" thickBot="1">
      <c r="A427" t="s">
        <v>606</v>
      </c>
      <c r="B427" s="275" t="str">
        <f>'Standard data'!B387</f>
        <v>Composting In-vessel</v>
      </c>
      <c r="C427" s="275">
        <v>6.0000000000000001E-3</v>
      </c>
      <c r="D427" s="275">
        <v>5.0000000000000001E-3</v>
      </c>
      <c r="E427" s="275">
        <v>5.0000000000000001E-3</v>
      </c>
      <c r="F427" s="275">
        <v>5.0000000000000001E-3</v>
      </c>
      <c r="G427" s="275">
        <v>5.0000000000000001E-3</v>
      </c>
      <c r="H427" s="275">
        <v>5.0000000000000001E-3</v>
      </c>
      <c r="I427" s="275">
        <v>5.0000000000000001E-3</v>
      </c>
      <c r="J427" s="275">
        <v>5.0000000000000001E-3</v>
      </c>
      <c r="K427" s="275">
        <v>5.0000000000000001E-3</v>
      </c>
      <c r="L427" s="275">
        <v>5.0000000000000001E-3</v>
      </c>
      <c r="M427" s="275">
        <v>5.0000000000000001E-3</v>
      </c>
      <c r="N427" s="275">
        <v>5.0000000000000001E-3</v>
      </c>
      <c r="O427" s="275">
        <v>5.0000000000000001E-3</v>
      </c>
      <c r="P427" s="275">
        <v>5.0000000000000001E-3</v>
      </c>
      <c r="Q427" s="275">
        <v>5.0000000000000001E-3</v>
      </c>
      <c r="R427" s="275">
        <v>5.0000000000000001E-3</v>
      </c>
      <c r="S427" s="275">
        <v>5.0000000000000001E-3</v>
      </c>
      <c r="T427" s="275">
        <v>5.0000000000000001E-3</v>
      </c>
      <c r="U427" s="275">
        <v>5.0000000000000001E-3</v>
      </c>
      <c r="V427" s="275">
        <v>5.0000000000000001E-3</v>
      </c>
      <c r="W427" s="275"/>
    </row>
    <row r="428" spans="1:23" ht="16.5" thickTop="1" thickBot="1">
      <c r="A428" t="s">
        <v>607</v>
      </c>
      <c r="B428" s="275" t="str">
        <f>'Standard data'!B388</f>
        <v>Composting Static Pile</v>
      </c>
      <c r="C428" s="275">
        <v>6.0000000000000001E-3</v>
      </c>
      <c r="D428" s="275">
        <v>5.0000000000000001E-3</v>
      </c>
      <c r="E428" s="275">
        <v>5.0000000000000001E-3</v>
      </c>
      <c r="F428" s="275">
        <v>5.0000000000000001E-3</v>
      </c>
      <c r="G428" s="275">
        <v>5.0000000000000001E-3</v>
      </c>
      <c r="H428" s="275">
        <v>5.0000000000000001E-3</v>
      </c>
      <c r="I428" s="275">
        <v>5.0000000000000001E-3</v>
      </c>
      <c r="J428" s="275">
        <v>5.0000000000000001E-3</v>
      </c>
      <c r="K428" s="275">
        <v>5.0000000000000001E-3</v>
      </c>
      <c r="L428" s="275">
        <v>5.0000000000000001E-3</v>
      </c>
      <c r="M428" s="275">
        <v>5.0000000000000001E-3</v>
      </c>
      <c r="N428" s="275">
        <v>5.0000000000000001E-3</v>
      </c>
      <c r="O428" s="275">
        <v>5.0000000000000001E-3</v>
      </c>
      <c r="P428" s="275">
        <v>5.0000000000000001E-3</v>
      </c>
      <c r="Q428" s="275">
        <v>5.0000000000000001E-3</v>
      </c>
      <c r="R428" s="275">
        <v>5.0000000000000001E-3</v>
      </c>
      <c r="S428" s="275">
        <v>5.0000000000000001E-3</v>
      </c>
      <c r="T428" s="275">
        <v>5.0000000000000001E-3</v>
      </c>
      <c r="U428" s="275">
        <v>5.0000000000000001E-3</v>
      </c>
      <c r="V428" s="275">
        <v>5.0000000000000001E-3</v>
      </c>
      <c r="W428" s="275"/>
    </row>
    <row r="429" spans="1:23" ht="16.5" thickTop="1" thickBot="1">
      <c r="A429" t="s">
        <v>608</v>
      </c>
      <c r="B429" s="275" t="str">
        <f>'Standard data'!B389</f>
        <v>Composting intensive windrow</v>
      </c>
      <c r="C429" s="275">
        <v>0.1</v>
      </c>
      <c r="D429" s="275">
        <v>5.0000000000000001E-3</v>
      </c>
      <c r="E429" s="275">
        <v>5.0000000000000001E-3</v>
      </c>
      <c r="F429" s="275">
        <v>5.0000000000000001E-3</v>
      </c>
      <c r="G429" s="275">
        <v>5.0000000000000001E-3</v>
      </c>
      <c r="H429" s="275">
        <v>5.0000000000000001E-3</v>
      </c>
      <c r="I429" s="275">
        <v>0.01</v>
      </c>
      <c r="J429" s="275">
        <v>0.01</v>
      </c>
      <c r="K429" s="275">
        <v>0.01</v>
      </c>
      <c r="L429" s="275">
        <v>0.01</v>
      </c>
      <c r="M429" s="275">
        <v>0.01</v>
      </c>
      <c r="N429" s="275">
        <v>0.01</v>
      </c>
      <c r="O429" s="275">
        <v>0.01</v>
      </c>
      <c r="P429" s="275">
        <v>0.01</v>
      </c>
      <c r="Q429" s="275">
        <v>0.01</v>
      </c>
      <c r="R429" s="275">
        <v>0.01</v>
      </c>
      <c r="S429" s="275">
        <v>0.01</v>
      </c>
      <c r="T429" s="275">
        <v>1.4999999999999999E-2</v>
      </c>
      <c r="U429" s="275">
        <v>1.4999999999999999E-2</v>
      </c>
      <c r="V429" s="275">
        <v>1.4999999999999999E-2</v>
      </c>
      <c r="W429" s="275"/>
    </row>
    <row r="430" spans="1:23" ht="16.5" thickTop="1" thickBot="1">
      <c r="A430" t="s">
        <v>609</v>
      </c>
      <c r="B430" s="275" t="str">
        <f>'Standard data'!B390</f>
        <v>Composting passive windrow</v>
      </c>
      <c r="C430" s="275">
        <v>0.01</v>
      </c>
      <c r="D430" s="275">
        <v>5.0000000000000001E-3</v>
      </c>
      <c r="E430" s="275">
        <v>5.0000000000000001E-3</v>
      </c>
      <c r="F430" s="275">
        <v>5.0000000000000001E-3</v>
      </c>
      <c r="G430" s="275">
        <v>5.0000000000000001E-3</v>
      </c>
      <c r="H430" s="275">
        <v>5.0000000000000001E-3</v>
      </c>
      <c r="I430" s="275">
        <v>0.01</v>
      </c>
      <c r="J430" s="275">
        <v>0.01</v>
      </c>
      <c r="K430" s="275">
        <v>0.01</v>
      </c>
      <c r="L430" s="275">
        <v>0.01</v>
      </c>
      <c r="M430" s="275">
        <v>0.01</v>
      </c>
      <c r="N430" s="275">
        <v>0.01</v>
      </c>
      <c r="O430" s="275">
        <v>0.01</v>
      </c>
      <c r="P430" s="275">
        <v>0.01</v>
      </c>
      <c r="Q430" s="275">
        <v>0.01</v>
      </c>
      <c r="R430" s="275">
        <v>0.01</v>
      </c>
      <c r="S430" s="275">
        <v>0.01</v>
      </c>
      <c r="T430" s="275">
        <v>1.4999999999999999E-2</v>
      </c>
      <c r="U430" s="275">
        <v>1.4999999999999999E-2</v>
      </c>
      <c r="V430" s="275">
        <v>1.4999999999999999E-2</v>
      </c>
      <c r="W430" s="275"/>
    </row>
    <row r="431" spans="1:23" ht="16.5" thickTop="1" thickBot="1">
      <c r="A431" t="s">
        <v>610</v>
      </c>
      <c r="B431" s="275" t="str">
        <f>'Standard data'!B391</f>
        <v>Poultry manure with litter</v>
      </c>
      <c r="C431" s="275">
        <v>1E-3</v>
      </c>
      <c r="D431" s="275">
        <v>1.4999999999999999E-2</v>
      </c>
      <c r="E431" s="275">
        <v>1.4999999999999999E-2</v>
      </c>
      <c r="F431" s="275">
        <v>1.4999999999999999E-2</v>
      </c>
      <c r="G431" s="275">
        <v>1.4999999999999999E-2</v>
      </c>
      <c r="H431" s="275">
        <v>1.4999999999999999E-2</v>
      </c>
      <c r="I431" s="275">
        <v>1.4999999999999999E-2</v>
      </c>
      <c r="J431" s="275">
        <v>1.4999999999999999E-2</v>
      </c>
      <c r="K431" s="275">
        <v>1.4999999999999999E-2</v>
      </c>
      <c r="L431" s="275">
        <v>1.4999999999999999E-2</v>
      </c>
      <c r="M431" s="275">
        <v>1.4999999999999999E-2</v>
      </c>
      <c r="N431" s="275">
        <v>1.4999999999999999E-2</v>
      </c>
      <c r="O431" s="275">
        <v>1.4999999999999999E-2</v>
      </c>
      <c r="P431" s="275">
        <v>1.4999999999999999E-2</v>
      </c>
      <c r="Q431" s="275">
        <v>1.4999999999999999E-2</v>
      </c>
      <c r="R431" s="275">
        <v>1.4999999999999999E-2</v>
      </c>
      <c r="S431" s="275">
        <v>1.4999999999999999E-2</v>
      </c>
      <c r="T431" s="275">
        <v>1.4999999999999999E-2</v>
      </c>
      <c r="U431" s="275">
        <v>1.4999999999999999E-2</v>
      </c>
      <c r="V431" s="275">
        <v>1.4999999999999999E-2</v>
      </c>
      <c r="W431" s="275"/>
    </row>
    <row r="432" spans="1:23" ht="16.5" thickTop="1" thickBot="1">
      <c r="A432" t="s">
        <v>611</v>
      </c>
      <c r="B432" s="275" t="str">
        <f>'Standard data'!B392</f>
        <v>Poultry without litter</v>
      </c>
      <c r="C432" s="275">
        <v>1E-3</v>
      </c>
      <c r="D432" s="275">
        <v>1.4999999999999999E-2</v>
      </c>
      <c r="E432" s="275">
        <v>1.4999999999999999E-2</v>
      </c>
      <c r="F432" s="275">
        <v>1.4999999999999999E-2</v>
      </c>
      <c r="G432" s="275">
        <v>1.4999999999999999E-2</v>
      </c>
      <c r="H432" s="275">
        <v>1.4999999999999999E-2</v>
      </c>
      <c r="I432" s="275">
        <v>1.4999999999999999E-2</v>
      </c>
      <c r="J432" s="275">
        <v>1.4999999999999999E-2</v>
      </c>
      <c r="K432" s="275">
        <v>1.4999999999999999E-2</v>
      </c>
      <c r="L432" s="275">
        <v>1.4999999999999999E-2</v>
      </c>
      <c r="M432" s="275">
        <v>1.4999999999999999E-2</v>
      </c>
      <c r="N432" s="275">
        <v>1.4999999999999999E-2</v>
      </c>
      <c r="O432" s="275">
        <v>1.4999999999999999E-2</v>
      </c>
      <c r="P432" s="275">
        <v>1.4999999999999999E-2</v>
      </c>
      <c r="Q432" s="275">
        <v>1.4999999999999999E-2</v>
      </c>
      <c r="R432" s="275">
        <v>1.4999999999999999E-2</v>
      </c>
      <c r="S432" s="275">
        <v>1.4999999999999999E-2</v>
      </c>
      <c r="T432" s="275">
        <v>1.4999999999999999E-2</v>
      </c>
      <c r="U432" s="275">
        <v>1.4999999999999999E-2</v>
      </c>
      <c r="V432" s="275">
        <v>1.4999999999999999E-2</v>
      </c>
      <c r="W432" s="275"/>
    </row>
    <row r="433" spans="1:24" ht="31.5" thickTop="1" thickBot="1">
      <c r="A433" t="s">
        <v>612</v>
      </c>
      <c r="B433" s="275" t="str">
        <f>'Standard data'!B393</f>
        <v>Aerobic treatment - natural aeration systems</v>
      </c>
      <c r="C433" s="275">
        <v>0.01</v>
      </c>
      <c r="D433" s="275">
        <v>0</v>
      </c>
      <c r="E433" s="275">
        <v>0</v>
      </c>
      <c r="F433" s="275">
        <v>0</v>
      </c>
      <c r="G433" s="275">
        <v>0</v>
      </c>
      <c r="H433" s="275">
        <v>0</v>
      </c>
      <c r="I433" s="275">
        <v>0</v>
      </c>
      <c r="J433" s="275">
        <v>0</v>
      </c>
      <c r="K433" s="275">
        <v>0</v>
      </c>
      <c r="L433" s="275">
        <v>0</v>
      </c>
      <c r="M433" s="275">
        <v>0</v>
      </c>
      <c r="N433" s="275">
        <v>0</v>
      </c>
      <c r="O433" s="275">
        <v>0</v>
      </c>
      <c r="P433" s="275">
        <v>0</v>
      </c>
      <c r="Q433" s="275">
        <v>0</v>
      </c>
      <c r="R433" s="275">
        <v>0</v>
      </c>
      <c r="S433" s="275">
        <v>0</v>
      </c>
      <c r="T433" s="275">
        <v>0</v>
      </c>
      <c r="U433" s="275">
        <v>0</v>
      </c>
      <c r="V433" s="275">
        <v>0</v>
      </c>
      <c r="W433" s="275"/>
    </row>
    <row r="434" spans="1:24" ht="31.5" thickTop="1" thickBot="1">
      <c r="A434" t="s">
        <v>613</v>
      </c>
      <c r="B434" s="275" t="str">
        <f>'Standard data'!B394</f>
        <v>Aerobic treatment -  Forced aeration systems</v>
      </c>
      <c r="C434" s="275">
        <v>0.01</v>
      </c>
      <c r="D434" s="275">
        <v>0</v>
      </c>
      <c r="E434" s="275">
        <v>0</v>
      </c>
      <c r="F434" s="275">
        <v>0</v>
      </c>
      <c r="G434" s="275">
        <v>0</v>
      </c>
      <c r="H434" s="275">
        <v>0</v>
      </c>
      <c r="I434" s="275">
        <v>0</v>
      </c>
      <c r="J434" s="275">
        <v>0</v>
      </c>
      <c r="K434" s="275">
        <v>0</v>
      </c>
      <c r="L434" s="275">
        <v>0</v>
      </c>
      <c r="M434" s="275">
        <v>0</v>
      </c>
      <c r="N434" s="275">
        <v>0</v>
      </c>
      <c r="O434" s="275">
        <v>0</v>
      </c>
      <c r="P434" s="275">
        <v>0</v>
      </c>
      <c r="Q434" s="275">
        <v>0</v>
      </c>
      <c r="R434" s="275">
        <v>0</v>
      </c>
      <c r="S434" s="275">
        <v>0</v>
      </c>
      <c r="T434" s="275">
        <v>0</v>
      </c>
      <c r="U434" s="275">
        <v>0</v>
      </c>
      <c r="V434" s="275">
        <v>0</v>
      </c>
      <c r="W434" s="275"/>
    </row>
    <row r="435" spans="1:24" ht="31.5" thickTop="1" thickBot="1">
      <c r="A435" t="s">
        <v>614</v>
      </c>
      <c r="B435" s="275" t="str">
        <f>'Standard data'!B395</f>
        <v>Excreted on fields, sun dried dung are burned for fuel</v>
      </c>
      <c r="C435" s="275"/>
      <c r="D435" s="275">
        <v>0.1</v>
      </c>
      <c r="E435" s="275">
        <v>0.1</v>
      </c>
      <c r="F435" s="275">
        <v>0.1</v>
      </c>
      <c r="G435" s="275">
        <v>0.1</v>
      </c>
      <c r="H435" s="275">
        <v>0.1</v>
      </c>
      <c r="I435" s="275">
        <v>0.1</v>
      </c>
      <c r="J435" s="275">
        <v>0.1</v>
      </c>
      <c r="K435" s="275">
        <v>0.1</v>
      </c>
      <c r="L435" s="275">
        <v>0.1</v>
      </c>
      <c r="M435" s="275">
        <v>0.1</v>
      </c>
      <c r="N435" s="275">
        <v>0.1</v>
      </c>
      <c r="O435" s="275">
        <v>0.1</v>
      </c>
      <c r="P435" s="275">
        <v>0.1</v>
      </c>
      <c r="Q435" s="275">
        <v>0.1</v>
      </c>
      <c r="R435" s="275">
        <v>0.1</v>
      </c>
      <c r="S435" s="275">
        <v>0.1</v>
      </c>
      <c r="T435" s="275">
        <v>0.1</v>
      </c>
      <c r="U435" s="275">
        <v>0.1</v>
      </c>
      <c r="V435" s="275">
        <v>0.1</v>
      </c>
      <c r="W435" s="275"/>
    </row>
    <row r="436" spans="1:24" ht="15.75" thickTop="1">
      <c r="B436" s="280"/>
      <c r="C436" s="280"/>
      <c r="D436" s="280"/>
      <c r="E436" s="280"/>
      <c r="F436" s="280"/>
      <c r="G436" s="280"/>
      <c r="H436" s="280"/>
      <c r="I436" s="280"/>
      <c r="J436" s="280"/>
      <c r="K436" s="280"/>
      <c r="L436" s="280"/>
      <c r="M436" s="280"/>
      <c r="N436" s="280"/>
      <c r="O436" s="280"/>
      <c r="P436" s="280"/>
      <c r="Q436" s="280"/>
      <c r="R436" s="280"/>
      <c r="S436" s="280"/>
      <c r="T436" s="280"/>
      <c r="U436" s="280"/>
      <c r="V436" s="280"/>
      <c r="W436" s="171"/>
    </row>
    <row r="437" spans="1:24">
      <c r="B437" s="291"/>
      <c r="C437" s="292"/>
      <c r="D437" s="293"/>
      <c r="E437" s="293"/>
      <c r="F437" s="293"/>
      <c r="G437" s="293"/>
      <c r="H437" s="293"/>
      <c r="I437" s="293"/>
      <c r="J437" s="293"/>
      <c r="K437" s="293"/>
      <c r="L437" s="293"/>
      <c r="M437" s="293"/>
      <c r="N437" s="293"/>
      <c r="O437" s="293"/>
      <c r="P437" s="293"/>
      <c r="Q437" s="293"/>
      <c r="R437" s="293"/>
      <c r="S437" s="293"/>
      <c r="T437" s="293"/>
      <c r="U437" s="293"/>
      <c r="V437" s="293"/>
      <c r="W437" s="170"/>
      <c r="X437" s="135"/>
    </row>
    <row r="438" spans="1:24">
      <c r="B438" s="291"/>
      <c r="C438" s="292"/>
      <c r="D438" s="293"/>
      <c r="E438" s="293"/>
      <c r="F438" s="293"/>
      <c r="G438" s="293"/>
      <c r="H438" s="293"/>
      <c r="I438" s="293"/>
      <c r="J438" s="293"/>
      <c r="K438" s="293"/>
      <c r="L438" s="293"/>
      <c r="M438" s="293"/>
      <c r="N438" s="293"/>
      <c r="O438" s="293"/>
      <c r="P438" s="293"/>
      <c r="Q438" s="293"/>
      <c r="R438" s="293"/>
      <c r="S438" s="293"/>
      <c r="T438" s="293"/>
      <c r="U438" s="293"/>
      <c r="V438" s="293"/>
      <c r="W438" s="170"/>
      <c r="X438" s="135"/>
    </row>
    <row r="439" spans="1:24">
      <c r="B439" s="291"/>
      <c r="C439" s="292"/>
      <c r="D439" s="293"/>
      <c r="E439" s="293"/>
      <c r="F439" s="293"/>
      <c r="G439" s="293"/>
      <c r="H439" s="293"/>
      <c r="I439" s="293"/>
      <c r="J439" s="293"/>
      <c r="K439" s="293"/>
      <c r="L439" s="293"/>
      <c r="M439" s="293"/>
      <c r="N439" s="293"/>
      <c r="O439" s="293"/>
      <c r="P439" s="293"/>
      <c r="Q439" s="293"/>
      <c r="R439" s="293"/>
      <c r="S439" s="293"/>
      <c r="T439" s="293"/>
      <c r="U439" s="293"/>
      <c r="V439" s="293"/>
      <c r="W439" s="170"/>
      <c r="X439" s="135"/>
    </row>
    <row r="440" spans="1:24">
      <c r="B440" s="291"/>
      <c r="C440" s="292"/>
      <c r="D440" s="293"/>
      <c r="E440" s="293"/>
      <c r="F440" s="293"/>
      <c r="G440" s="293"/>
      <c r="H440" s="293"/>
      <c r="I440" s="293"/>
      <c r="J440" s="293"/>
      <c r="K440" s="293"/>
      <c r="L440" s="293"/>
      <c r="M440" s="293"/>
      <c r="N440" s="293"/>
      <c r="O440" s="293"/>
      <c r="P440" s="293"/>
      <c r="Q440" s="293"/>
      <c r="R440" s="293"/>
      <c r="S440" s="293"/>
      <c r="T440" s="293"/>
      <c r="U440" s="293"/>
      <c r="V440" s="293"/>
      <c r="W440" s="170"/>
      <c r="X440" s="135"/>
    </row>
    <row r="441" spans="1:24">
      <c r="B441" s="291"/>
      <c r="C441" s="292"/>
      <c r="D441" s="293"/>
      <c r="E441" s="293"/>
      <c r="F441" s="293"/>
      <c r="G441" s="293"/>
      <c r="H441" s="293"/>
      <c r="I441" s="293"/>
      <c r="J441" s="293"/>
      <c r="K441" s="293"/>
      <c r="L441" s="293"/>
      <c r="M441" s="293"/>
      <c r="N441" s="293"/>
      <c r="O441" s="293"/>
      <c r="P441" s="293"/>
      <c r="Q441" s="293"/>
      <c r="R441" s="293"/>
      <c r="S441" s="293"/>
      <c r="T441" s="293"/>
      <c r="U441" s="293"/>
      <c r="V441" s="293"/>
      <c r="W441" s="170"/>
      <c r="X441" s="135"/>
    </row>
    <row r="442" spans="1:24">
      <c r="B442" s="291"/>
      <c r="C442" s="292"/>
      <c r="D442" s="293"/>
      <c r="E442" s="293"/>
      <c r="F442" s="293"/>
      <c r="G442" s="293"/>
      <c r="H442" s="293"/>
      <c r="I442" s="293"/>
      <c r="J442" s="293"/>
      <c r="K442" s="293"/>
      <c r="L442" s="293"/>
      <c r="M442" s="293"/>
      <c r="N442" s="293"/>
      <c r="O442" s="293"/>
      <c r="P442" s="293"/>
      <c r="Q442" s="293"/>
      <c r="R442" s="293"/>
      <c r="S442" s="293"/>
      <c r="T442" s="293"/>
      <c r="U442" s="293"/>
      <c r="V442" s="293"/>
      <c r="W442" s="170"/>
      <c r="X442" s="135"/>
    </row>
    <row r="443" spans="1:24">
      <c r="B443" s="290"/>
      <c r="C443" s="290"/>
      <c r="D443" s="170"/>
      <c r="E443" s="170"/>
      <c r="F443" s="170"/>
      <c r="G443" s="170"/>
      <c r="H443" s="170"/>
      <c r="I443" s="170"/>
      <c r="J443" s="170"/>
      <c r="K443" s="170"/>
      <c r="L443" s="170"/>
      <c r="M443" s="170"/>
      <c r="N443" s="170"/>
      <c r="O443" s="170"/>
      <c r="P443" s="170"/>
      <c r="Q443" s="170"/>
      <c r="R443" s="170"/>
      <c r="S443" s="170"/>
      <c r="T443" s="170"/>
      <c r="U443" s="170"/>
      <c r="V443" s="170"/>
      <c r="W443" s="170"/>
      <c r="X443" s="135"/>
    </row>
    <row r="444" spans="1:24">
      <c r="B444" s="290"/>
      <c r="C444" s="290"/>
      <c r="D444" s="170"/>
      <c r="E444" s="170"/>
      <c r="F444" s="170"/>
      <c r="G444" s="170"/>
      <c r="H444" s="170"/>
      <c r="I444" s="170"/>
      <c r="J444" s="170"/>
      <c r="K444" s="170"/>
      <c r="L444" s="170"/>
      <c r="M444" s="170"/>
      <c r="N444" s="170"/>
      <c r="O444" s="170"/>
      <c r="P444" s="170"/>
      <c r="Q444" s="170"/>
      <c r="R444" s="170"/>
      <c r="S444" s="170"/>
      <c r="T444" s="170"/>
      <c r="U444" s="170"/>
      <c r="V444" s="170"/>
      <c r="W444" s="170"/>
      <c r="X444" s="135"/>
    </row>
    <row r="445" spans="1:24">
      <c r="B445" s="290"/>
      <c r="C445" s="290"/>
      <c r="D445" s="170"/>
      <c r="E445" s="170"/>
      <c r="F445" s="170"/>
      <c r="G445" s="170"/>
      <c r="H445" s="170"/>
      <c r="I445" s="170"/>
      <c r="J445" s="170"/>
      <c r="K445" s="170"/>
      <c r="L445" s="170"/>
      <c r="M445" s="170"/>
      <c r="N445" s="170"/>
      <c r="O445" s="170"/>
      <c r="P445" s="170"/>
      <c r="Q445" s="170"/>
      <c r="R445" s="170"/>
      <c r="S445" s="170"/>
      <c r="T445" s="170"/>
      <c r="U445" s="170"/>
      <c r="V445" s="170"/>
      <c r="W445" s="170"/>
      <c r="X445" s="135"/>
    </row>
    <row r="446" spans="1:24">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row>
    <row r="448" spans="1:24" ht="15.75" hidden="1" outlineLevel="1">
      <c r="B448" s="222" t="s">
        <v>460</v>
      </c>
    </row>
    <row r="449" spans="2:57" hidden="1" outlineLevel="1"/>
    <row r="450" spans="2:57" ht="15.75" hidden="1" outlineLevel="1">
      <c r="B450" s="179" t="s">
        <v>376</v>
      </c>
      <c r="C450" s="180"/>
      <c r="D450" s="180"/>
      <c r="E450" s="180"/>
      <c r="F450" s="180"/>
      <c r="G450" s="171"/>
      <c r="H450" s="179" t="s">
        <v>377</v>
      </c>
      <c r="I450" s="180"/>
      <c r="J450" s="180"/>
      <c r="K450" s="180"/>
      <c r="L450" s="180"/>
      <c r="M450" s="171"/>
      <c r="N450" s="179" t="s">
        <v>378</v>
      </c>
      <c r="O450" s="180"/>
      <c r="P450" s="180"/>
      <c r="Q450" s="180"/>
      <c r="R450" s="180"/>
      <c r="S450" s="171"/>
      <c r="T450" s="179" t="s">
        <v>379</v>
      </c>
      <c r="U450" s="180"/>
      <c r="V450" s="180"/>
      <c r="W450" s="180"/>
      <c r="X450" s="180"/>
      <c r="Y450" s="171"/>
      <c r="Z450" s="179" t="s">
        <v>380</v>
      </c>
      <c r="AA450" s="180"/>
      <c r="AB450" s="180"/>
      <c r="AC450" s="180"/>
      <c r="AD450" s="180"/>
      <c r="AE450" s="171"/>
      <c r="AF450" s="179" t="s">
        <v>381</v>
      </c>
      <c r="AG450" s="180"/>
      <c r="AH450" s="180"/>
      <c r="AI450" s="180"/>
      <c r="AJ450" s="180"/>
      <c r="AK450" s="171"/>
      <c r="AL450" s="179" t="s">
        <v>382</v>
      </c>
      <c r="AM450" s="180"/>
      <c r="AN450" s="180"/>
      <c r="AO450" s="180"/>
      <c r="AP450" s="180"/>
      <c r="AQ450" s="171"/>
      <c r="AR450" s="179" t="s">
        <v>383</v>
      </c>
      <c r="AS450" s="180"/>
      <c r="AT450" s="180"/>
      <c r="AU450" s="180"/>
      <c r="AV450" s="180"/>
      <c r="AW450" s="171"/>
      <c r="AX450" s="179" t="s">
        <v>384</v>
      </c>
      <c r="AY450" s="180"/>
      <c r="AZ450" s="180"/>
      <c r="BA450" s="180"/>
      <c r="BB450" s="180"/>
      <c r="BC450" s="171"/>
      <c r="BD450" s="171"/>
      <c r="BE450" s="171"/>
    </row>
    <row r="451" spans="2:57" ht="51" hidden="1" outlineLevel="1">
      <c r="B451" s="181" t="str">
        <f>'Standard data'!B332</f>
        <v>DAIRY CATTLE</v>
      </c>
      <c r="C451" s="181" t="s">
        <v>390</v>
      </c>
      <c r="D451" s="181" t="s">
        <v>340</v>
      </c>
      <c r="E451" s="181" t="s">
        <v>391</v>
      </c>
      <c r="F451" s="181" t="s">
        <v>392</v>
      </c>
      <c r="G451" s="171"/>
      <c r="H451" s="181" t="str">
        <f>'Standard data'!C332</f>
        <v>MEAT CATTLE</v>
      </c>
      <c r="I451" s="181" t="s">
        <v>390</v>
      </c>
      <c r="J451" s="181" t="s">
        <v>340</v>
      </c>
      <c r="K451" s="181" t="s">
        <v>391</v>
      </c>
      <c r="L451" s="181" t="s">
        <v>392</v>
      </c>
      <c r="M451" s="171"/>
      <c r="N451" s="181" t="str">
        <f>'Standard data'!D332</f>
        <v>MILK SHEEP</v>
      </c>
      <c r="O451" s="181" t="s">
        <v>390</v>
      </c>
      <c r="P451" s="181" t="s">
        <v>340</v>
      </c>
      <c r="Q451" s="181" t="s">
        <v>391</v>
      </c>
      <c r="R451" s="181" t="s">
        <v>392</v>
      </c>
      <c r="S451" s="171"/>
      <c r="T451" s="181" t="str">
        <f>'Standard data'!E332</f>
        <v>MEAT SHEEP</v>
      </c>
      <c r="U451" s="181" t="s">
        <v>390</v>
      </c>
      <c r="V451" s="181" t="s">
        <v>340</v>
      </c>
      <c r="W451" s="181" t="s">
        <v>391</v>
      </c>
      <c r="X451" s="181" t="s">
        <v>392</v>
      </c>
      <c r="Y451" s="171"/>
      <c r="Z451" s="181" t="str">
        <f>'Standard data'!F332</f>
        <v>GOAT (milk and meat)</v>
      </c>
      <c r="AA451" s="181" t="s">
        <v>390</v>
      </c>
      <c r="AB451" s="181" t="s">
        <v>340</v>
      </c>
      <c r="AC451" s="181" t="s">
        <v>391</v>
      </c>
      <c r="AD451" s="181" t="s">
        <v>392</v>
      </c>
      <c r="AE451" s="171"/>
      <c r="AF451" s="181" t="str">
        <f>'Standard data'!G332</f>
        <v>Other RUMINANTS</v>
      </c>
      <c r="AG451" s="181" t="s">
        <v>390</v>
      </c>
      <c r="AH451" s="181" t="s">
        <v>340</v>
      </c>
      <c r="AI451" s="181" t="s">
        <v>391</v>
      </c>
      <c r="AJ451" s="181" t="s">
        <v>392</v>
      </c>
      <c r="AK451" s="171"/>
      <c r="AL451" s="181" t="str">
        <f>'Standard data'!H332</f>
        <v>PIGS</v>
      </c>
      <c r="AM451" s="181" t="s">
        <v>390</v>
      </c>
      <c r="AN451" s="181" t="s">
        <v>340</v>
      </c>
      <c r="AO451" s="181" t="s">
        <v>391</v>
      </c>
      <c r="AP451" s="181" t="s">
        <v>392</v>
      </c>
      <c r="AQ451" s="171"/>
      <c r="AR451" s="181" t="str">
        <f>'Standard data'!I332</f>
        <v>POULTRIES</v>
      </c>
      <c r="AS451" s="181" t="s">
        <v>390</v>
      </c>
      <c r="AT451" s="181" t="s">
        <v>340</v>
      </c>
      <c r="AU451" s="181" t="s">
        <v>391</v>
      </c>
      <c r="AV451" s="181" t="s">
        <v>392</v>
      </c>
      <c r="AW451" s="171"/>
      <c r="AX451" s="181" t="str">
        <f>'Standard data'!J332</f>
        <v>Laying HENS</v>
      </c>
      <c r="AY451" s="181" t="s">
        <v>390</v>
      </c>
      <c r="AZ451" s="181" t="s">
        <v>340</v>
      </c>
      <c r="BA451" s="181" t="s">
        <v>391</v>
      </c>
      <c r="BB451" s="181" t="s">
        <v>392</v>
      </c>
      <c r="BC451" s="171"/>
      <c r="BD451" s="171"/>
      <c r="BE451" s="171"/>
    </row>
    <row r="452" spans="2:57" hidden="1" outlineLevel="1">
      <c r="B452" s="174" t="str">
        <f>'Standard data'!B333</f>
        <v>Pasture, range, paddock</v>
      </c>
      <c r="C452" s="182">
        <v>0.1</v>
      </c>
      <c r="D452" s="182">
        <v>0</v>
      </c>
      <c r="E452" s="182">
        <v>0.1</v>
      </c>
      <c r="F452" s="174" t="s">
        <v>395</v>
      </c>
      <c r="G452" s="171"/>
      <c r="H452" s="172" t="str">
        <f>'Standard data'!C333</f>
        <v>Pasture, range, paddock</v>
      </c>
      <c r="I452" s="182">
        <v>0.1</v>
      </c>
      <c r="J452" s="182">
        <v>0</v>
      </c>
      <c r="K452" s="182">
        <v>0.1</v>
      </c>
      <c r="L452" s="174" t="s">
        <v>395</v>
      </c>
      <c r="M452" s="171"/>
      <c r="N452" s="172" t="str">
        <f>'Standard data'!D333</f>
        <v>Pasture, range, paddock</v>
      </c>
      <c r="O452" s="182">
        <v>0.1</v>
      </c>
      <c r="P452" s="182">
        <v>0</v>
      </c>
      <c r="Q452" s="182">
        <v>0.1</v>
      </c>
      <c r="R452" s="174" t="s">
        <v>395</v>
      </c>
      <c r="S452" s="171"/>
      <c r="T452" s="172" t="str">
        <f>'Standard data'!E333</f>
        <v>Pasture, range, paddock</v>
      </c>
      <c r="U452" s="182">
        <v>0.1</v>
      </c>
      <c r="V452" s="182">
        <v>0</v>
      </c>
      <c r="W452" s="182">
        <v>0.1</v>
      </c>
      <c r="X452" s="174" t="s">
        <v>395</v>
      </c>
      <c r="Y452" s="171"/>
      <c r="Z452" s="172" t="str">
        <f>'Standard data'!F333</f>
        <v>Pasture, range, paddock</v>
      </c>
      <c r="AA452" s="182">
        <v>0.1</v>
      </c>
      <c r="AB452" s="182">
        <v>0</v>
      </c>
      <c r="AC452" s="182">
        <v>0.1</v>
      </c>
      <c r="AD452" s="174" t="s">
        <v>395</v>
      </c>
      <c r="AE452" s="171"/>
      <c r="AF452" s="172" t="str">
        <f>'Standard data'!G333</f>
        <v>Pasture, range, paddock</v>
      </c>
      <c r="AG452" s="182">
        <v>0.1</v>
      </c>
      <c r="AH452" s="182">
        <v>0</v>
      </c>
      <c r="AI452" s="182">
        <v>0.1</v>
      </c>
      <c r="AJ452" s="174" t="s">
        <v>395</v>
      </c>
      <c r="AK452" s="171"/>
      <c r="AL452" s="172" t="str">
        <f>'Standard data'!H333</f>
        <v>Pasture, range, paddock</v>
      </c>
      <c r="AM452" s="182">
        <v>0.1</v>
      </c>
      <c r="AN452" s="182">
        <v>0</v>
      </c>
      <c r="AO452" s="182">
        <v>0.1</v>
      </c>
      <c r="AP452" s="174" t="s">
        <v>395</v>
      </c>
      <c r="AQ452" s="171"/>
      <c r="AR452" s="172" t="str">
        <f>'Standard data'!I333</f>
        <v>Pasture, range, paddock</v>
      </c>
      <c r="AS452" s="182">
        <v>0.1</v>
      </c>
      <c r="AT452" s="182">
        <v>0</v>
      </c>
      <c r="AU452" s="182">
        <v>0.1</v>
      </c>
      <c r="AV452" s="174" t="s">
        <v>395</v>
      </c>
      <c r="AW452" s="171"/>
      <c r="AX452" s="172" t="str">
        <f>'Standard data'!J333</f>
        <v>Pasture, range, paddock</v>
      </c>
      <c r="AY452" s="182">
        <v>0.1</v>
      </c>
      <c r="AZ452" s="182">
        <v>0</v>
      </c>
      <c r="BA452" s="182">
        <v>0.1</v>
      </c>
      <c r="BB452" s="174" t="s">
        <v>395</v>
      </c>
      <c r="BC452" s="171"/>
      <c r="BD452" s="171"/>
      <c r="BE452" s="171"/>
    </row>
    <row r="453" spans="2:57" hidden="1" outlineLevel="1">
      <c r="B453" s="174" t="str">
        <f>'Standard data'!B334</f>
        <v>Daily spread</v>
      </c>
      <c r="C453" s="182">
        <v>7.0000000000000007E-2</v>
      </c>
      <c r="D453" s="182">
        <v>0.15</v>
      </c>
      <c r="E453" s="182">
        <v>0.22</v>
      </c>
      <c r="F453" s="174" t="s">
        <v>395</v>
      </c>
      <c r="G453" s="171"/>
      <c r="H453" s="172" t="str">
        <f>'Standard data'!C334</f>
        <v>Daily spread</v>
      </c>
      <c r="I453" s="182">
        <v>7.0000000000000007E-2</v>
      </c>
      <c r="J453" s="182">
        <v>0.15</v>
      </c>
      <c r="K453" s="182">
        <v>0.22</v>
      </c>
      <c r="L453" s="174" t="s">
        <v>395</v>
      </c>
      <c r="M453" s="171"/>
      <c r="N453" s="172" t="str">
        <f>'Standard data'!D334</f>
        <v>Daily spread</v>
      </c>
      <c r="O453" s="182">
        <v>7.0000000000000007E-2</v>
      </c>
      <c r="P453" s="182">
        <v>0.15</v>
      </c>
      <c r="Q453" s="182">
        <v>0.22</v>
      </c>
      <c r="R453" s="174" t="s">
        <v>395</v>
      </c>
      <c r="S453" s="171"/>
      <c r="T453" s="172" t="str">
        <f>'Standard data'!E334</f>
        <v>Daily spread</v>
      </c>
      <c r="U453" s="182">
        <v>7.0000000000000007E-2</v>
      </c>
      <c r="V453" s="182">
        <v>0.15</v>
      </c>
      <c r="W453" s="182">
        <v>0.22</v>
      </c>
      <c r="X453" s="174" t="s">
        <v>395</v>
      </c>
      <c r="Y453" s="171"/>
      <c r="Z453" s="172" t="str">
        <f>'Standard data'!F334</f>
        <v>Daily spread</v>
      </c>
      <c r="AA453" s="182">
        <v>7.0000000000000007E-2</v>
      </c>
      <c r="AB453" s="182">
        <v>0.15</v>
      </c>
      <c r="AC453" s="182">
        <v>0.22</v>
      </c>
      <c r="AD453" s="174" t="s">
        <v>395</v>
      </c>
      <c r="AE453" s="171"/>
      <c r="AF453" s="172" t="str">
        <f>'Standard data'!G334</f>
        <v>Solid storage</v>
      </c>
      <c r="AG453" s="182">
        <v>0.12</v>
      </c>
      <c r="AH453" s="182">
        <v>0.03</v>
      </c>
      <c r="AI453" s="182">
        <v>0.15</v>
      </c>
      <c r="AJ453" s="174" t="s">
        <v>395</v>
      </c>
      <c r="AK453" s="171"/>
      <c r="AL453" s="172" t="str">
        <f>'Standard data'!H334</f>
        <v>Solid storage</v>
      </c>
      <c r="AM453" s="182">
        <v>0.45</v>
      </c>
      <c r="AN453" s="182">
        <v>0.05</v>
      </c>
      <c r="AO453" s="182">
        <v>0.5</v>
      </c>
      <c r="AP453" s="174" t="s">
        <v>395</v>
      </c>
      <c r="AQ453" s="171"/>
      <c r="AR453" s="172" t="str">
        <f>'Standard data'!I334</f>
        <v>Dry lot</v>
      </c>
      <c r="AS453" s="182">
        <v>0.3</v>
      </c>
      <c r="AT453" s="182">
        <v>0.1</v>
      </c>
      <c r="AU453" s="182">
        <v>0.4</v>
      </c>
      <c r="AV453" s="174" t="s">
        <v>395</v>
      </c>
      <c r="AW453" s="171"/>
      <c r="AX453" s="172" t="str">
        <f>'Standard data'!J334</f>
        <v>Dry lot</v>
      </c>
      <c r="AY453" s="182">
        <v>0.3</v>
      </c>
      <c r="AZ453" s="182">
        <v>0.1</v>
      </c>
      <c r="BA453" s="182">
        <v>0.4</v>
      </c>
      <c r="BB453" s="174" t="s">
        <v>395</v>
      </c>
      <c r="BC453" s="171"/>
      <c r="BD453" s="171"/>
      <c r="BE453" s="171"/>
    </row>
    <row r="454" spans="2:57" hidden="1" outlineLevel="1">
      <c r="B454" s="174" t="str">
        <f>'Standard data'!B335</f>
        <v>Solid storage</v>
      </c>
      <c r="C454" s="182">
        <v>0.3</v>
      </c>
      <c r="D454" s="182">
        <v>0.1</v>
      </c>
      <c r="E454" s="182">
        <v>0.4</v>
      </c>
      <c r="F454" s="174" t="s">
        <v>395</v>
      </c>
      <c r="G454" s="171"/>
      <c r="H454" s="172" t="str">
        <f>'Standard data'!C335</f>
        <v>Solid storage</v>
      </c>
      <c r="I454" s="182">
        <v>0.3</v>
      </c>
      <c r="J454" s="182">
        <v>0.1</v>
      </c>
      <c r="K454" s="182">
        <v>0.4</v>
      </c>
      <c r="L454" s="174" t="s">
        <v>395</v>
      </c>
      <c r="M454" s="171"/>
      <c r="N454" s="172" t="str">
        <f>'Standard data'!D335</f>
        <v>Solid storage</v>
      </c>
      <c r="O454" s="182">
        <v>0.45</v>
      </c>
      <c r="P454" s="182">
        <v>0.05</v>
      </c>
      <c r="Q454" s="182">
        <v>0.5</v>
      </c>
      <c r="R454" s="174" t="s">
        <v>395</v>
      </c>
      <c r="S454" s="171"/>
      <c r="T454" s="172" t="str">
        <f>'Standard data'!E335</f>
        <v>Solid storage</v>
      </c>
      <c r="U454" s="182">
        <v>0.45</v>
      </c>
      <c r="V454" s="182">
        <v>0.05</v>
      </c>
      <c r="W454" s="182">
        <v>0.5</v>
      </c>
      <c r="X454" s="174" t="s">
        <v>395</v>
      </c>
      <c r="Y454" s="171"/>
      <c r="Z454" s="172" t="str">
        <f>'Standard data'!F335</f>
        <v>Solid storage</v>
      </c>
      <c r="AA454" s="182">
        <v>0.45</v>
      </c>
      <c r="AB454" s="182">
        <v>0.05</v>
      </c>
      <c r="AC454" s="182">
        <v>0.5</v>
      </c>
      <c r="AD454" s="174" t="s">
        <v>395</v>
      </c>
      <c r="AE454" s="171"/>
      <c r="AF454" s="172" t="str">
        <f>'Standard data'!G335</f>
        <v>Dry lot</v>
      </c>
      <c r="AG454" s="182">
        <v>0.3</v>
      </c>
      <c r="AH454" s="182">
        <v>0.1</v>
      </c>
      <c r="AI454" s="182">
        <v>0.4</v>
      </c>
      <c r="AJ454" s="174" t="s">
        <v>395</v>
      </c>
      <c r="AK454" s="171"/>
      <c r="AL454" s="172" t="str">
        <f>'Standard data'!H335</f>
        <v>Dry lot</v>
      </c>
      <c r="AM454" s="182">
        <v>0.3</v>
      </c>
      <c r="AN454" s="182">
        <v>0.1</v>
      </c>
      <c r="AO454" s="182">
        <v>0.4</v>
      </c>
      <c r="AP454" s="174" t="s">
        <v>395</v>
      </c>
      <c r="AQ454" s="171"/>
      <c r="AR454" s="172" t="str">
        <f>'Standard data'!I335</f>
        <v xml:space="preserve">Uncovered anaerobic lagoon </v>
      </c>
      <c r="AS454" s="182">
        <v>0.4</v>
      </c>
      <c r="AT454" s="182">
        <v>0.37</v>
      </c>
      <c r="AU454" s="182">
        <v>0.77</v>
      </c>
      <c r="AV454" s="174" t="s">
        <v>395</v>
      </c>
      <c r="AW454" s="171"/>
      <c r="AX454" s="172" t="str">
        <f>'Standard data'!J335</f>
        <v xml:space="preserve">Uncovered anaerobic lagoon </v>
      </c>
      <c r="AY454" s="182">
        <v>0.4</v>
      </c>
      <c r="AZ454" s="182">
        <v>0.37</v>
      </c>
      <c r="BA454" s="182">
        <v>0.77</v>
      </c>
      <c r="BB454" s="174" t="s">
        <v>395</v>
      </c>
      <c r="BC454" s="171"/>
      <c r="BD454" s="171"/>
      <c r="BE454" s="171"/>
    </row>
    <row r="455" spans="2:57" hidden="1" outlineLevel="1">
      <c r="B455" s="174" t="str">
        <f>'Standard data'!B336</f>
        <v>Dry lot</v>
      </c>
      <c r="C455" s="182">
        <v>0.2</v>
      </c>
      <c r="D455" s="182">
        <v>0.1</v>
      </c>
      <c r="E455" s="182">
        <v>0.3</v>
      </c>
      <c r="F455" s="174" t="s">
        <v>395</v>
      </c>
      <c r="G455" s="171"/>
      <c r="H455" s="172" t="str">
        <f>'Standard data'!C336</f>
        <v>Dry lot</v>
      </c>
      <c r="I455" s="182">
        <v>0.3</v>
      </c>
      <c r="J455" s="182">
        <v>0.1</v>
      </c>
      <c r="K455" s="182">
        <v>0.4</v>
      </c>
      <c r="L455" s="174" t="s">
        <v>395</v>
      </c>
      <c r="M455" s="171"/>
      <c r="N455" s="172" t="str">
        <f>'Standard data'!D336</f>
        <v>Liquid / Slurry with natural crust cover</v>
      </c>
      <c r="O455" s="182">
        <f>O456*50%</f>
        <v>0.2</v>
      </c>
      <c r="P455" s="182">
        <v>0</v>
      </c>
      <c r="Q455" s="182">
        <v>0.2</v>
      </c>
      <c r="R455" s="174" t="s">
        <v>395</v>
      </c>
      <c r="S455" s="171"/>
      <c r="T455" s="172" t="str">
        <f>'Standard data'!E336</f>
        <v>Liquid / Slurry with natural crust cover</v>
      </c>
      <c r="U455" s="182">
        <f>U456*50%</f>
        <v>0.2</v>
      </c>
      <c r="V455" s="182">
        <v>0</v>
      </c>
      <c r="W455" s="182">
        <v>0.2</v>
      </c>
      <c r="X455" s="174" t="s">
        <v>395</v>
      </c>
      <c r="Y455" s="171"/>
      <c r="Z455" s="172" t="str">
        <f>'Standard data'!F336</f>
        <v>Liquid / Slurry with natural crust cover</v>
      </c>
      <c r="AA455" s="182">
        <f>AA456*50%</f>
        <v>0.2</v>
      </c>
      <c r="AB455" s="182">
        <v>0</v>
      </c>
      <c r="AC455" s="182">
        <v>0.2</v>
      </c>
      <c r="AD455" s="174" t="s">
        <v>395</v>
      </c>
      <c r="AE455" s="171"/>
      <c r="AF455" s="172" t="str">
        <f>'Standard data'!G336</f>
        <v xml:space="preserve">Anaerobic digester </v>
      </c>
      <c r="AG455" s="182">
        <v>0</v>
      </c>
      <c r="AH455" s="182">
        <v>0</v>
      </c>
      <c r="AI455" s="182">
        <v>0</v>
      </c>
      <c r="AJ455" s="174" t="s">
        <v>328</v>
      </c>
      <c r="AK455" s="171"/>
      <c r="AL455" s="172" t="str">
        <f>'Standard data'!H336</f>
        <v>Liquid / Slurry with natural crust cover</v>
      </c>
      <c r="AM455" s="182">
        <f>AM456*50%</f>
        <v>0.24</v>
      </c>
      <c r="AN455" s="182">
        <v>0</v>
      </c>
      <c r="AO455" s="182">
        <v>0.24</v>
      </c>
      <c r="AP455" s="174" t="s">
        <v>395</v>
      </c>
      <c r="AQ455" s="171"/>
      <c r="AR455" s="172" t="str">
        <f>'Standard data'!I336</f>
        <v>Composting In-vessel</v>
      </c>
      <c r="AS455" s="182">
        <v>0.3</v>
      </c>
      <c r="AT455" s="182">
        <v>0.1</v>
      </c>
      <c r="AU455" s="182">
        <v>0.4</v>
      </c>
      <c r="AV455" s="174" t="s">
        <v>328</v>
      </c>
      <c r="AW455" s="171"/>
      <c r="AX455" s="172" t="str">
        <f>'Standard data'!J336</f>
        <v>Composting In-vessel</v>
      </c>
      <c r="AY455" s="182">
        <v>0.3</v>
      </c>
      <c r="AZ455" s="182">
        <v>0.1</v>
      </c>
      <c r="BA455" s="182">
        <v>0.4</v>
      </c>
      <c r="BB455" s="174" t="s">
        <v>328</v>
      </c>
      <c r="BC455" s="171"/>
      <c r="BD455" s="171"/>
      <c r="BE455" s="171"/>
    </row>
    <row r="456" spans="2:57" hidden="1" outlineLevel="1">
      <c r="B456" s="174" t="str">
        <f>'Standard data'!B337</f>
        <v>Liquid / Slurry with natural crust cover</v>
      </c>
      <c r="C456" s="182">
        <f>C457*50%</f>
        <v>0.2</v>
      </c>
      <c r="D456" s="182">
        <v>0</v>
      </c>
      <c r="E456" s="182">
        <v>0.2</v>
      </c>
      <c r="F456" s="174" t="s">
        <v>395</v>
      </c>
      <c r="G456" s="171"/>
      <c r="H456" s="172" t="str">
        <f>'Standard data'!C337</f>
        <v>Liquid / Slurry with natural crust cover</v>
      </c>
      <c r="I456" s="182">
        <f>I457*50%</f>
        <v>0.2</v>
      </c>
      <c r="J456" s="182">
        <v>0</v>
      </c>
      <c r="K456" s="182">
        <v>0.2</v>
      </c>
      <c r="L456" s="174" t="s">
        <v>395</v>
      </c>
      <c r="M456" s="171"/>
      <c r="N456" s="172" t="str">
        <f>'Standard data'!D337</f>
        <v>Liquid / slurry without natural crust cover</v>
      </c>
      <c r="O456" s="182">
        <v>0.4</v>
      </c>
      <c r="P456" s="182">
        <v>0</v>
      </c>
      <c r="Q456" s="182">
        <v>0.4</v>
      </c>
      <c r="R456" s="174" t="s">
        <v>395</v>
      </c>
      <c r="S456" s="171"/>
      <c r="T456" s="172" t="str">
        <f>'Standard data'!E337</f>
        <v>Liquid / slurry without natural crust cover</v>
      </c>
      <c r="U456" s="182">
        <v>0.4</v>
      </c>
      <c r="V456" s="182">
        <v>0</v>
      </c>
      <c r="W456" s="182">
        <v>0.4</v>
      </c>
      <c r="X456" s="174" t="s">
        <v>395</v>
      </c>
      <c r="Y456" s="171"/>
      <c r="Z456" s="172" t="str">
        <f>'Standard data'!F337</f>
        <v>Liquid / slurry without natural crust cover</v>
      </c>
      <c r="AA456" s="182">
        <v>0.4</v>
      </c>
      <c r="AB456" s="182">
        <v>0</v>
      </c>
      <c r="AC456" s="182">
        <v>0.4</v>
      </c>
      <c r="AD456" s="174" t="s">
        <v>395</v>
      </c>
      <c r="AE456" s="171"/>
      <c r="AF456" s="172" t="str">
        <f>'Standard data'!G337</f>
        <v>Cattle and swine deep bedding-no mixing, &lt;1 month</v>
      </c>
      <c r="AG456" s="182">
        <v>0.25</v>
      </c>
      <c r="AH456" s="182">
        <v>0.1</v>
      </c>
      <c r="AI456" s="182">
        <v>0.35</v>
      </c>
      <c r="AJ456" s="174" t="s">
        <v>395</v>
      </c>
      <c r="AK456" s="171"/>
      <c r="AL456" s="172" t="str">
        <f>'Standard data'!H337</f>
        <v>Liquid / slurry without natural crust cover</v>
      </c>
      <c r="AM456" s="182">
        <v>0.48</v>
      </c>
      <c r="AN456" s="182">
        <v>0</v>
      </c>
      <c r="AO456" s="182">
        <v>0.48</v>
      </c>
      <c r="AP456" s="174" t="s">
        <v>395</v>
      </c>
      <c r="AQ456" s="171"/>
      <c r="AR456" s="172" t="str">
        <f>'Standard data'!I337</f>
        <v>Composting Static Pile</v>
      </c>
      <c r="AS456" s="182">
        <v>0.3</v>
      </c>
      <c r="AT456" s="182">
        <v>0.1</v>
      </c>
      <c r="AU456" s="182">
        <v>0.4</v>
      </c>
      <c r="AV456" s="174" t="s">
        <v>328</v>
      </c>
      <c r="AW456" s="171"/>
      <c r="AX456" s="172" t="str">
        <f>'Standard data'!J337</f>
        <v>Composting Static Pile</v>
      </c>
      <c r="AY456" s="182">
        <v>0.3</v>
      </c>
      <c r="AZ456" s="182">
        <v>0.1</v>
      </c>
      <c r="BA456" s="182">
        <v>0.4</v>
      </c>
      <c r="BB456" s="174" t="s">
        <v>328</v>
      </c>
      <c r="BC456" s="171"/>
      <c r="BD456" s="171"/>
      <c r="BE456" s="171"/>
    </row>
    <row r="457" spans="2:57" hidden="1" outlineLevel="1">
      <c r="B457" s="174" t="str">
        <f>'Standard data'!B338</f>
        <v>Liquid / slurry without natural crust cover</v>
      </c>
      <c r="C457" s="182">
        <v>0.4</v>
      </c>
      <c r="D457" s="182">
        <v>0</v>
      </c>
      <c r="E457" s="182">
        <v>0.4</v>
      </c>
      <c r="F457" s="174" t="s">
        <v>395</v>
      </c>
      <c r="G457" s="171"/>
      <c r="H457" s="172" t="str">
        <f>'Standard data'!C338</f>
        <v>Liquid / slurry without natural crust cover</v>
      </c>
      <c r="I457" s="182">
        <v>0.4</v>
      </c>
      <c r="J457" s="182">
        <v>0</v>
      </c>
      <c r="K457" s="182">
        <v>0.4</v>
      </c>
      <c r="L457" s="174" t="s">
        <v>395</v>
      </c>
      <c r="M457" s="171"/>
      <c r="N457" s="172" t="str">
        <f>'Standard data'!D338</f>
        <v xml:space="preserve">Uncovered anaerobic lagoon </v>
      </c>
      <c r="O457" s="182">
        <v>0.35</v>
      </c>
      <c r="P457" s="182">
        <v>0.42</v>
      </c>
      <c r="Q457" s="182">
        <v>0.77</v>
      </c>
      <c r="R457" s="174" t="s">
        <v>395</v>
      </c>
      <c r="S457" s="171"/>
      <c r="T457" s="172" t="str">
        <f>'Standard data'!E338</f>
        <v xml:space="preserve">Uncovered anaerobic lagoon </v>
      </c>
      <c r="U457" s="182">
        <v>0.35</v>
      </c>
      <c r="V457" s="182">
        <v>0.42</v>
      </c>
      <c r="W457" s="182">
        <v>0.77</v>
      </c>
      <c r="X457" s="174" t="s">
        <v>395</v>
      </c>
      <c r="Y457" s="171"/>
      <c r="Z457" s="172" t="str">
        <f>'Standard data'!F338</f>
        <v xml:space="preserve">Uncovered anaerobic lagoon </v>
      </c>
      <c r="AA457" s="182">
        <v>0.35</v>
      </c>
      <c r="AB457" s="182">
        <v>0.42</v>
      </c>
      <c r="AC457" s="182">
        <v>0.77</v>
      </c>
      <c r="AD457" s="174" t="s">
        <v>395</v>
      </c>
      <c r="AE457" s="171"/>
      <c r="AF457" s="172" t="str">
        <f>'Standard data'!G338</f>
        <v>Cattle and swine deep bedding-no mixing, &gt;1 month</v>
      </c>
      <c r="AG457" s="182">
        <v>0.25</v>
      </c>
      <c r="AH457" s="182">
        <v>0.1</v>
      </c>
      <c r="AI457" s="182">
        <v>0.35</v>
      </c>
      <c r="AJ457" s="174" t="s">
        <v>395</v>
      </c>
      <c r="AK457" s="171"/>
      <c r="AL457" s="172" t="str">
        <f>'Standard data'!H338</f>
        <v xml:space="preserve">Uncovered anaerobic lagoon </v>
      </c>
      <c r="AM457" s="182">
        <v>0.4</v>
      </c>
      <c r="AN457" s="182">
        <v>0.38</v>
      </c>
      <c r="AO457" s="182">
        <v>0.78</v>
      </c>
      <c r="AP457" s="174" t="s">
        <v>395</v>
      </c>
      <c r="AQ457" s="171"/>
      <c r="AR457" s="172" t="str">
        <f>'Standard data'!I338</f>
        <v>Composting intensive windrow</v>
      </c>
      <c r="AS457" s="182">
        <v>0.3</v>
      </c>
      <c r="AT457" s="182">
        <v>0.1</v>
      </c>
      <c r="AU457" s="182">
        <v>0.4</v>
      </c>
      <c r="AV457" s="174" t="s">
        <v>328</v>
      </c>
      <c r="AW457" s="171"/>
      <c r="AX457" s="172" t="str">
        <f>'Standard data'!J338</f>
        <v>Composting intensive windrow</v>
      </c>
      <c r="AY457" s="182">
        <v>0.3</v>
      </c>
      <c r="AZ457" s="182">
        <v>0.1</v>
      </c>
      <c r="BA457" s="182">
        <v>0.4</v>
      </c>
      <c r="BB457" s="174" t="s">
        <v>328</v>
      </c>
      <c r="BC457" s="171"/>
      <c r="BD457" s="171"/>
      <c r="BE457" s="171"/>
    </row>
    <row r="458" spans="2:57" hidden="1" outlineLevel="1">
      <c r="B458" s="174" t="str">
        <f>'Standard data'!B339</f>
        <v xml:space="preserve">Uncovered anaerobic lagoon </v>
      </c>
      <c r="C458" s="182">
        <v>0.35</v>
      </c>
      <c r="D458" s="182">
        <v>0.42</v>
      </c>
      <c r="E458" s="182">
        <v>0.77</v>
      </c>
      <c r="F458" s="174" t="s">
        <v>395</v>
      </c>
      <c r="G458" s="171"/>
      <c r="H458" s="172" t="str">
        <f>'Standard data'!C339</f>
        <v xml:space="preserve">Uncovered anaerobic lagoon </v>
      </c>
      <c r="I458" s="182">
        <v>0.35</v>
      </c>
      <c r="J458" s="182">
        <v>0.42</v>
      </c>
      <c r="K458" s="182">
        <v>0.77</v>
      </c>
      <c r="L458" s="174" t="s">
        <v>395</v>
      </c>
      <c r="M458" s="171"/>
      <c r="N458" s="172" t="str">
        <f>'Standard data'!D339</f>
        <v>Pit storage below animal confinements, &lt;1 month</v>
      </c>
      <c r="O458" s="182">
        <v>0.28000000000000003</v>
      </c>
      <c r="P458" s="182">
        <v>0</v>
      </c>
      <c r="Q458" s="182">
        <v>0.28000000000000003</v>
      </c>
      <c r="R458" s="174" t="s">
        <v>395</v>
      </c>
      <c r="S458" s="171"/>
      <c r="T458" s="172" t="str">
        <f>'Standard data'!E339</f>
        <v>Pit storage below animal confinements, &lt;1 month</v>
      </c>
      <c r="U458" s="182">
        <v>0.28000000000000003</v>
      </c>
      <c r="V458" s="182">
        <v>0</v>
      </c>
      <c r="W458" s="182">
        <v>0.28000000000000003</v>
      </c>
      <c r="X458" s="174" t="s">
        <v>395</v>
      </c>
      <c r="Y458" s="171"/>
      <c r="Z458" s="172" t="str">
        <f>'Standard data'!F339</f>
        <v>Pit storage below animal confinements, &lt;1 month</v>
      </c>
      <c r="AA458" s="182">
        <v>0.28000000000000003</v>
      </c>
      <c r="AB458" s="182">
        <v>0</v>
      </c>
      <c r="AC458" s="182">
        <v>0.28000000000000003</v>
      </c>
      <c r="AD458" s="174" t="s">
        <v>395</v>
      </c>
      <c r="AE458" s="171"/>
      <c r="AF458" s="172" t="str">
        <f>'Standard data'!G339</f>
        <v>Composting In-vessel</v>
      </c>
      <c r="AG458" s="182">
        <v>0.3</v>
      </c>
      <c r="AH458" s="182">
        <v>0.1</v>
      </c>
      <c r="AI458" s="182">
        <v>0.4</v>
      </c>
      <c r="AJ458" s="174" t="s">
        <v>328</v>
      </c>
      <c r="AK458" s="171"/>
      <c r="AL458" s="172" t="str">
        <f>'Standard data'!H339</f>
        <v>Pit storage below animal confinements, &lt;1 month</v>
      </c>
      <c r="AM458" s="182">
        <v>0.25</v>
      </c>
      <c r="AN458" s="182">
        <v>0</v>
      </c>
      <c r="AO458" s="182">
        <v>0.25</v>
      </c>
      <c r="AP458" s="174" t="s">
        <v>395</v>
      </c>
      <c r="AQ458" s="171"/>
      <c r="AR458" s="172" t="str">
        <f>'Standard data'!I339</f>
        <v>Composting passive windrow</v>
      </c>
      <c r="AS458" s="182">
        <v>0.3</v>
      </c>
      <c r="AT458" s="182">
        <v>0.1</v>
      </c>
      <c r="AU458" s="182">
        <v>0.4</v>
      </c>
      <c r="AV458" s="174" t="s">
        <v>328</v>
      </c>
      <c r="AW458" s="171"/>
      <c r="AX458" s="172" t="str">
        <f>'Standard data'!J339</f>
        <v>Composting passive windrow</v>
      </c>
      <c r="AY458" s="182">
        <v>0.3</v>
      </c>
      <c r="AZ458" s="182">
        <v>0.1</v>
      </c>
      <c r="BA458" s="182">
        <v>0.4</v>
      </c>
      <c r="BB458" s="174" t="s">
        <v>328</v>
      </c>
      <c r="BC458" s="171"/>
      <c r="BD458" s="171"/>
      <c r="BE458" s="171"/>
    </row>
    <row r="459" spans="2:57" hidden="1" outlineLevel="1">
      <c r="B459" s="174" t="str">
        <f>'Standard data'!B340</f>
        <v>Pit storage below animal confinements, &lt;1 month</v>
      </c>
      <c r="C459" s="182">
        <v>0.28000000000000003</v>
      </c>
      <c r="D459" s="182">
        <v>0</v>
      </c>
      <c r="E459" s="182">
        <v>0.28000000000000003</v>
      </c>
      <c r="F459" s="174" t="s">
        <v>395</v>
      </c>
      <c r="G459" s="171"/>
      <c r="H459" s="172" t="str">
        <f>'Standard data'!C340</f>
        <v>Pit storage below animal confinements, &lt;1 month</v>
      </c>
      <c r="I459" s="182">
        <v>0.28000000000000003</v>
      </c>
      <c r="J459" s="182">
        <v>0</v>
      </c>
      <c r="K459" s="182">
        <v>0.28000000000000003</v>
      </c>
      <c r="L459" s="174" t="s">
        <v>395</v>
      </c>
      <c r="M459" s="171"/>
      <c r="N459" s="172" t="str">
        <f>'Standard data'!D340</f>
        <v>Pit storage below animal confinements, &gt; 1 month</v>
      </c>
      <c r="O459" s="182">
        <v>0.28000000000000003</v>
      </c>
      <c r="P459" s="182">
        <v>0</v>
      </c>
      <c r="Q459" s="182">
        <v>0.28000000000000003</v>
      </c>
      <c r="R459" s="174" t="s">
        <v>395</v>
      </c>
      <c r="S459" s="171"/>
      <c r="T459" s="172" t="str">
        <f>'Standard data'!E340</f>
        <v>Pit storage below animal confinements, &gt; 1 month</v>
      </c>
      <c r="U459" s="182">
        <v>0.28000000000000003</v>
      </c>
      <c r="V459" s="182">
        <v>0</v>
      </c>
      <c r="W459" s="182">
        <v>0.28000000000000003</v>
      </c>
      <c r="X459" s="174" t="s">
        <v>395</v>
      </c>
      <c r="Y459" s="171"/>
      <c r="Z459" s="172" t="str">
        <f>'Standard data'!F340</f>
        <v>Pit storage below animal confinements, &gt; 1 month</v>
      </c>
      <c r="AA459" s="182">
        <v>0.28000000000000003</v>
      </c>
      <c r="AB459" s="182">
        <v>0</v>
      </c>
      <c r="AC459" s="182">
        <v>0.28000000000000003</v>
      </c>
      <c r="AD459" s="174" t="s">
        <v>395</v>
      </c>
      <c r="AE459" s="171"/>
      <c r="AF459" s="172" t="str">
        <f>'Standard data'!G340</f>
        <v>Composting Static Pile</v>
      </c>
      <c r="AG459" s="182">
        <v>0.3</v>
      </c>
      <c r="AH459" s="182">
        <v>0.1</v>
      </c>
      <c r="AI459" s="182">
        <v>0.4</v>
      </c>
      <c r="AJ459" s="174" t="s">
        <v>328</v>
      </c>
      <c r="AK459" s="171"/>
      <c r="AL459" s="172" t="str">
        <f>'Standard data'!H340</f>
        <v>Pit storage below animal confinements, &gt; 1 month</v>
      </c>
      <c r="AM459" s="182">
        <v>0.25</v>
      </c>
      <c r="AN459" s="182">
        <v>0</v>
      </c>
      <c r="AO459" s="182">
        <v>0.25</v>
      </c>
      <c r="AP459" s="174" t="s">
        <v>395</v>
      </c>
      <c r="AQ459" s="171"/>
      <c r="AR459" s="172" t="str">
        <f>'Standard data'!I340</f>
        <v>Poultry manure with litter</v>
      </c>
      <c r="AS459" s="182">
        <v>0.4</v>
      </c>
      <c r="AT459" s="182">
        <v>0.1</v>
      </c>
      <c r="AU459" s="182">
        <v>0.5</v>
      </c>
      <c r="AV459" s="174" t="s">
        <v>395</v>
      </c>
      <c r="AW459" s="171"/>
      <c r="AX459" s="172" t="str">
        <f>'Standard data'!J340</f>
        <v>Poultry manure with litter</v>
      </c>
      <c r="AY459" s="182">
        <v>0.4</v>
      </c>
      <c r="AZ459" s="182">
        <v>0.1</v>
      </c>
      <c r="BA459" s="182">
        <v>0.5</v>
      </c>
      <c r="BB459" s="174" t="s">
        <v>395</v>
      </c>
      <c r="BC459" s="171"/>
      <c r="BD459" s="171"/>
      <c r="BE459" s="171"/>
    </row>
    <row r="460" spans="2:57" hidden="1" outlineLevel="1">
      <c r="B460" s="174" t="str">
        <f>'Standard data'!B341</f>
        <v>Pit storage below animal confinements, &gt; 1 month</v>
      </c>
      <c r="C460" s="182">
        <v>0.28000000000000003</v>
      </c>
      <c r="D460" s="182">
        <v>0</v>
      </c>
      <c r="E460" s="182">
        <v>0.28000000000000003</v>
      </c>
      <c r="F460" s="174" t="s">
        <v>395</v>
      </c>
      <c r="G460" s="171"/>
      <c r="H460" s="172" t="str">
        <f>'Standard data'!C341</f>
        <v>Pit storage below animal confinements, &gt; 1 month</v>
      </c>
      <c r="I460" s="182">
        <v>0.28000000000000003</v>
      </c>
      <c r="J460" s="182">
        <v>0</v>
      </c>
      <c r="K460" s="182">
        <v>0.28000000000000003</v>
      </c>
      <c r="L460" s="174" t="s">
        <v>395</v>
      </c>
      <c r="M460" s="171"/>
      <c r="N460" s="172" t="str">
        <f>'Standard data'!D341</f>
        <v xml:space="preserve">Anaerobic digester </v>
      </c>
      <c r="O460" s="182">
        <v>0</v>
      </c>
      <c r="P460" s="182">
        <v>0</v>
      </c>
      <c r="Q460" s="182">
        <v>0</v>
      </c>
      <c r="R460" s="174" t="s">
        <v>328</v>
      </c>
      <c r="S460" s="171"/>
      <c r="T460" s="172" t="str">
        <f>'Standard data'!E341</f>
        <v xml:space="preserve">Anaerobic digester </v>
      </c>
      <c r="U460" s="182">
        <v>0</v>
      </c>
      <c r="V460" s="182">
        <v>0</v>
      </c>
      <c r="W460" s="182">
        <v>0</v>
      </c>
      <c r="X460" s="174" t="s">
        <v>328</v>
      </c>
      <c r="Y460" s="171"/>
      <c r="Z460" s="172" t="str">
        <f>'Standard data'!F341</f>
        <v xml:space="preserve">Anaerobic digester </v>
      </c>
      <c r="AA460" s="182">
        <v>0</v>
      </c>
      <c r="AB460" s="182">
        <v>0</v>
      </c>
      <c r="AC460" s="182">
        <v>0</v>
      </c>
      <c r="AD460" s="174" t="s">
        <v>328</v>
      </c>
      <c r="AE460" s="171"/>
      <c r="AF460" s="172" t="str">
        <f>'Standard data'!G341</f>
        <v>Composting intensive windrow</v>
      </c>
      <c r="AG460" s="182">
        <v>0.3</v>
      </c>
      <c r="AH460" s="182">
        <v>0.1</v>
      </c>
      <c r="AI460" s="182">
        <v>0.4</v>
      </c>
      <c r="AJ460" s="174" t="s">
        <v>328</v>
      </c>
      <c r="AK460" s="171"/>
      <c r="AL460" s="172" t="str">
        <f>'Standard data'!H341</f>
        <v xml:space="preserve">Anaerobic digester </v>
      </c>
      <c r="AM460" s="182">
        <v>0</v>
      </c>
      <c r="AN460" s="182">
        <v>0</v>
      </c>
      <c r="AO460" s="182">
        <v>0</v>
      </c>
      <c r="AP460" s="174" t="s">
        <v>328</v>
      </c>
      <c r="AQ460" s="171"/>
      <c r="AR460" s="172" t="str">
        <f>'Standard data'!I341</f>
        <v>Poultry without litter</v>
      </c>
      <c r="AS460" s="182">
        <v>0.55000000000000004</v>
      </c>
      <c r="AT460" s="182">
        <v>0</v>
      </c>
      <c r="AU460" s="182">
        <v>0.55000000000000004</v>
      </c>
      <c r="AV460" s="174" t="s">
        <v>395</v>
      </c>
      <c r="AW460" s="171"/>
      <c r="AX460" s="172" t="str">
        <f>'Standard data'!J341</f>
        <v>Poultry without litter</v>
      </c>
      <c r="AY460" s="182">
        <v>0.55000000000000004</v>
      </c>
      <c r="AZ460" s="182">
        <v>0</v>
      </c>
      <c r="BA460" s="182">
        <v>0.55000000000000004</v>
      </c>
      <c r="BB460" s="174" t="s">
        <v>395</v>
      </c>
      <c r="BC460" s="171"/>
      <c r="BD460" s="171"/>
      <c r="BE460" s="171"/>
    </row>
    <row r="461" spans="2:57" hidden="1" outlineLevel="1">
      <c r="B461" s="174" t="str">
        <f>'Standard data'!B342</f>
        <v xml:space="preserve">Anaerobic digester </v>
      </c>
      <c r="C461" s="182">
        <v>0</v>
      </c>
      <c r="D461" s="182">
        <v>0</v>
      </c>
      <c r="E461" s="182">
        <v>0</v>
      </c>
      <c r="F461" s="174" t="s">
        <v>395</v>
      </c>
      <c r="G461" s="171"/>
      <c r="H461" s="172" t="str">
        <f>'Standard data'!C342</f>
        <v xml:space="preserve">Anaerobic digester </v>
      </c>
      <c r="I461" s="182">
        <v>0</v>
      </c>
      <c r="J461" s="182">
        <v>0</v>
      </c>
      <c r="K461" s="182">
        <v>0</v>
      </c>
      <c r="L461" s="174" t="s">
        <v>395</v>
      </c>
      <c r="M461" s="171"/>
      <c r="N461" s="172" t="str">
        <f>'Standard data'!D342</f>
        <v>Cattle and swine deep bedding-no mixing, &lt;1 month</v>
      </c>
      <c r="O461" s="182">
        <v>0.3</v>
      </c>
      <c r="P461" s="182">
        <v>0.1</v>
      </c>
      <c r="Q461" s="182">
        <v>0.4</v>
      </c>
      <c r="R461" s="174" t="s">
        <v>395</v>
      </c>
      <c r="S461" s="171"/>
      <c r="T461" s="172" t="str">
        <f>'Standard data'!E342</f>
        <v>Cattle and swine deep bedding-no mixing, &lt;1 month</v>
      </c>
      <c r="U461" s="182">
        <v>0.3</v>
      </c>
      <c r="V461" s="182">
        <v>0.1</v>
      </c>
      <c r="W461" s="182">
        <v>0.4</v>
      </c>
      <c r="X461" s="174" t="s">
        <v>395</v>
      </c>
      <c r="Y461" s="171"/>
      <c r="Z461" s="172" t="str">
        <f>'Standard data'!F342</f>
        <v>Cattle and swine deep bedding-no mixing, &lt;1 month</v>
      </c>
      <c r="AA461" s="182">
        <v>0.3</v>
      </c>
      <c r="AB461" s="182">
        <v>0.1</v>
      </c>
      <c r="AC461" s="182">
        <v>0.4</v>
      </c>
      <c r="AD461" s="174" t="s">
        <v>395</v>
      </c>
      <c r="AE461" s="171"/>
      <c r="AF461" s="172" t="str">
        <f>'Standard data'!G342</f>
        <v>Composting passive windrow</v>
      </c>
      <c r="AG461" s="182">
        <v>0.3</v>
      </c>
      <c r="AH461" s="182">
        <v>0.1</v>
      </c>
      <c r="AI461" s="182">
        <v>0.4</v>
      </c>
      <c r="AJ461" s="174" t="s">
        <v>328</v>
      </c>
      <c r="AK461" s="171"/>
      <c r="AL461" s="172" t="str">
        <f>'Standard data'!H342</f>
        <v>Cattle and swine deep bedding-no mixing, &lt;1 month</v>
      </c>
      <c r="AM461" s="182">
        <v>0.4</v>
      </c>
      <c r="AN461" s="182">
        <v>0.1</v>
      </c>
      <c r="AO461" s="182">
        <v>0.5</v>
      </c>
      <c r="AP461" s="174" t="s">
        <v>395</v>
      </c>
      <c r="AQ461" s="171"/>
      <c r="AR461" s="172">
        <f>'Standard data'!I342</f>
        <v>0</v>
      </c>
      <c r="AS461" s="182"/>
      <c r="AT461" s="182"/>
      <c r="AU461" s="182"/>
      <c r="AV461" s="174"/>
      <c r="AW461" s="171"/>
      <c r="AX461" s="172">
        <f>'Standard data'!J342</f>
        <v>0</v>
      </c>
      <c r="AY461" s="182"/>
      <c r="AZ461" s="182"/>
      <c r="BA461" s="182"/>
      <c r="BB461" s="174"/>
      <c r="BC461" s="171"/>
      <c r="BD461" s="171"/>
      <c r="BE461" s="171"/>
    </row>
    <row r="462" spans="2:57" hidden="1" outlineLevel="1">
      <c r="B462" s="174" t="str">
        <f>'Standard data'!B343</f>
        <v>Cattle and swine deep bedding-no mixing, &lt;1 month</v>
      </c>
      <c r="C462" s="182">
        <v>0.3</v>
      </c>
      <c r="D462" s="182">
        <v>0.1</v>
      </c>
      <c r="E462" s="182">
        <v>0.4</v>
      </c>
      <c r="F462" s="174" t="s">
        <v>395</v>
      </c>
      <c r="G462" s="171"/>
      <c r="H462" s="172" t="str">
        <f>'Standard data'!C343</f>
        <v>Cattle and swine deep bedding-no mixing, &lt;1 month</v>
      </c>
      <c r="I462" s="182">
        <v>0.3</v>
      </c>
      <c r="J462" s="182">
        <v>0.1</v>
      </c>
      <c r="K462" s="182">
        <v>0.4</v>
      </c>
      <c r="L462" s="174" t="s">
        <v>395</v>
      </c>
      <c r="M462" s="171"/>
      <c r="N462" s="172" t="str">
        <f>'Standard data'!D343</f>
        <v>Cattle and swine deep bedding-no mixing, &gt;1 month</v>
      </c>
      <c r="O462" s="182">
        <v>0.3</v>
      </c>
      <c r="P462" s="182">
        <v>0.1</v>
      </c>
      <c r="Q462" s="182">
        <v>0.4</v>
      </c>
      <c r="R462" s="174" t="s">
        <v>395</v>
      </c>
      <c r="S462" s="171"/>
      <c r="T462" s="172" t="str">
        <f>'Standard data'!E343</f>
        <v>Cattle and swine deep bedding-no mixing, &gt;1 month</v>
      </c>
      <c r="U462" s="182">
        <v>0.3</v>
      </c>
      <c r="V462" s="182">
        <v>0.1</v>
      </c>
      <c r="W462" s="182">
        <v>0.4</v>
      </c>
      <c r="X462" s="174" t="s">
        <v>395</v>
      </c>
      <c r="Y462" s="171"/>
      <c r="Z462" s="172" t="str">
        <f>'Standard data'!F343</f>
        <v>Cattle and swine deep bedding-no mixing, &gt;1 month</v>
      </c>
      <c r="AA462" s="182">
        <v>0.3</v>
      </c>
      <c r="AB462" s="182">
        <v>0.1</v>
      </c>
      <c r="AC462" s="182">
        <v>0.4</v>
      </c>
      <c r="AD462" s="174" t="s">
        <v>395</v>
      </c>
      <c r="AE462" s="171"/>
      <c r="AF462" s="172">
        <f>'Standard data'!G343</f>
        <v>0</v>
      </c>
      <c r="AG462" s="182"/>
      <c r="AH462" s="182"/>
      <c r="AI462" s="182"/>
      <c r="AJ462" s="174"/>
      <c r="AK462" s="171"/>
      <c r="AL462" s="172" t="str">
        <f>'Standard data'!H343</f>
        <v>Cattle and swine deep bedding-no mixing, &gt;1 month</v>
      </c>
      <c r="AM462" s="182">
        <v>0.4</v>
      </c>
      <c r="AN462" s="182">
        <v>0.1</v>
      </c>
      <c r="AO462" s="182">
        <v>0.5</v>
      </c>
      <c r="AP462" s="174" t="s">
        <v>395</v>
      </c>
      <c r="AQ462" s="171"/>
      <c r="AR462" s="172">
        <f>'Standard data'!I343</f>
        <v>0</v>
      </c>
      <c r="AS462" s="182"/>
      <c r="AT462" s="182"/>
      <c r="AU462" s="182"/>
      <c r="AV462" s="174"/>
      <c r="AW462" s="171"/>
      <c r="AX462" s="172">
        <f>'Standard data'!J343</f>
        <v>0</v>
      </c>
      <c r="AY462" s="182"/>
      <c r="AZ462" s="182"/>
      <c r="BA462" s="182"/>
      <c r="BB462" s="174"/>
      <c r="BC462" s="171"/>
      <c r="BD462" s="171"/>
      <c r="BE462" s="171"/>
    </row>
    <row r="463" spans="2:57" hidden="1" outlineLevel="1">
      <c r="B463" s="174" t="str">
        <f>'Standard data'!B344</f>
        <v>Cattle and swine deep bedding-no mixing, &gt;1 month</v>
      </c>
      <c r="C463" s="182">
        <v>0.3</v>
      </c>
      <c r="D463" s="182">
        <v>0.1</v>
      </c>
      <c r="E463" s="182">
        <v>0.4</v>
      </c>
      <c r="F463" s="174" t="s">
        <v>395</v>
      </c>
      <c r="G463" s="171"/>
      <c r="H463" s="172" t="str">
        <f>'Standard data'!C344</f>
        <v>Cattle and swine deep bedding-no mixing, &gt;1 month</v>
      </c>
      <c r="I463" s="182">
        <v>0.3</v>
      </c>
      <c r="J463" s="182">
        <v>0.1</v>
      </c>
      <c r="K463" s="182">
        <v>0.4</v>
      </c>
      <c r="L463" s="174" t="s">
        <v>395</v>
      </c>
      <c r="M463" s="171"/>
      <c r="N463" s="172" t="str">
        <f>'Standard data'!D344</f>
        <v>Cattle and swine deep bedding-active mixing, &lt; 1 month</v>
      </c>
      <c r="O463" s="182">
        <v>0.3</v>
      </c>
      <c r="P463" s="182">
        <v>0.1</v>
      </c>
      <c r="Q463" s="182">
        <v>0.4</v>
      </c>
      <c r="R463" s="174" t="s">
        <v>395</v>
      </c>
      <c r="S463" s="171"/>
      <c r="T463" s="172" t="str">
        <f>'Standard data'!E344</f>
        <v>Cattle and swine deep bedding-active mixing, &lt; 1 month</v>
      </c>
      <c r="U463" s="182">
        <v>0.3</v>
      </c>
      <c r="V463" s="182">
        <v>0.1</v>
      </c>
      <c r="W463" s="182">
        <v>0.4</v>
      </c>
      <c r="X463" s="174" t="s">
        <v>395</v>
      </c>
      <c r="Y463" s="171"/>
      <c r="Z463" s="172" t="str">
        <f>'Standard data'!F344</f>
        <v>Cattle and swine deep bedding-active mixing, &lt; 1 month</v>
      </c>
      <c r="AA463" s="182">
        <v>0.3</v>
      </c>
      <c r="AB463" s="182">
        <v>0.1</v>
      </c>
      <c r="AC463" s="182">
        <v>0.4</v>
      </c>
      <c r="AD463" s="174" t="s">
        <v>395</v>
      </c>
      <c r="AE463" s="171"/>
      <c r="AF463" s="172">
        <f>'Standard data'!G344</f>
        <v>0</v>
      </c>
      <c r="AG463" s="182"/>
      <c r="AH463" s="182"/>
      <c r="AI463" s="182"/>
      <c r="AJ463" s="174"/>
      <c r="AK463" s="171"/>
      <c r="AL463" s="172" t="str">
        <f>'Standard data'!H344</f>
        <v>Cattle and swine deep bedding-active mixing, &lt; 1 month</v>
      </c>
      <c r="AM463" s="182">
        <v>0.4</v>
      </c>
      <c r="AN463" s="182">
        <v>0.1</v>
      </c>
      <c r="AO463" s="182">
        <v>0.5</v>
      </c>
      <c r="AP463" s="174" t="s">
        <v>395</v>
      </c>
      <c r="AQ463" s="171"/>
      <c r="AR463" s="172">
        <f>'Standard data'!I344</f>
        <v>0</v>
      </c>
      <c r="AS463" s="182"/>
      <c r="AT463" s="182"/>
      <c r="AU463" s="182"/>
      <c r="AV463" s="174"/>
      <c r="AW463" s="171"/>
      <c r="AX463" s="172">
        <f>'Standard data'!J344</f>
        <v>0</v>
      </c>
      <c r="AY463" s="182"/>
      <c r="AZ463" s="182"/>
      <c r="BA463" s="182"/>
      <c r="BB463" s="174"/>
      <c r="BC463" s="171"/>
      <c r="BD463" s="171"/>
      <c r="BE463" s="171"/>
    </row>
    <row r="464" spans="2:57" hidden="1" outlineLevel="1">
      <c r="B464" s="174" t="str">
        <f>'Standard data'!B345</f>
        <v>Cattle and swine deep bedding-active mixing, &lt; 1 month</v>
      </c>
      <c r="C464" s="182">
        <v>0.3</v>
      </c>
      <c r="D464" s="182">
        <v>0.1</v>
      </c>
      <c r="E464" s="182">
        <v>0.4</v>
      </c>
      <c r="F464" s="174" t="s">
        <v>395</v>
      </c>
      <c r="G464" s="171"/>
      <c r="H464" s="172" t="str">
        <f>'Standard data'!C345</f>
        <v>Cattle and swine deep bedding-active mixing, &lt; 1 month</v>
      </c>
      <c r="I464" s="182">
        <v>0.3</v>
      </c>
      <c r="J464" s="182">
        <v>0.1</v>
      </c>
      <c r="K464" s="182">
        <v>0.4</v>
      </c>
      <c r="L464" s="174" t="s">
        <v>395</v>
      </c>
      <c r="M464" s="171"/>
      <c r="N464" s="172" t="str">
        <f>'Standard data'!D345</f>
        <v>Cattle and swine deep bedding-active mixing, &gt; 1 month</v>
      </c>
      <c r="O464" s="182">
        <v>0.3</v>
      </c>
      <c r="P464" s="182">
        <v>0.1</v>
      </c>
      <c r="Q464" s="182">
        <v>0.4</v>
      </c>
      <c r="R464" s="174" t="s">
        <v>395</v>
      </c>
      <c r="S464" s="171"/>
      <c r="T464" s="172" t="str">
        <f>'Standard data'!E345</f>
        <v>Cattle and swine deep bedding-active mixing, &gt; 1 month</v>
      </c>
      <c r="U464" s="182">
        <v>0.3</v>
      </c>
      <c r="V464" s="182">
        <v>0.1</v>
      </c>
      <c r="W464" s="182">
        <v>0.4</v>
      </c>
      <c r="X464" s="174" t="s">
        <v>395</v>
      </c>
      <c r="Y464" s="171"/>
      <c r="Z464" s="172" t="str">
        <f>'Standard data'!F345</f>
        <v>Cattle and swine deep bedding-active mixing, &gt; 1 month</v>
      </c>
      <c r="AA464" s="182">
        <v>0.3</v>
      </c>
      <c r="AB464" s="182">
        <v>0.1</v>
      </c>
      <c r="AC464" s="182">
        <v>0.4</v>
      </c>
      <c r="AD464" s="174" t="s">
        <v>395</v>
      </c>
      <c r="AE464" s="171"/>
      <c r="AF464" s="172">
        <f>'Standard data'!G345</f>
        <v>0</v>
      </c>
      <c r="AG464" s="182"/>
      <c r="AH464" s="182"/>
      <c r="AI464" s="182"/>
      <c r="AJ464" s="174"/>
      <c r="AK464" s="171"/>
      <c r="AL464" s="172" t="str">
        <f>'Standard data'!H345</f>
        <v>Cattle and swine deep bedding-active mixing, &gt; 1 month</v>
      </c>
      <c r="AM464" s="182">
        <v>0.4</v>
      </c>
      <c r="AN464" s="182">
        <v>0.1</v>
      </c>
      <c r="AO464" s="182">
        <v>0.5</v>
      </c>
      <c r="AP464" s="174" t="s">
        <v>395</v>
      </c>
      <c r="AQ464" s="171"/>
      <c r="AR464" s="172">
        <f>'Standard data'!I345</f>
        <v>0</v>
      </c>
      <c r="AS464" s="182"/>
      <c r="AT464" s="182"/>
      <c r="AU464" s="182"/>
      <c r="AV464" s="174"/>
      <c r="AW464" s="171"/>
      <c r="AX464" s="172">
        <f>'Standard data'!J345</f>
        <v>0</v>
      </c>
      <c r="AY464" s="182"/>
      <c r="AZ464" s="182"/>
      <c r="BA464" s="182"/>
      <c r="BB464" s="174"/>
      <c r="BC464" s="171"/>
      <c r="BD464" s="171"/>
      <c r="BE464" s="171"/>
    </row>
    <row r="465" spans="2:57" hidden="1" outlineLevel="1">
      <c r="B465" s="174" t="str">
        <f>'Standard data'!B346</f>
        <v>Cattle and swine deep bedding-active mixing, &gt; 1 month</v>
      </c>
      <c r="C465" s="182">
        <v>0.3</v>
      </c>
      <c r="D465" s="182">
        <v>0.1</v>
      </c>
      <c r="E465" s="182">
        <v>0.4</v>
      </c>
      <c r="F465" s="174" t="s">
        <v>395</v>
      </c>
      <c r="G465" s="171"/>
      <c r="H465" s="172" t="str">
        <f>'Standard data'!C346</f>
        <v>Cattle and swine deep bedding-active mixing, &gt; 1 month</v>
      </c>
      <c r="I465" s="182">
        <v>0.3</v>
      </c>
      <c r="J465" s="182">
        <v>0.1</v>
      </c>
      <c r="K465" s="182">
        <v>0.4</v>
      </c>
      <c r="L465" s="174" t="s">
        <v>395</v>
      </c>
      <c r="M465" s="171"/>
      <c r="N465" s="172" t="str">
        <f>'Standard data'!D346</f>
        <v>Composting In-vessel</v>
      </c>
      <c r="O465" s="182">
        <v>0.3</v>
      </c>
      <c r="P465" s="182">
        <v>0.1</v>
      </c>
      <c r="Q465" s="182">
        <v>0.4</v>
      </c>
      <c r="R465" s="174" t="s">
        <v>328</v>
      </c>
      <c r="S465" s="171"/>
      <c r="T465" s="172" t="str">
        <f>'Standard data'!E346</f>
        <v>Composting In-vessel</v>
      </c>
      <c r="U465" s="182">
        <v>0.3</v>
      </c>
      <c r="V465" s="182">
        <v>0.1</v>
      </c>
      <c r="W465" s="182">
        <v>0.4</v>
      </c>
      <c r="X465" s="174" t="s">
        <v>328</v>
      </c>
      <c r="Y465" s="171"/>
      <c r="Z465" s="172" t="str">
        <f>'Standard data'!F346</f>
        <v>Composting In-vessel</v>
      </c>
      <c r="AA465" s="182">
        <v>0.3</v>
      </c>
      <c r="AB465" s="182">
        <v>0.1</v>
      </c>
      <c r="AC465" s="182">
        <v>0.4</v>
      </c>
      <c r="AD465" s="174" t="s">
        <v>328</v>
      </c>
      <c r="AE465" s="171"/>
      <c r="AF465" s="172">
        <f>'Standard data'!G346</f>
        <v>0</v>
      </c>
      <c r="AG465" s="182"/>
      <c r="AH465" s="182"/>
      <c r="AI465" s="182"/>
      <c r="AJ465" s="174"/>
      <c r="AK465" s="171"/>
      <c r="AL465" s="172" t="str">
        <f>'Standard data'!H346</f>
        <v>Composting In-vessel</v>
      </c>
      <c r="AM465" s="182">
        <v>0.3</v>
      </c>
      <c r="AN465" s="182">
        <v>0.1</v>
      </c>
      <c r="AO465" s="182">
        <v>0.4</v>
      </c>
      <c r="AP465" s="174" t="s">
        <v>328</v>
      </c>
      <c r="AQ465" s="171"/>
      <c r="AR465" s="172">
        <f>'Standard data'!I346</f>
        <v>0</v>
      </c>
      <c r="AS465" s="182"/>
      <c r="AT465" s="182"/>
      <c r="AU465" s="182"/>
      <c r="AV465" s="174"/>
      <c r="AW465" s="171"/>
      <c r="AX465" s="172">
        <f>'Standard data'!J346</f>
        <v>0</v>
      </c>
      <c r="AY465" s="182"/>
      <c r="AZ465" s="182"/>
      <c r="BA465" s="182"/>
      <c r="BB465" s="174"/>
      <c r="BC465" s="171"/>
      <c r="BD465" s="171"/>
      <c r="BE465" s="171"/>
    </row>
    <row r="466" spans="2:57" hidden="1" outlineLevel="1">
      <c r="B466" s="174" t="str">
        <f>'Standard data'!B347</f>
        <v>Composting In-vessel</v>
      </c>
      <c r="C466" s="182">
        <v>0.3</v>
      </c>
      <c r="D466" s="182">
        <v>0.1</v>
      </c>
      <c r="E466" s="182">
        <v>0.4</v>
      </c>
      <c r="F466" s="174" t="s">
        <v>328</v>
      </c>
      <c r="G466" s="171"/>
      <c r="H466" s="172" t="str">
        <f>'Standard data'!C347</f>
        <v>Composting In-vessel</v>
      </c>
      <c r="I466" s="182">
        <v>0.3</v>
      </c>
      <c r="J466" s="182">
        <v>0.1</v>
      </c>
      <c r="K466" s="182">
        <v>0.4</v>
      </c>
      <c r="L466" s="174" t="s">
        <v>328</v>
      </c>
      <c r="M466" s="171"/>
      <c r="N466" s="172" t="str">
        <f>'Standard data'!D347</f>
        <v>Composting Static Pile</v>
      </c>
      <c r="O466" s="182">
        <v>0.3</v>
      </c>
      <c r="P466" s="182">
        <v>0.1</v>
      </c>
      <c r="Q466" s="182">
        <v>0.4</v>
      </c>
      <c r="R466" s="174" t="s">
        <v>328</v>
      </c>
      <c r="S466" s="171"/>
      <c r="T466" s="172" t="str">
        <f>'Standard data'!E347</f>
        <v>Composting Static Pile</v>
      </c>
      <c r="U466" s="182">
        <v>0.3</v>
      </c>
      <c r="V466" s="182">
        <v>0.1</v>
      </c>
      <c r="W466" s="182">
        <v>0.4</v>
      </c>
      <c r="X466" s="174" t="s">
        <v>328</v>
      </c>
      <c r="Y466" s="171"/>
      <c r="Z466" s="172" t="str">
        <f>'Standard data'!F347</f>
        <v>Composting Static Pile</v>
      </c>
      <c r="AA466" s="182">
        <v>0.3</v>
      </c>
      <c r="AB466" s="182">
        <v>0.1</v>
      </c>
      <c r="AC466" s="182">
        <v>0.4</v>
      </c>
      <c r="AD466" s="174" t="s">
        <v>328</v>
      </c>
      <c r="AE466" s="171"/>
      <c r="AF466" s="172">
        <f>'Standard data'!G347</f>
        <v>0</v>
      </c>
      <c r="AG466" s="182"/>
      <c r="AH466" s="182"/>
      <c r="AI466" s="182"/>
      <c r="AJ466" s="174"/>
      <c r="AK466" s="171"/>
      <c r="AL466" s="172" t="str">
        <f>'Standard data'!H347</f>
        <v>Composting Static Pile</v>
      </c>
      <c r="AM466" s="182">
        <v>0.3</v>
      </c>
      <c r="AN466" s="182">
        <v>0.1</v>
      </c>
      <c r="AO466" s="182">
        <v>0.4</v>
      </c>
      <c r="AP466" s="174" t="s">
        <v>328</v>
      </c>
      <c r="AQ466" s="171"/>
      <c r="AR466" s="172">
        <f>'Standard data'!I347</f>
        <v>0</v>
      </c>
      <c r="AS466" s="182"/>
      <c r="AT466" s="182"/>
      <c r="AU466" s="182"/>
      <c r="AV466" s="174"/>
      <c r="AW466" s="171"/>
      <c r="AX466" s="172">
        <f>'Standard data'!J347</f>
        <v>0</v>
      </c>
      <c r="AY466" s="182"/>
      <c r="AZ466" s="182"/>
      <c r="BA466" s="182"/>
      <c r="BB466" s="174"/>
      <c r="BC466" s="171"/>
      <c r="BD466" s="171"/>
      <c r="BE466" s="171"/>
    </row>
    <row r="467" spans="2:57" hidden="1" outlineLevel="1">
      <c r="B467" s="174" t="str">
        <f>'Standard data'!B348</f>
        <v>Composting Static Pile</v>
      </c>
      <c r="C467" s="182">
        <v>0.3</v>
      </c>
      <c r="D467" s="182">
        <v>0.1</v>
      </c>
      <c r="E467" s="182">
        <v>0.4</v>
      </c>
      <c r="F467" s="174" t="s">
        <v>328</v>
      </c>
      <c r="G467" s="171"/>
      <c r="H467" s="172" t="str">
        <f>'Standard data'!C348</f>
        <v>Composting Static Pile</v>
      </c>
      <c r="I467" s="182">
        <v>0.3</v>
      </c>
      <c r="J467" s="182">
        <v>0.1</v>
      </c>
      <c r="K467" s="182">
        <v>0.4</v>
      </c>
      <c r="L467" s="174" t="s">
        <v>328</v>
      </c>
      <c r="M467" s="171"/>
      <c r="N467" s="172" t="str">
        <f>'Standard data'!D348</f>
        <v>Composting intensive windrow</v>
      </c>
      <c r="O467" s="182">
        <v>0.3</v>
      </c>
      <c r="P467" s="182">
        <v>0.1</v>
      </c>
      <c r="Q467" s="182">
        <v>0.4</v>
      </c>
      <c r="R467" s="174" t="s">
        <v>328</v>
      </c>
      <c r="S467" s="171"/>
      <c r="T467" s="172" t="str">
        <f>'Standard data'!E348</f>
        <v>Composting intensive windrow</v>
      </c>
      <c r="U467" s="182">
        <v>0.3</v>
      </c>
      <c r="V467" s="182">
        <v>0.1</v>
      </c>
      <c r="W467" s="182">
        <v>0.4</v>
      </c>
      <c r="X467" s="174" t="s">
        <v>328</v>
      </c>
      <c r="Y467" s="171"/>
      <c r="Z467" s="172" t="str">
        <f>'Standard data'!F348</f>
        <v>Composting intensive windrow</v>
      </c>
      <c r="AA467" s="182">
        <v>0.3</v>
      </c>
      <c r="AB467" s="182">
        <v>0.1</v>
      </c>
      <c r="AC467" s="182">
        <v>0.4</v>
      </c>
      <c r="AD467" s="174" t="s">
        <v>328</v>
      </c>
      <c r="AE467" s="171"/>
      <c r="AF467" s="172">
        <f>'Standard data'!G348</f>
        <v>0</v>
      </c>
      <c r="AG467" s="182"/>
      <c r="AH467" s="182"/>
      <c r="AI467" s="182"/>
      <c r="AJ467" s="174"/>
      <c r="AK467" s="171"/>
      <c r="AL467" s="172" t="str">
        <f>'Standard data'!H348</f>
        <v>Composting intensive windrow</v>
      </c>
      <c r="AM467" s="182">
        <v>0.3</v>
      </c>
      <c r="AN467" s="182">
        <v>0.1</v>
      </c>
      <c r="AO467" s="182">
        <v>0.4</v>
      </c>
      <c r="AP467" s="174" t="s">
        <v>328</v>
      </c>
      <c r="AQ467" s="171"/>
      <c r="AR467" s="172">
        <f>'Standard data'!I348</f>
        <v>0</v>
      </c>
      <c r="AS467" s="182"/>
      <c r="AT467" s="182"/>
      <c r="AU467" s="182"/>
      <c r="AV467" s="174"/>
      <c r="AW467" s="171"/>
      <c r="AX467" s="172">
        <f>'Standard data'!J348</f>
        <v>0</v>
      </c>
      <c r="AY467" s="182"/>
      <c r="AZ467" s="182"/>
      <c r="BA467" s="182"/>
      <c r="BB467" s="174"/>
      <c r="BC467" s="171"/>
      <c r="BD467" s="171"/>
      <c r="BE467" s="171"/>
    </row>
    <row r="468" spans="2:57" hidden="1" outlineLevel="1">
      <c r="B468" s="174" t="str">
        <f>'Standard data'!B349</f>
        <v>Composting intensive windrow</v>
      </c>
      <c r="C468" s="182">
        <v>0.3</v>
      </c>
      <c r="D468" s="182">
        <v>0.1</v>
      </c>
      <c r="E468" s="182">
        <v>0.4</v>
      </c>
      <c r="F468" s="174" t="s">
        <v>328</v>
      </c>
      <c r="G468" s="171"/>
      <c r="H468" s="172" t="str">
        <f>'Standard data'!C349</f>
        <v>Composting intensive windrow</v>
      </c>
      <c r="I468" s="182">
        <v>0.3</v>
      </c>
      <c r="J468" s="182">
        <v>0.1</v>
      </c>
      <c r="K468" s="182">
        <v>0.4</v>
      </c>
      <c r="L468" s="174" t="s">
        <v>328</v>
      </c>
      <c r="M468" s="171"/>
      <c r="N468" s="172" t="str">
        <f>'Standard data'!D349</f>
        <v>Composting passive windrow</v>
      </c>
      <c r="O468" s="182">
        <v>0.3</v>
      </c>
      <c r="P468" s="182">
        <v>0.1</v>
      </c>
      <c r="Q468" s="182">
        <v>0.4</v>
      </c>
      <c r="R468" s="174" t="s">
        <v>328</v>
      </c>
      <c r="S468" s="171"/>
      <c r="T468" s="172" t="str">
        <f>'Standard data'!E349</f>
        <v>Composting passive windrow</v>
      </c>
      <c r="U468" s="182">
        <v>0.3</v>
      </c>
      <c r="V468" s="182">
        <v>0.1</v>
      </c>
      <c r="W468" s="182">
        <v>0.4</v>
      </c>
      <c r="X468" s="174" t="s">
        <v>328</v>
      </c>
      <c r="Y468" s="171"/>
      <c r="Z468" s="172" t="str">
        <f>'Standard data'!F349</f>
        <v>Composting passive windrow</v>
      </c>
      <c r="AA468" s="182">
        <v>0.3</v>
      </c>
      <c r="AB468" s="182">
        <v>0.1</v>
      </c>
      <c r="AC468" s="182">
        <v>0.4</v>
      </c>
      <c r="AD468" s="174" t="s">
        <v>328</v>
      </c>
      <c r="AE468" s="171"/>
      <c r="AF468" s="172">
        <f>'Standard data'!G349</f>
        <v>0</v>
      </c>
      <c r="AG468" s="182"/>
      <c r="AH468" s="182"/>
      <c r="AI468" s="182"/>
      <c r="AJ468" s="174"/>
      <c r="AK468" s="171"/>
      <c r="AL468" s="172" t="str">
        <f>'Standard data'!H349</f>
        <v>Composting passive windrow</v>
      </c>
      <c r="AM468" s="182">
        <v>0.3</v>
      </c>
      <c r="AN468" s="182">
        <v>0.1</v>
      </c>
      <c r="AO468" s="182">
        <v>0.4</v>
      </c>
      <c r="AP468" s="174" t="s">
        <v>328</v>
      </c>
      <c r="AQ468" s="171"/>
      <c r="AR468" s="172">
        <f>'Standard data'!I349</f>
        <v>0</v>
      </c>
      <c r="AS468" s="182"/>
      <c r="AT468" s="182"/>
      <c r="AU468" s="182"/>
      <c r="AV468" s="174"/>
      <c r="AW468" s="171"/>
      <c r="AX468" s="172">
        <f>'Standard data'!J349</f>
        <v>0</v>
      </c>
      <c r="AY468" s="182"/>
      <c r="AZ468" s="182"/>
      <c r="BA468" s="182"/>
      <c r="BB468" s="174"/>
      <c r="BC468" s="171"/>
      <c r="BD468" s="171"/>
      <c r="BE468" s="171"/>
    </row>
    <row r="469" spans="2:57" hidden="1" outlineLevel="1">
      <c r="B469" s="174" t="str">
        <f>'Standard data'!B350</f>
        <v>Composting passive windrow</v>
      </c>
      <c r="C469" s="182">
        <v>0.3</v>
      </c>
      <c r="D469" s="182">
        <v>0.1</v>
      </c>
      <c r="E469" s="182">
        <v>0.4</v>
      </c>
      <c r="F469" s="174" t="s">
        <v>328</v>
      </c>
      <c r="G469" s="171"/>
      <c r="H469" s="172" t="str">
        <f>'Standard data'!C350</f>
        <v>Composting passive windrow</v>
      </c>
      <c r="I469" s="182">
        <v>0.3</v>
      </c>
      <c r="J469" s="182">
        <v>0.1</v>
      </c>
      <c r="K469" s="182">
        <v>0.4</v>
      </c>
      <c r="L469" s="174" t="s">
        <v>328</v>
      </c>
      <c r="M469" s="171"/>
      <c r="N469" s="172">
        <f>'Standard data'!D350</f>
        <v>0</v>
      </c>
      <c r="O469" s="182"/>
      <c r="P469" s="182"/>
      <c r="Q469" s="182"/>
      <c r="R469" s="174"/>
      <c r="S469" s="171"/>
      <c r="T469" s="172">
        <f>'Standard data'!E350</f>
        <v>0</v>
      </c>
      <c r="U469" s="182"/>
      <c r="V469" s="182"/>
      <c r="W469" s="182"/>
      <c r="X469" s="174"/>
      <c r="Y469" s="171"/>
      <c r="Z469" s="172">
        <f>'Standard data'!F350</f>
        <v>0</v>
      </c>
      <c r="AA469" s="182"/>
      <c r="AB469" s="182"/>
      <c r="AC469" s="182"/>
      <c r="AD469" s="174"/>
      <c r="AE469" s="171"/>
      <c r="AF469" s="172">
        <f>'Standard data'!G350</f>
        <v>0</v>
      </c>
      <c r="AG469" s="182"/>
      <c r="AH469" s="182"/>
      <c r="AI469" s="182"/>
      <c r="AJ469" s="174"/>
      <c r="AK469" s="171"/>
      <c r="AL469" s="172" t="str">
        <f>'Standard data'!H350</f>
        <v>Aerobic treatment - natural aeration systems</v>
      </c>
      <c r="AM469" s="182">
        <v>0.4</v>
      </c>
      <c r="AN469" s="182">
        <v>0.38</v>
      </c>
      <c r="AO469" s="182">
        <v>0.78</v>
      </c>
      <c r="AP469" s="174" t="s">
        <v>395</v>
      </c>
      <c r="AQ469" s="171"/>
      <c r="AR469" s="172">
        <f>'Standard data'!I350</f>
        <v>0</v>
      </c>
      <c r="AS469" s="182"/>
      <c r="AT469" s="182"/>
      <c r="AU469" s="182"/>
      <c r="AV469" s="174"/>
      <c r="AW469" s="171"/>
      <c r="AX469" s="172">
        <f>'Standard data'!J350</f>
        <v>0</v>
      </c>
      <c r="AY469" s="182"/>
      <c r="AZ469" s="182"/>
      <c r="BA469" s="182"/>
      <c r="BB469" s="174"/>
      <c r="BC469" s="171"/>
      <c r="BD469" s="171"/>
      <c r="BE469" s="171"/>
    </row>
    <row r="470" spans="2:57" hidden="1" outlineLevel="1">
      <c r="B470" s="174">
        <f>'Standard data'!B351</f>
        <v>0</v>
      </c>
      <c r="C470" s="182"/>
      <c r="D470" s="182"/>
      <c r="E470" s="182"/>
      <c r="F470" s="174"/>
      <c r="G470" s="171"/>
      <c r="H470" s="172">
        <f>'Standard data'!C351</f>
        <v>0</v>
      </c>
      <c r="I470" s="182"/>
      <c r="J470" s="182"/>
      <c r="K470" s="182"/>
      <c r="L470" s="174"/>
      <c r="M470" s="171"/>
      <c r="N470" s="172">
        <f>'Standard data'!D351</f>
        <v>0</v>
      </c>
      <c r="O470" s="182"/>
      <c r="P470" s="182"/>
      <c r="Q470" s="182"/>
      <c r="R470" s="174"/>
      <c r="S470" s="171"/>
      <c r="T470" s="172">
        <f>'Standard data'!E351</f>
        <v>0</v>
      </c>
      <c r="U470" s="182"/>
      <c r="V470" s="182"/>
      <c r="W470" s="182"/>
      <c r="X470" s="174"/>
      <c r="Y470" s="171"/>
      <c r="Z470" s="172">
        <f>'Standard data'!F351</f>
        <v>0</v>
      </c>
      <c r="AA470" s="182"/>
      <c r="AB470" s="182"/>
      <c r="AC470" s="182"/>
      <c r="AD470" s="174"/>
      <c r="AE470" s="171"/>
      <c r="AF470" s="172">
        <f>'Standard data'!G351</f>
        <v>0</v>
      </c>
      <c r="AG470" s="182"/>
      <c r="AH470" s="182"/>
      <c r="AI470" s="182"/>
      <c r="AJ470" s="174"/>
      <c r="AK470" s="171"/>
      <c r="AL470" s="172" t="str">
        <f>'Standard data'!H351</f>
        <v>Aerobic treatment -  Forced aeration systems</v>
      </c>
      <c r="AM470" s="182">
        <v>0.4</v>
      </c>
      <c r="AN470" s="182">
        <v>0.38</v>
      </c>
      <c r="AO470" s="182">
        <v>0.78</v>
      </c>
      <c r="AP470" s="174" t="s">
        <v>395</v>
      </c>
      <c r="AQ470" s="171"/>
      <c r="AR470" s="172">
        <f>'Standard data'!I351</f>
        <v>0</v>
      </c>
      <c r="AS470" s="182"/>
      <c r="AT470" s="182"/>
      <c r="AU470" s="182"/>
      <c r="AV470" s="174"/>
      <c r="AW470" s="171"/>
      <c r="AX470" s="172">
        <f>'Standard data'!J351</f>
        <v>0</v>
      </c>
      <c r="AY470" s="182"/>
      <c r="AZ470" s="182"/>
      <c r="BA470" s="182"/>
      <c r="BB470" s="174"/>
      <c r="BC470" s="171"/>
      <c r="BD470" s="171"/>
      <c r="BE470" s="171"/>
    </row>
    <row r="471" spans="2:57" hidden="1" outlineLevel="1">
      <c r="B471" s="174">
        <f>'Standard data'!B352</f>
        <v>0</v>
      </c>
      <c r="C471" s="182"/>
      <c r="D471" s="182"/>
      <c r="E471" s="182"/>
      <c r="F471" s="174"/>
      <c r="G471" s="171"/>
      <c r="H471" s="172">
        <f>'Standard data'!C352</f>
        <v>0</v>
      </c>
      <c r="I471" s="182"/>
      <c r="J471" s="182"/>
      <c r="K471" s="182"/>
      <c r="L471" s="174"/>
      <c r="M471" s="171"/>
      <c r="N471" s="172">
        <f>'Standard data'!D352</f>
        <v>0</v>
      </c>
      <c r="O471" s="182"/>
      <c r="P471" s="182"/>
      <c r="Q471" s="182"/>
      <c r="R471" s="174"/>
      <c r="S471" s="171"/>
      <c r="T471" s="172">
        <f>'Standard data'!E352</f>
        <v>0</v>
      </c>
      <c r="U471" s="182"/>
      <c r="V471" s="182"/>
      <c r="W471" s="182"/>
      <c r="X471" s="174"/>
      <c r="Y471" s="171"/>
      <c r="Z471" s="172">
        <f>'Standard data'!F352</f>
        <v>0</v>
      </c>
      <c r="AA471" s="182"/>
      <c r="AB471" s="182"/>
      <c r="AC471" s="182"/>
      <c r="AD471" s="174"/>
      <c r="AE471" s="171"/>
      <c r="AF471" s="172">
        <f>'Standard data'!G352</f>
        <v>0</v>
      </c>
      <c r="AG471" s="182"/>
      <c r="AH471" s="182"/>
      <c r="AI471" s="182"/>
      <c r="AJ471" s="174"/>
      <c r="AK471" s="171"/>
      <c r="AL471" s="172">
        <f>'Standard data'!H352</f>
        <v>0</v>
      </c>
      <c r="AM471" s="182"/>
      <c r="AN471" s="182"/>
      <c r="AO471" s="182"/>
      <c r="AP471" s="174"/>
      <c r="AQ471" s="171"/>
      <c r="AR471" s="172">
        <f>'Standard data'!I352</f>
        <v>0</v>
      </c>
      <c r="AS471" s="182"/>
      <c r="AT471" s="182"/>
      <c r="AU471" s="182"/>
      <c r="AV471" s="174"/>
      <c r="AW471" s="171"/>
      <c r="AX471" s="172">
        <f>'Standard data'!J352</f>
        <v>0</v>
      </c>
      <c r="AY471" s="182"/>
      <c r="AZ471" s="182"/>
      <c r="BA471" s="182"/>
      <c r="BB471" s="174"/>
      <c r="BC471" s="171"/>
      <c r="BD471" s="171"/>
      <c r="BE471" s="171"/>
    </row>
    <row r="472" spans="2:57" hidden="1" outlineLevel="1">
      <c r="B472" s="174">
        <f>'Standard data'!B353</f>
        <v>0</v>
      </c>
      <c r="C472" s="182"/>
      <c r="D472" s="182"/>
      <c r="E472" s="182"/>
      <c r="F472" s="174"/>
      <c r="G472" s="171"/>
      <c r="H472" s="172">
        <f>'Standard data'!C353</f>
        <v>0</v>
      </c>
      <c r="I472" s="182"/>
      <c r="J472" s="182"/>
      <c r="K472" s="182"/>
      <c r="L472" s="174"/>
      <c r="M472" s="171"/>
      <c r="N472" s="172">
        <f>'Standard data'!D353</f>
        <v>0</v>
      </c>
      <c r="O472" s="182"/>
      <c r="P472" s="182"/>
      <c r="Q472" s="182"/>
      <c r="R472" s="174"/>
      <c r="S472" s="171"/>
      <c r="T472" s="172">
        <f>'Standard data'!E353</f>
        <v>0</v>
      </c>
      <c r="U472" s="182"/>
      <c r="V472" s="182"/>
      <c r="W472" s="182"/>
      <c r="X472" s="174"/>
      <c r="Y472" s="171"/>
      <c r="Z472" s="172">
        <f>'Standard data'!F353</f>
        <v>0</v>
      </c>
      <c r="AA472" s="182"/>
      <c r="AB472" s="182"/>
      <c r="AC472" s="182"/>
      <c r="AD472" s="174"/>
      <c r="AE472" s="171"/>
      <c r="AF472" s="172">
        <f>'Standard data'!G353</f>
        <v>0</v>
      </c>
      <c r="AG472" s="182"/>
      <c r="AH472" s="182"/>
      <c r="AI472" s="182"/>
      <c r="AJ472" s="174"/>
      <c r="AK472" s="171"/>
      <c r="AL472" s="172">
        <f>'Standard data'!H353</f>
        <v>0</v>
      </c>
      <c r="AM472" s="182"/>
      <c r="AN472" s="182"/>
      <c r="AO472" s="182"/>
      <c r="AP472" s="174"/>
      <c r="AQ472" s="171"/>
      <c r="AR472" s="172">
        <f>'Standard data'!I353</f>
        <v>0</v>
      </c>
      <c r="AS472" s="182"/>
      <c r="AT472" s="182"/>
      <c r="AU472" s="182"/>
      <c r="AV472" s="174"/>
      <c r="AW472" s="171"/>
      <c r="AX472" s="172">
        <f>'Standard data'!J353</f>
        <v>0</v>
      </c>
      <c r="AY472" s="182"/>
      <c r="AZ472" s="182"/>
      <c r="BA472" s="182"/>
      <c r="BB472" s="174"/>
      <c r="BC472" s="171"/>
      <c r="BD472" s="171"/>
      <c r="BE472" s="171"/>
    </row>
    <row r="473" spans="2:57" hidden="1" outlineLevel="1">
      <c r="B473" s="174">
        <f>'Standard data'!B354</f>
        <v>0</v>
      </c>
      <c r="C473" s="182"/>
      <c r="D473" s="182"/>
      <c r="E473" s="182"/>
      <c r="F473" s="174"/>
      <c r="G473" s="171"/>
      <c r="H473" s="172">
        <f>'Standard data'!C354</f>
        <v>0</v>
      </c>
      <c r="I473" s="182"/>
      <c r="J473" s="182"/>
      <c r="K473" s="182"/>
      <c r="L473" s="174"/>
      <c r="M473" s="171"/>
      <c r="N473" s="172">
        <f>'Standard data'!D354</f>
        <v>0</v>
      </c>
      <c r="O473" s="182"/>
      <c r="P473" s="182"/>
      <c r="Q473" s="182"/>
      <c r="R473" s="174"/>
      <c r="S473" s="171"/>
      <c r="T473" s="172">
        <f>'Standard data'!E354</f>
        <v>0</v>
      </c>
      <c r="U473" s="182"/>
      <c r="V473" s="182"/>
      <c r="W473" s="182"/>
      <c r="X473" s="174"/>
      <c r="Y473" s="171"/>
      <c r="Z473" s="172">
        <f>'Standard data'!F354</f>
        <v>0</v>
      </c>
      <c r="AA473" s="182"/>
      <c r="AB473" s="182"/>
      <c r="AC473" s="182"/>
      <c r="AD473" s="174"/>
      <c r="AE473" s="171"/>
      <c r="AF473" s="172">
        <f>'Standard data'!G354</f>
        <v>0</v>
      </c>
      <c r="AG473" s="182"/>
      <c r="AH473" s="182"/>
      <c r="AI473" s="182"/>
      <c r="AJ473" s="174"/>
      <c r="AK473" s="171"/>
      <c r="AL473" s="172">
        <f>'Standard data'!H354</f>
        <v>0</v>
      </c>
      <c r="AM473" s="182"/>
      <c r="AN473" s="182"/>
      <c r="AO473" s="182"/>
      <c r="AP473" s="174"/>
      <c r="AQ473" s="171"/>
      <c r="AR473" s="172">
        <f>'Standard data'!I354</f>
        <v>0</v>
      </c>
      <c r="AS473" s="182"/>
      <c r="AT473" s="182"/>
      <c r="AU473" s="182"/>
      <c r="AV473" s="174"/>
      <c r="AW473" s="171"/>
      <c r="AX473" s="172">
        <f>'Standard data'!J354</f>
        <v>0</v>
      </c>
      <c r="AY473" s="182"/>
      <c r="AZ473" s="182"/>
      <c r="BA473" s="182"/>
      <c r="BB473" s="174"/>
      <c r="BC473" s="171"/>
      <c r="BD473" s="171"/>
      <c r="BE473" s="171"/>
    </row>
    <row r="474" spans="2:57" hidden="1" outlineLevel="1">
      <c r="B474" s="171"/>
      <c r="C474" s="171"/>
      <c r="D474" s="171"/>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c r="AA474" s="171"/>
      <c r="AB474" s="171"/>
      <c r="AC474" s="171"/>
      <c r="AD474" s="171"/>
      <c r="AE474" s="171"/>
      <c r="AF474" s="171"/>
      <c r="AG474" s="171"/>
      <c r="AH474" s="171"/>
      <c r="AI474" s="171"/>
      <c r="AJ474" s="171"/>
      <c r="AK474" s="171"/>
      <c r="AL474" s="171"/>
      <c r="AM474" s="171"/>
      <c r="AN474" s="171"/>
      <c r="AO474" s="171"/>
      <c r="AP474" s="171"/>
      <c r="AQ474" s="171"/>
      <c r="AR474" s="171"/>
      <c r="AS474" s="171"/>
      <c r="AT474" s="171"/>
      <c r="AU474" s="171"/>
      <c r="AV474" s="171"/>
      <c r="AW474" s="171"/>
      <c r="AX474" s="171"/>
      <c r="AY474" s="171"/>
      <c r="AZ474" s="171"/>
      <c r="BA474" s="171"/>
      <c r="BB474" s="171"/>
      <c r="BC474" s="171"/>
      <c r="BD474" s="171"/>
      <c r="BE474" s="171"/>
    </row>
    <row r="475" spans="2:57" hidden="1" outlineLevel="1">
      <c r="B475" s="171"/>
      <c r="C475" s="171"/>
      <c r="D475" s="171"/>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c r="AA475" s="171"/>
      <c r="AB475" s="171"/>
      <c r="AC475" s="171"/>
      <c r="AD475" s="171"/>
      <c r="AE475" s="171"/>
      <c r="AF475" s="171"/>
      <c r="AG475" s="171"/>
      <c r="AH475" s="171"/>
      <c r="AI475" s="171"/>
      <c r="AJ475" s="171"/>
      <c r="AK475" s="171"/>
      <c r="AL475" s="171"/>
      <c r="AM475" s="171"/>
      <c r="AN475" s="171"/>
      <c r="AO475" s="171"/>
      <c r="AP475" s="171"/>
      <c r="AQ475" s="171"/>
      <c r="AR475" s="171"/>
      <c r="AS475" s="171"/>
      <c r="AT475" s="171"/>
      <c r="AU475" s="171"/>
      <c r="AV475" s="171"/>
      <c r="AW475" s="171"/>
      <c r="AX475" s="171"/>
      <c r="AY475" s="171"/>
      <c r="AZ475" s="171"/>
      <c r="BA475" s="171"/>
      <c r="BB475" s="171"/>
      <c r="BC475" s="171"/>
      <c r="BD475" s="171"/>
      <c r="BE475" s="171"/>
    </row>
    <row r="476" spans="2:57" hidden="1" outlineLevel="1">
      <c r="B476" s="171"/>
      <c r="C476" s="171"/>
      <c r="D476" s="171"/>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c r="AA476" s="171"/>
      <c r="AB476" s="171"/>
      <c r="AC476" s="171"/>
      <c r="AD476" s="171"/>
      <c r="AE476" s="171"/>
      <c r="AF476" s="171"/>
      <c r="AG476" s="171"/>
      <c r="AH476" s="171"/>
      <c r="AI476" s="171"/>
      <c r="AJ476" s="171"/>
      <c r="AK476" s="171"/>
      <c r="AL476" s="171"/>
      <c r="AM476" s="171"/>
      <c r="AN476" s="171"/>
      <c r="AO476" s="171"/>
      <c r="AP476" s="171"/>
      <c r="AQ476" s="171"/>
      <c r="AR476" s="171"/>
      <c r="AS476" s="171"/>
      <c r="AT476" s="171"/>
      <c r="AU476" s="171"/>
      <c r="AV476" s="171"/>
      <c r="AW476" s="171"/>
      <c r="AX476" s="171"/>
      <c r="AY476" s="171"/>
      <c r="AZ476" s="171"/>
      <c r="BA476" s="171"/>
      <c r="BB476" s="171"/>
      <c r="BC476" s="171"/>
      <c r="BD476" s="171"/>
      <c r="BE476" s="171"/>
    </row>
    <row r="477" spans="2:57" hidden="1" outlineLevel="1"/>
    <row r="478" spans="2:57" hidden="1" outlineLevel="1"/>
    <row r="479" spans="2:57" collapsed="1"/>
  </sheetData>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6"/>
  <dimension ref="A1:CV522"/>
  <sheetViews>
    <sheetView showGridLines="0" topLeftCell="E167" zoomScaleNormal="100" zoomScaleSheetLayoutView="75" zoomScalePageLayoutView="110" workbookViewId="0">
      <selection activeCell="N177" sqref="N177"/>
    </sheetView>
  </sheetViews>
  <sheetFormatPr baseColWidth="10" defaultColWidth="11.42578125" defaultRowHeight="12.75"/>
  <cols>
    <col min="1" max="1" width="11.42578125" style="1"/>
    <col min="2" max="2" width="24.28515625" style="1" customWidth="1"/>
    <col min="3" max="3" width="29.42578125" style="1" customWidth="1"/>
    <col min="4" max="4" width="18.5703125" style="1" customWidth="1"/>
    <col min="5" max="5" width="15.42578125" style="1" customWidth="1"/>
    <col min="6" max="6" width="15.7109375" style="1" customWidth="1"/>
    <col min="7" max="7" width="11.42578125" style="1"/>
    <col min="8" max="8" width="21.7109375" style="1" customWidth="1"/>
    <col min="9" max="9" width="13.85546875" style="1" customWidth="1"/>
    <col min="10" max="10" width="11.42578125" style="1"/>
    <col min="11" max="11" width="10.42578125" style="1" customWidth="1"/>
    <col min="12" max="12" width="12" style="1" customWidth="1"/>
    <col min="13" max="13" width="14.7109375" style="1" customWidth="1"/>
    <col min="14" max="14" width="16" style="1" customWidth="1"/>
    <col min="15" max="15" width="14.140625" style="1" customWidth="1"/>
    <col min="16" max="16" width="18.140625" style="1" customWidth="1"/>
    <col min="17" max="17" width="28.140625" style="1" customWidth="1"/>
    <col min="18" max="18" width="20.42578125" style="1" customWidth="1"/>
    <col min="19" max="19" width="18.85546875" style="1" customWidth="1"/>
    <col min="20" max="21" width="11.42578125" style="1"/>
    <col min="22" max="22" width="11.5703125" style="1" bestFit="1" customWidth="1"/>
    <col min="23" max="23" width="11.42578125" style="1"/>
    <col min="24" max="24" width="21.140625" style="1" customWidth="1"/>
    <col min="25" max="35" width="11.42578125" style="1"/>
    <col min="36" max="36" width="24.140625" style="1" customWidth="1"/>
    <col min="37" max="41" width="11.42578125" style="1"/>
    <col min="42" max="42" width="24.42578125" style="1" customWidth="1"/>
    <col min="43" max="16384" width="11.42578125" style="1"/>
  </cols>
  <sheetData>
    <row r="1" spans="1:44">
      <c r="B1" s="105"/>
      <c r="F1" s="20"/>
      <c r="R1" s="24"/>
    </row>
    <row r="2" spans="1:44">
      <c r="B2" s="105"/>
      <c r="M2" s="105"/>
    </row>
    <row r="3" spans="1:44" ht="15.75">
      <c r="B3" s="245" t="s">
        <v>8</v>
      </c>
      <c r="C3" s="1" t="s">
        <v>637</v>
      </c>
      <c r="D3" s="1" t="s">
        <v>638</v>
      </c>
      <c r="H3" s="139"/>
      <c r="I3" s="139"/>
      <c r="J3" s="139"/>
      <c r="K3" s="139"/>
      <c r="L3" s="139"/>
      <c r="M3" s="140"/>
      <c r="N3" s="139"/>
      <c r="O3" s="139"/>
    </row>
    <row r="4" spans="1:44" ht="15">
      <c r="A4" s="1" t="s">
        <v>630</v>
      </c>
      <c r="B4" s="28" t="s">
        <v>452</v>
      </c>
      <c r="C4" s="132" t="s">
        <v>628</v>
      </c>
      <c r="D4" s="132" t="s">
        <v>629</v>
      </c>
      <c r="E4" s="244" t="s">
        <v>445</v>
      </c>
      <c r="H4" s="244"/>
      <c r="I4" s="244" t="str">
        <f>B4</f>
        <v>FORAGE</v>
      </c>
      <c r="J4" s="244"/>
      <c r="K4" s="139"/>
      <c r="L4" s="244" t="s">
        <v>16</v>
      </c>
      <c r="M4" s="244"/>
      <c r="N4" s="244"/>
      <c r="O4" s="141"/>
    </row>
    <row r="5" spans="1:44" ht="15">
      <c r="B5" s="22"/>
      <c r="C5" s="21"/>
      <c r="D5" s="21"/>
      <c r="E5" s="244"/>
      <c r="H5" s="244"/>
      <c r="I5" s="244" t="s">
        <v>17</v>
      </c>
      <c r="J5" s="244" t="s">
        <v>18</v>
      </c>
      <c r="K5" s="139"/>
      <c r="L5" s="244" t="s">
        <v>19</v>
      </c>
      <c r="M5" s="244" t="s">
        <v>20</v>
      </c>
      <c r="N5" s="244" t="s">
        <v>21</v>
      </c>
      <c r="O5" s="139"/>
    </row>
    <row r="6" spans="1:44" ht="15">
      <c r="B6" s="211" t="s">
        <v>22</v>
      </c>
      <c r="C6" s="211"/>
      <c r="D6" s="211"/>
      <c r="E6" s="244">
        <f t="shared" ref="E6:E12" si="0">D6+C6</f>
        <v>0</v>
      </c>
      <c r="H6" s="244" t="str">
        <f t="shared" ref="H6:H12" si="1">B6</f>
        <v>Grazing (grasslands)</v>
      </c>
      <c r="I6" s="244">
        <f>IF(OR(H6=0,ISERROR(H6)),0,VLOOKUP($H6,'Standard data'!$C$80:$G$103,4,FALSE)*D6)</f>
        <v>0</v>
      </c>
      <c r="J6" s="244">
        <f>IF(OR(H6=0,ISERROR(H6)),0,VLOOKUP($H6,'Standard data'!$C$80:$G$103,3,FALSE)/1000*D6)</f>
        <v>0</v>
      </c>
      <c r="K6" s="139"/>
      <c r="L6" s="244" t="str">
        <f>H6</f>
        <v>Grazing (grasslands)</v>
      </c>
      <c r="M6" s="244">
        <f t="shared" ref="M6:M12" si="2">E6</f>
        <v>0</v>
      </c>
      <c r="N6" s="244">
        <f>IF(OR(H6=0,ISERROR(H6)),0,VLOOKUP($B6,'Standard data'!$C$80:$H$103,6,FALSE))</f>
        <v>0.6</v>
      </c>
      <c r="O6" s="139"/>
    </row>
    <row r="7" spans="1:44" ht="15">
      <c r="B7" s="211" t="s">
        <v>22</v>
      </c>
      <c r="C7" s="211"/>
      <c r="D7" s="211"/>
      <c r="E7" s="244">
        <f t="shared" si="0"/>
        <v>0</v>
      </c>
      <c r="H7" s="244" t="str">
        <f t="shared" si="1"/>
        <v>Grazing (grasslands)</v>
      </c>
      <c r="I7" s="244">
        <f>IF(OR(H7=0,ISERROR(H7)),0,VLOOKUP($H7,'Standard data'!$C$80:$G$103,4,FALSE)*D7)</f>
        <v>0</v>
      </c>
      <c r="J7" s="244">
        <f>IF(OR(H7=0,ISERROR(H7)),0,VLOOKUP($H7,'Standard data'!$C$80:$G$103,3,FALSE)/1000*D7)</f>
        <v>0</v>
      </c>
      <c r="K7" s="139"/>
      <c r="L7" s="244" t="str">
        <f t="shared" ref="L7:L12" si="3">H7</f>
        <v>Grazing (grasslands)</v>
      </c>
      <c r="M7" s="244">
        <f t="shared" si="2"/>
        <v>0</v>
      </c>
      <c r="N7" s="244">
        <f>IF(OR(H7=0,ISERROR(H7)),0,VLOOKUP($B7,'Standard data'!$C$80:$H$103,6,FALSE))</f>
        <v>0.6</v>
      </c>
      <c r="O7" s="139"/>
    </row>
    <row r="8" spans="1:44" ht="15">
      <c r="B8" s="211" t="s">
        <v>22</v>
      </c>
      <c r="C8" s="211"/>
      <c r="D8" s="211">
        <v>1</v>
      </c>
      <c r="E8" s="244">
        <f t="shared" si="0"/>
        <v>1</v>
      </c>
      <c r="H8" s="244" t="str">
        <f t="shared" si="1"/>
        <v>Grazing (grasslands)</v>
      </c>
      <c r="I8" s="244">
        <f>IF(OR(H8=0,ISERROR(H8)),0,VLOOKUP($H8,'Standard data'!$C$80:$G$103,4,FALSE)*D8)</f>
        <v>0</v>
      </c>
      <c r="J8" s="244">
        <f>IF(OR(H8=0,ISERROR(H8)),0,VLOOKUP($H8,'Standard data'!$C$80:$G$103,3,FALSE)/1000*D8)</f>
        <v>8.6999999999999994E-2</v>
      </c>
      <c r="K8" s="139"/>
      <c r="L8" s="244" t="str">
        <f t="shared" si="3"/>
        <v>Grazing (grasslands)</v>
      </c>
      <c r="M8" s="244">
        <f t="shared" si="2"/>
        <v>1</v>
      </c>
      <c r="N8" s="244">
        <f>IF(OR(H8=0,ISERROR(H8)),0,VLOOKUP($B8,'Standard data'!$C$80:$H$103,6,FALSE))</f>
        <v>0.6</v>
      </c>
      <c r="O8" s="139"/>
    </row>
    <row r="9" spans="1:44" ht="15">
      <c r="B9" s="211" t="s">
        <v>22</v>
      </c>
      <c r="C9" s="211"/>
      <c r="D9" s="211">
        <v>1</v>
      </c>
      <c r="E9" s="244">
        <f t="shared" si="0"/>
        <v>1</v>
      </c>
      <c r="H9" s="244" t="str">
        <f t="shared" si="1"/>
        <v>Grazing (grasslands)</v>
      </c>
      <c r="I9" s="244">
        <f>IF(OR(H9=0,ISERROR(H9)),0,VLOOKUP($H9,'Standard data'!$C$80:$G$103,4,FALSE)*D9)</f>
        <v>0</v>
      </c>
      <c r="J9" s="244">
        <f>IF(OR(H9=0,ISERROR(H9)),0,VLOOKUP($H9,'Standard data'!$C$80:$G$103,3,FALSE)/1000*D9)</f>
        <v>8.6999999999999994E-2</v>
      </c>
      <c r="K9" s="139"/>
      <c r="L9" s="244" t="str">
        <f t="shared" si="3"/>
        <v>Grazing (grasslands)</v>
      </c>
      <c r="M9" s="244">
        <f t="shared" si="2"/>
        <v>1</v>
      </c>
      <c r="N9" s="244">
        <f>IF(OR(H9=0,ISERROR(H9)),0,VLOOKUP($B9,'Standard data'!$C$80:$H$103,6,FALSE))</f>
        <v>0.6</v>
      </c>
      <c r="O9" s="139"/>
    </row>
    <row r="10" spans="1:44" ht="15">
      <c r="B10" s="211" t="s">
        <v>22</v>
      </c>
      <c r="C10" s="211"/>
      <c r="D10" s="211">
        <v>1</v>
      </c>
      <c r="E10" s="244">
        <f t="shared" si="0"/>
        <v>1</v>
      </c>
      <c r="H10" s="244" t="str">
        <f t="shared" si="1"/>
        <v>Grazing (grasslands)</v>
      </c>
      <c r="I10" s="244">
        <f>IF(OR(H10=0,ISERROR(H10)),0,VLOOKUP($H10,'Standard data'!$C$80:$G$103,4,FALSE)*D10)</f>
        <v>0</v>
      </c>
      <c r="J10" s="244">
        <f>IF(OR(H10=0,ISERROR(H10)),0,VLOOKUP($H10,'Standard data'!$C$80:$G$103,3,FALSE)/1000*D10)</f>
        <v>8.6999999999999994E-2</v>
      </c>
      <c r="K10" s="139"/>
      <c r="L10" s="244" t="str">
        <f t="shared" si="3"/>
        <v>Grazing (grasslands)</v>
      </c>
      <c r="M10" s="244">
        <f t="shared" si="2"/>
        <v>1</v>
      </c>
      <c r="N10" s="244">
        <f>IF(OR(H10=0,ISERROR(H10)),0,VLOOKUP($B10,'Standard data'!$C$80:$H$103,6,FALSE))</f>
        <v>0.6</v>
      </c>
      <c r="O10" s="139"/>
    </row>
    <row r="11" spans="1:44" ht="15">
      <c r="B11" s="211" t="s">
        <v>22</v>
      </c>
      <c r="C11" s="211"/>
      <c r="D11" s="211"/>
      <c r="E11" s="244">
        <f t="shared" si="0"/>
        <v>0</v>
      </c>
      <c r="H11" s="244" t="str">
        <f t="shared" si="1"/>
        <v>Grazing (grasslands)</v>
      </c>
      <c r="I11" s="244">
        <f>IF(OR(H11=0,ISERROR(H11)),0,VLOOKUP($H11,'Standard data'!$C$80:$G$103,4,FALSE)*D11)</f>
        <v>0</v>
      </c>
      <c r="J11" s="244">
        <f>IF(OR(H11=0,ISERROR(H11)),0,VLOOKUP($H11,'Standard data'!$C$80:$G$103,3,FALSE)/1000*D11)</f>
        <v>0</v>
      </c>
      <c r="K11" s="139"/>
      <c r="L11" s="244" t="str">
        <f t="shared" si="3"/>
        <v>Grazing (grasslands)</v>
      </c>
      <c r="M11" s="244">
        <f t="shared" si="2"/>
        <v>0</v>
      </c>
      <c r="N11" s="244">
        <f>IF(OR(H11=0,ISERROR(H11)),0,VLOOKUP($B11,'Standard data'!$C$80:$H$103,6,FALSE))</f>
        <v>0.6</v>
      </c>
      <c r="O11" s="139"/>
    </row>
    <row r="12" spans="1:44" ht="15">
      <c r="B12" s="211" t="s">
        <v>22</v>
      </c>
      <c r="C12" s="211"/>
      <c r="D12" s="211"/>
      <c r="E12" s="244">
        <f t="shared" si="0"/>
        <v>0</v>
      </c>
      <c r="H12" s="244" t="str">
        <f t="shared" si="1"/>
        <v>Grazing (grasslands)</v>
      </c>
      <c r="I12" s="244">
        <f>IF(OR(H12=0,ISERROR(H12)),0,VLOOKUP($H12,'Standard data'!$C$80:$G$103,4,FALSE)*D12)</f>
        <v>0</v>
      </c>
      <c r="J12" s="244">
        <f>IF(OR(H12=0,ISERROR(H12)),0,VLOOKUP($H12,'Standard data'!$C$80:$G$103,3,FALSE)/1000*D12)</f>
        <v>0</v>
      </c>
      <c r="K12" s="139"/>
      <c r="L12" s="244" t="str">
        <f t="shared" si="3"/>
        <v>Grazing (grasslands)</v>
      </c>
      <c r="M12" s="244">
        <f t="shared" si="2"/>
        <v>0</v>
      </c>
      <c r="N12" s="244">
        <f>IF(OR(H12=0,ISERROR(H12)),0,VLOOKUP($B12,'Standard data'!$C$80:$H$103,6,FALSE))</f>
        <v>0.6</v>
      </c>
      <c r="O12" s="139"/>
    </row>
    <row r="13" spans="1:44" ht="15">
      <c r="B13" s="244" t="s">
        <v>445</v>
      </c>
      <c r="C13" s="244">
        <f>SUM(C6:C12)</f>
        <v>0</v>
      </c>
      <c r="D13" s="244">
        <f>SUM(D6:D12)</f>
        <v>3</v>
      </c>
      <c r="E13" s="244">
        <f>SUM(E6:E12)</f>
        <v>3</v>
      </c>
      <c r="H13" s="244" t="s">
        <v>445</v>
      </c>
      <c r="I13" s="244">
        <f>SUM(I6:I12)</f>
        <v>0</v>
      </c>
      <c r="J13" s="244">
        <f>SUM(J6:J12)</f>
        <v>0.26100000000000001</v>
      </c>
      <c r="K13" s="139"/>
      <c r="L13" s="244" t="str">
        <f>I16</f>
        <v>FEED - Simple</v>
      </c>
      <c r="M13" s="244">
        <f>C23+D23</f>
        <v>3</v>
      </c>
      <c r="N13" s="244">
        <v>0.85</v>
      </c>
      <c r="O13" s="139"/>
    </row>
    <row r="14" spans="1:44" ht="15">
      <c r="H14" s="139"/>
      <c r="I14" s="139"/>
      <c r="J14" s="139"/>
      <c r="K14" s="139"/>
      <c r="L14" s="244" t="str">
        <f>I24</f>
        <v>FEED - Complex</v>
      </c>
      <c r="M14" s="244">
        <f>D31</f>
        <v>3</v>
      </c>
      <c r="N14" s="244">
        <f>N13</f>
        <v>0.85</v>
      </c>
      <c r="O14" s="139"/>
    </row>
    <row r="15" spans="1:44" ht="15">
      <c r="C15" s="1" t="s">
        <v>639</v>
      </c>
      <c r="D15" s="1" t="s">
        <v>640</v>
      </c>
      <c r="H15" s="139"/>
      <c r="I15" s="139"/>
      <c r="J15" s="139"/>
      <c r="K15" s="139"/>
      <c r="L15" s="244" t="str">
        <f>I32</f>
        <v>FEED - Self mixed</v>
      </c>
      <c r="M15" s="244">
        <f>D37</f>
        <v>6</v>
      </c>
      <c r="N15" s="244">
        <f>N13</f>
        <v>0.85</v>
      </c>
      <c r="O15" s="139"/>
      <c r="AN15" s="9"/>
      <c r="AO15" s="9"/>
      <c r="AP15" s="9"/>
      <c r="AQ15" s="9"/>
      <c r="AR15" s="9"/>
    </row>
    <row r="16" spans="1:44" ht="15">
      <c r="A16" s="1" t="s">
        <v>631</v>
      </c>
      <c r="B16" s="28" t="s">
        <v>453</v>
      </c>
      <c r="C16" s="132" t="s">
        <v>636</v>
      </c>
      <c r="D16" s="132" t="s">
        <v>635</v>
      </c>
      <c r="H16" s="244"/>
      <c r="I16" s="244" t="str">
        <f>B16</f>
        <v>FEED - Simple</v>
      </c>
      <c r="J16" s="244"/>
      <c r="K16" s="139"/>
      <c r="L16" s="244"/>
      <c r="M16" s="244" t="s">
        <v>29</v>
      </c>
      <c r="N16" s="325">
        <f>IF(SUM(M6:M15)=0,0,SUMPRODUCT(M6:M15,N6:N15)/SUM(M6:M15))</f>
        <v>0.8</v>
      </c>
      <c r="O16" s="142"/>
      <c r="T16" s="18"/>
      <c r="X16" s="9"/>
      <c r="Y16" s="9"/>
      <c r="AG16" s="18"/>
      <c r="AH16" s="26"/>
      <c r="AI16" s="24"/>
      <c r="AJ16" s="24"/>
      <c r="AK16" s="18"/>
      <c r="AN16" s="9"/>
      <c r="AO16" s="9"/>
      <c r="AP16" s="9"/>
      <c r="AQ16" s="9"/>
      <c r="AR16" s="9"/>
    </row>
    <row r="17" spans="1:44" s="18" customFormat="1" ht="15">
      <c r="B17" s="28"/>
      <c r="C17" s="27"/>
      <c r="D17" s="27"/>
      <c r="E17" s="1"/>
      <c r="F17" s="1"/>
      <c r="G17" s="1"/>
      <c r="H17" s="244"/>
      <c r="I17" s="244" t="s">
        <v>17</v>
      </c>
      <c r="J17" s="244" t="s">
        <v>18</v>
      </c>
      <c r="K17" s="141"/>
      <c r="L17" s="244"/>
      <c r="M17" s="244" t="s">
        <v>30</v>
      </c>
      <c r="N17" s="244">
        <f>9.75-(0.05*N16*100)</f>
        <v>5.7499999999999991</v>
      </c>
      <c r="O17" s="142"/>
      <c r="U17" s="1"/>
      <c r="X17" s="9"/>
      <c r="Y17" s="9"/>
      <c r="AH17" s="26"/>
      <c r="AI17" s="24"/>
      <c r="AJ17" s="24"/>
      <c r="AN17" s="9"/>
      <c r="AO17" s="9"/>
      <c r="AP17" s="9"/>
      <c r="AQ17" s="9"/>
      <c r="AR17" s="9"/>
    </row>
    <row r="18" spans="1:44" ht="15">
      <c r="B18" s="211" t="s">
        <v>112</v>
      </c>
      <c r="C18" s="211"/>
      <c r="D18" s="211"/>
      <c r="H18" s="244" t="str">
        <f>B18</f>
        <v>Wheat</v>
      </c>
      <c r="I18" s="244">
        <f>IF(OR(H18=0,ISERROR(H18)),0,VLOOKUP($H18,'Standard data'!$C$110:$G$133,4,FALSE)*D18)</f>
        <v>0</v>
      </c>
      <c r="J18" s="244">
        <f>IF(OR(H18=0,ISERROR(H18)),0,VLOOKUP($H18,'Standard data'!$C$110:$G$133,3,FALSE)/1000*$D18)</f>
        <v>0</v>
      </c>
      <c r="K18" s="139"/>
      <c r="L18" s="143"/>
      <c r="M18" s="143"/>
      <c r="N18" s="144"/>
      <c r="O18" s="145"/>
      <c r="T18" s="18"/>
      <c r="X18" s="9"/>
      <c r="Y18" s="9"/>
      <c r="AG18" s="18"/>
      <c r="AH18" s="26"/>
      <c r="AI18" s="24"/>
      <c r="AJ18" s="24"/>
      <c r="AK18" s="18"/>
      <c r="AN18" s="9"/>
      <c r="AO18" s="9"/>
      <c r="AP18" s="9"/>
      <c r="AQ18" s="9"/>
      <c r="AR18" s="9"/>
    </row>
    <row r="19" spans="1:44" ht="15">
      <c r="B19" s="211" t="s">
        <v>112</v>
      </c>
      <c r="C19" s="211"/>
      <c r="D19" s="211">
        <v>1</v>
      </c>
      <c r="H19" s="244" t="str">
        <f>B19</f>
        <v>Wheat</v>
      </c>
      <c r="I19" s="244">
        <f>IF(OR(H19=0,ISERROR(H19)),0,VLOOKUP($H19,'Standard data'!$C$110:$G$133,4,FALSE)*D19)</f>
        <v>2.5630000000000002</v>
      </c>
      <c r="J19" s="244">
        <f>IF(OR(H19=0,ISERROR(H19)),0,VLOOKUP($H19,'Standard data'!$C$110:$G$133,3,FALSE)/1000*$D19)</f>
        <v>0.35299999999999998</v>
      </c>
      <c r="K19" s="139"/>
      <c r="L19" s="143"/>
      <c r="M19" s="143"/>
      <c r="N19" s="144"/>
      <c r="O19" s="145"/>
      <c r="T19" s="18"/>
      <c r="X19" s="9"/>
      <c r="Y19" s="9"/>
      <c r="AG19" s="18"/>
      <c r="AH19" s="26"/>
      <c r="AI19" s="24"/>
      <c r="AJ19" s="24"/>
      <c r="AK19" s="18"/>
      <c r="AN19" s="9"/>
      <c r="AO19" s="9"/>
      <c r="AP19" s="9"/>
      <c r="AQ19" s="9"/>
      <c r="AR19" s="9"/>
    </row>
    <row r="20" spans="1:44" ht="15">
      <c r="B20" s="211" t="s">
        <v>112</v>
      </c>
      <c r="C20" s="211"/>
      <c r="D20" s="211">
        <v>1</v>
      </c>
      <c r="H20" s="244" t="str">
        <f>B20</f>
        <v>Wheat</v>
      </c>
      <c r="I20" s="244">
        <f>IF(OR(H20=0,ISERROR(H20)),0,VLOOKUP($H20,'Standard data'!$C$110:$G$133,4,FALSE)*D20)</f>
        <v>2.5630000000000002</v>
      </c>
      <c r="J20" s="244">
        <f>IF(OR(H20=0,ISERROR(H20)),0,VLOOKUP($H20,'Standard data'!$C$110:$G$133,3,FALSE)/1000*$D20)</f>
        <v>0.35299999999999998</v>
      </c>
      <c r="K20" s="139"/>
      <c r="L20" s="143"/>
      <c r="M20" s="143"/>
      <c r="N20" s="144"/>
      <c r="O20" s="145"/>
      <c r="T20" s="18"/>
      <c r="X20" s="9"/>
      <c r="Y20" s="9"/>
      <c r="AG20" s="18"/>
      <c r="AH20" s="26"/>
      <c r="AI20" s="24"/>
      <c r="AJ20" s="24"/>
      <c r="AK20" s="18"/>
      <c r="AN20" s="9"/>
      <c r="AO20" s="9"/>
      <c r="AP20" s="9"/>
      <c r="AQ20" s="9"/>
      <c r="AR20" s="9"/>
    </row>
    <row r="21" spans="1:44" ht="15">
      <c r="B21" s="211" t="s">
        <v>112</v>
      </c>
      <c r="C21" s="211"/>
      <c r="D21" s="211">
        <v>1</v>
      </c>
      <c r="H21" s="244" t="str">
        <f>B21</f>
        <v>Wheat</v>
      </c>
      <c r="I21" s="244">
        <f>IF(OR(H21=0,ISERROR(H21)),0,VLOOKUP($H21,'Standard data'!$C$110:$G$133,4,FALSE)*D21)</f>
        <v>2.5630000000000002</v>
      </c>
      <c r="J21" s="244">
        <f>IF(OR(H21=0,ISERROR(H21)),0,VLOOKUP($H21,'Standard data'!$C$110:$G$133,3,FALSE)/1000*$D21)</f>
        <v>0.35299999999999998</v>
      </c>
      <c r="K21" s="139"/>
      <c r="L21" s="143"/>
      <c r="M21" s="143"/>
      <c r="N21" s="144"/>
      <c r="O21" s="145"/>
      <c r="T21" s="18"/>
      <c r="X21" s="9"/>
      <c r="Y21" s="9"/>
      <c r="AG21" s="18"/>
      <c r="AH21" s="26"/>
      <c r="AI21" s="24"/>
      <c r="AJ21" s="24"/>
      <c r="AK21" s="18"/>
      <c r="AN21" s="9"/>
      <c r="AO21" s="9"/>
      <c r="AP21" s="9"/>
      <c r="AQ21" s="9"/>
      <c r="AR21" s="9"/>
    </row>
    <row r="22" spans="1:44" ht="15">
      <c r="B22" s="211" t="s">
        <v>112</v>
      </c>
      <c r="C22" s="211"/>
      <c r="D22" s="211"/>
      <c r="H22" s="244" t="str">
        <f>B22</f>
        <v>Wheat</v>
      </c>
      <c r="I22" s="244">
        <f>IF(OR(H22=0,ISERROR(H22)),0,VLOOKUP($H22,'Standard data'!$C$110:$G$133,4,FALSE)*D22)</f>
        <v>0</v>
      </c>
      <c r="J22" s="244">
        <f>IF(OR(H22=0,ISERROR(H22)),0,VLOOKUP($H22,'Standard data'!$C$110:$G$133,3,FALSE)/1000*$D22)</f>
        <v>0</v>
      </c>
      <c r="K22" s="139"/>
      <c r="L22" s="143"/>
      <c r="M22" s="143"/>
      <c r="N22" s="144"/>
      <c r="O22" s="145"/>
      <c r="T22" s="18"/>
      <c r="X22" s="9"/>
      <c r="Y22" s="9"/>
      <c r="AG22" s="18"/>
      <c r="AH22" s="26"/>
      <c r="AI22" s="24"/>
      <c r="AJ22" s="24"/>
      <c r="AK22" s="18"/>
      <c r="AN22" s="9"/>
      <c r="AO22" s="9"/>
      <c r="AP22" s="9"/>
      <c r="AQ22" s="9"/>
      <c r="AR22" s="9"/>
    </row>
    <row r="23" spans="1:44" ht="15">
      <c r="B23" s="244" t="s">
        <v>445</v>
      </c>
      <c r="C23" s="244"/>
      <c r="D23" s="244">
        <f>SUM(D18:D22)</f>
        <v>3</v>
      </c>
      <c r="H23" s="244" t="s">
        <v>445</v>
      </c>
      <c r="I23" s="244">
        <f>SUM(I18:I22)</f>
        <v>7.6890000000000001</v>
      </c>
      <c r="J23" s="244">
        <f>SUM(J18:J22)</f>
        <v>1.0589999999999999</v>
      </c>
      <c r="K23" s="146"/>
      <c r="L23" s="143"/>
      <c r="M23" s="143"/>
      <c r="N23" s="144"/>
      <c r="O23" s="145"/>
      <c r="T23" s="18"/>
      <c r="X23" s="9"/>
      <c r="Y23" s="9"/>
      <c r="AG23" s="18"/>
      <c r="AH23" s="26"/>
      <c r="AI23" s="24"/>
      <c r="AJ23" s="24"/>
      <c r="AK23" s="18"/>
      <c r="AN23" s="9"/>
      <c r="AO23" s="33"/>
      <c r="AP23" s="34"/>
      <c r="AQ23" s="34"/>
      <c r="AR23" s="9"/>
    </row>
    <row r="24" spans="1:44" ht="15">
      <c r="A24" s="1" t="s">
        <v>632</v>
      </c>
      <c r="B24" s="28" t="s">
        <v>454</v>
      </c>
      <c r="C24" s="23"/>
      <c r="D24" s="132"/>
      <c r="H24" s="244"/>
      <c r="I24" s="244" t="str">
        <f>B24</f>
        <v>FEED - Complex</v>
      </c>
      <c r="J24" s="244"/>
      <c r="K24" s="139"/>
      <c r="L24" s="147"/>
      <c r="M24" s="147"/>
      <c r="N24" s="148"/>
      <c r="O24" s="149"/>
      <c r="X24" s="9"/>
      <c r="Y24" s="9"/>
      <c r="AG24" s="18"/>
      <c r="AH24" s="26"/>
      <c r="AI24" s="24"/>
      <c r="AJ24" s="24"/>
      <c r="AK24" s="18"/>
      <c r="AN24" s="9"/>
      <c r="AO24" s="33"/>
      <c r="AP24" s="34"/>
      <c r="AQ24" s="34"/>
      <c r="AR24" s="9"/>
    </row>
    <row r="25" spans="1:44" s="18" customFormat="1" ht="15">
      <c r="B25" s="28"/>
      <c r="C25" s="27"/>
      <c r="D25" s="27"/>
      <c r="E25" s="1"/>
      <c r="F25" s="1"/>
      <c r="H25" s="244"/>
      <c r="I25" s="244" t="s">
        <v>17</v>
      </c>
      <c r="J25" s="244" t="s">
        <v>18</v>
      </c>
      <c r="K25" s="141"/>
      <c r="L25" s="147"/>
      <c r="M25" s="147"/>
      <c r="N25" s="150"/>
      <c r="O25" s="151"/>
      <c r="X25" s="9"/>
      <c r="Y25" s="9"/>
      <c r="AH25" s="26"/>
      <c r="AI25" s="24"/>
      <c r="AJ25" s="24"/>
      <c r="AN25" s="9"/>
      <c r="AO25" s="9"/>
      <c r="AP25" s="9"/>
      <c r="AQ25" s="9"/>
      <c r="AR25" s="9"/>
    </row>
    <row r="26" spans="1:44" ht="30">
      <c r="B26" s="211" t="s">
        <v>38</v>
      </c>
      <c r="C26" s="38"/>
      <c r="D26" s="211"/>
      <c r="H26" s="244" t="str">
        <f>B26</f>
        <v>Suckler cow, 18% crude protein, pellet form</v>
      </c>
      <c r="I26" s="244">
        <f>IF(OR(H26=0,ISERROR(H26)),0,VLOOKUP($H26,'Standard data'!$C$140:$G$161,4,FALSE)*D26)</f>
        <v>0</v>
      </c>
      <c r="J26" s="244">
        <f>IF(OR(H26=0,ISERROR(H26)),0,VLOOKUP($H26,'Standard data'!$C$140:$G$161,3,FALSE)/1000*$D26)</f>
        <v>0</v>
      </c>
      <c r="K26" s="139"/>
      <c r="L26" s="152"/>
      <c r="M26" s="147"/>
      <c r="N26" s="148"/>
      <c r="O26" s="149"/>
      <c r="X26" s="9"/>
      <c r="Y26" s="9"/>
      <c r="AG26" s="18"/>
      <c r="AH26" s="26"/>
      <c r="AI26" s="24"/>
      <c r="AJ26" s="24"/>
      <c r="AK26" s="18"/>
      <c r="AN26" s="9"/>
      <c r="AO26" s="33"/>
      <c r="AP26" s="34"/>
      <c r="AQ26" s="34"/>
      <c r="AR26" s="9"/>
    </row>
    <row r="27" spans="1:44" ht="30">
      <c r="B27" s="211" t="s">
        <v>38</v>
      </c>
      <c r="C27" s="38"/>
      <c r="D27" s="211">
        <v>1</v>
      </c>
      <c r="H27" s="244" t="str">
        <f>B27</f>
        <v>Suckler cow, 18% crude protein, pellet form</v>
      </c>
      <c r="I27" s="244">
        <f>IF(OR(H27=0,ISERROR(H27)),0,VLOOKUP($H27,'Standard data'!$C$140:$G$161,4,FALSE)*D27)</f>
        <v>3.6179999999999999</v>
      </c>
      <c r="J27" s="244">
        <f>IF(OR(H27=0,ISERROR(H27)),0,VLOOKUP($H27,'Standard data'!$C$140:$G$161,3,FALSE)/1000*$D27)</f>
        <v>0.55600000000000005</v>
      </c>
      <c r="K27" s="139"/>
      <c r="L27" s="152"/>
      <c r="M27" s="147"/>
      <c r="N27" s="148"/>
      <c r="O27" s="149"/>
      <c r="X27" s="9"/>
      <c r="Y27" s="9"/>
      <c r="AG27" s="18"/>
      <c r="AH27" s="39"/>
      <c r="AI27" s="40"/>
      <c r="AJ27" s="40"/>
      <c r="AK27" s="18"/>
      <c r="AN27" s="9"/>
      <c r="AO27" s="33"/>
      <c r="AP27" s="34"/>
      <c r="AQ27" s="34"/>
      <c r="AR27" s="9"/>
    </row>
    <row r="28" spans="1:44" ht="30">
      <c r="B28" s="211" t="s">
        <v>38</v>
      </c>
      <c r="C28" s="38"/>
      <c r="D28" s="211">
        <v>1</v>
      </c>
      <c r="H28" s="244" t="str">
        <f>B28</f>
        <v>Suckler cow, 18% crude protein, pellet form</v>
      </c>
      <c r="I28" s="244">
        <f>IF(OR(H28=0,ISERROR(H28)),0,VLOOKUP($H28,'Standard data'!$C$140:$G$161,4,FALSE)*D28)</f>
        <v>3.6179999999999999</v>
      </c>
      <c r="J28" s="244">
        <f>IF(OR(H28=0,ISERROR(H28)),0,VLOOKUP($H28,'Standard data'!$C$140:$G$161,3,FALSE)/1000*$D28)</f>
        <v>0.55600000000000005</v>
      </c>
      <c r="K28" s="139"/>
      <c r="L28" s="152"/>
      <c r="M28" s="147"/>
      <c r="N28" s="148"/>
      <c r="O28" s="149"/>
      <c r="X28" s="9"/>
      <c r="Y28" s="9"/>
      <c r="AG28" s="18"/>
      <c r="AH28" s="26"/>
      <c r="AI28" s="24"/>
      <c r="AJ28" s="24"/>
      <c r="AK28" s="18"/>
      <c r="AN28" s="9"/>
      <c r="AO28" s="33"/>
      <c r="AP28" s="34"/>
      <c r="AQ28" s="34"/>
      <c r="AR28" s="9"/>
    </row>
    <row r="29" spans="1:44" ht="30">
      <c r="B29" s="211" t="s">
        <v>38</v>
      </c>
      <c r="C29" s="38"/>
      <c r="D29" s="211">
        <v>1</v>
      </c>
      <c r="H29" s="244" t="str">
        <f>B29</f>
        <v>Suckler cow, 18% crude protein, pellet form</v>
      </c>
      <c r="I29" s="244">
        <f>IF(OR(H29=0,ISERROR(H29)),0,VLOOKUP($H29,'Standard data'!$C$140:$G$161,4,FALSE)*D29)</f>
        <v>3.6179999999999999</v>
      </c>
      <c r="J29" s="244">
        <f>IF(OR(H29=0,ISERROR(H29)),0,VLOOKUP($H29,'Standard data'!$C$140:$G$161,3,FALSE)/1000*$D29)</f>
        <v>0.55600000000000005</v>
      </c>
      <c r="K29" s="139"/>
      <c r="L29" s="152"/>
      <c r="M29" s="147"/>
      <c r="N29" s="148"/>
      <c r="O29" s="149"/>
      <c r="X29" s="9"/>
      <c r="Y29" s="9"/>
      <c r="AG29" s="18"/>
      <c r="AH29" s="26"/>
      <c r="AI29" s="24"/>
      <c r="AJ29" s="24"/>
      <c r="AK29" s="18"/>
      <c r="AN29" s="9"/>
      <c r="AO29" s="33"/>
      <c r="AP29" s="34"/>
      <c r="AQ29" s="34"/>
      <c r="AR29" s="9"/>
    </row>
    <row r="30" spans="1:44" ht="30">
      <c r="B30" s="211" t="s">
        <v>38</v>
      </c>
      <c r="C30" s="38"/>
      <c r="D30" s="211"/>
      <c r="H30" s="244" t="str">
        <f>B30</f>
        <v>Suckler cow, 18% crude protein, pellet form</v>
      </c>
      <c r="I30" s="244">
        <f>IF(OR(H30=0,ISERROR(H30)),0,VLOOKUP($H30,'Standard data'!$C$140:$G$161,4,FALSE)*D30)</f>
        <v>0</v>
      </c>
      <c r="J30" s="244">
        <f>IF(OR(H30=0,ISERROR(H30)),0,VLOOKUP($H30,'Standard data'!$C$140:$G$161,3,FALSE)/1000*$D30)</f>
        <v>0</v>
      </c>
      <c r="K30" s="139"/>
      <c r="L30" s="152"/>
      <c r="M30" s="147"/>
      <c r="N30" s="148"/>
      <c r="O30" s="149"/>
      <c r="X30" s="9"/>
      <c r="Y30" s="9"/>
      <c r="AG30" s="18"/>
      <c r="AH30" s="26"/>
      <c r="AI30" s="24"/>
      <c r="AJ30" s="24"/>
      <c r="AK30" s="18"/>
      <c r="AN30" s="9"/>
      <c r="AO30" s="33"/>
      <c r="AP30" s="34"/>
      <c r="AQ30" s="34"/>
      <c r="AR30" s="9"/>
    </row>
    <row r="31" spans="1:44" s="9" customFormat="1" ht="15">
      <c r="B31" s="244" t="s">
        <v>445</v>
      </c>
      <c r="C31" s="244"/>
      <c r="D31" s="244">
        <f>SUM(D26:D30)</f>
        <v>3</v>
      </c>
      <c r="E31" s="1"/>
      <c r="F31" s="1"/>
      <c r="H31" s="244" t="s">
        <v>445</v>
      </c>
      <c r="I31" s="244">
        <f>SUM(I25:I30)</f>
        <v>10.853999999999999</v>
      </c>
      <c r="J31" s="244">
        <f>SUM(J25:J30)</f>
        <v>1.6680000000000001</v>
      </c>
      <c r="K31" s="146"/>
      <c r="L31" s="152"/>
      <c r="M31" s="147"/>
      <c r="N31" s="148"/>
      <c r="O31" s="149"/>
      <c r="AH31" s="26"/>
      <c r="AI31" s="24"/>
      <c r="AJ31" s="24"/>
      <c r="AO31" s="33"/>
      <c r="AP31" s="34"/>
      <c r="AQ31" s="34"/>
    </row>
    <row r="32" spans="1:44" s="9" customFormat="1" ht="15">
      <c r="A32" s="9" t="s">
        <v>633</v>
      </c>
      <c r="B32" s="28" t="s">
        <v>455</v>
      </c>
      <c r="C32" s="23"/>
      <c r="D32" s="132"/>
      <c r="E32" s="1"/>
      <c r="F32" s="1"/>
      <c r="G32" s="1"/>
      <c r="H32" s="244"/>
      <c r="I32" s="244" t="str">
        <f>B32</f>
        <v>FEED - Self mixed</v>
      </c>
      <c r="J32" s="244"/>
      <c r="K32" s="147"/>
      <c r="L32" s="147"/>
      <c r="M32" s="147"/>
      <c r="N32" s="147"/>
      <c r="O32" s="147"/>
      <c r="AH32" s="26"/>
      <c r="AI32" s="24"/>
      <c r="AJ32" s="24"/>
      <c r="AO32" s="33"/>
      <c r="AP32" s="34"/>
      <c r="AQ32" s="34"/>
    </row>
    <row r="33" spans="1:45" s="9" customFormat="1" ht="15">
      <c r="B33" s="28"/>
      <c r="C33" s="27"/>
      <c r="D33" s="27"/>
      <c r="E33" s="1"/>
      <c r="F33" s="1"/>
      <c r="G33" s="18"/>
      <c r="H33" s="244"/>
      <c r="I33" s="244"/>
      <c r="J33" s="244" t="s">
        <v>18</v>
      </c>
      <c r="K33" s="141"/>
      <c r="L33" s="147"/>
      <c r="M33" s="147"/>
      <c r="N33" s="147"/>
      <c r="O33" s="147"/>
      <c r="AH33" s="26"/>
      <c r="AI33" s="24"/>
      <c r="AJ33" s="24"/>
      <c r="AO33" s="33"/>
      <c r="AP33" s="34"/>
      <c r="AQ33" s="34"/>
    </row>
    <row r="34" spans="1:45" s="9" customFormat="1" ht="15">
      <c r="B34" s="211" t="s">
        <v>442</v>
      </c>
      <c r="C34" s="38"/>
      <c r="D34" s="211">
        <v>2</v>
      </c>
      <c r="E34" s="1"/>
      <c r="F34" s="1"/>
      <c r="G34" s="1"/>
      <c r="H34" s="244" t="str">
        <f>B34</f>
        <v xml:space="preserve">Cereals </v>
      </c>
      <c r="I34" s="244"/>
      <c r="J34" s="244">
        <f>'Standard data'!$D$319*$D34</f>
        <v>2.0646648000000001</v>
      </c>
      <c r="K34" s="147"/>
      <c r="L34" s="147"/>
      <c r="M34" s="147"/>
      <c r="N34" s="147"/>
      <c r="O34" s="147"/>
      <c r="AH34" s="26"/>
      <c r="AI34" s="24"/>
      <c r="AJ34" s="24"/>
      <c r="AO34" s="33"/>
      <c r="AP34" s="34"/>
      <c r="AQ34" s="34"/>
    </row>
    <row r="35" spans="1:45" s="9" customFormat="1" ht="30">
      <c r="B35" s="211" t="s">
        <v>443</v>
      </c>
      <c r="C35" s="38"/>
      <c r="D35" s="211">
        <v>2</v>
      </c>
      <c r="E35" s="1"/>
      <c r="F35" s="1"/>
      <c r="H35" s="244" t="str">
        <f>B35</f>
        <v>Proteins (pulses, soy, distilled grains,…)</v>
      </c>
      <c r="I35" s="244"/>
      <c r="J35" s="244">
        <f>'Standard data'!$G$319*$D35</f>
        <v>5.3632387999999995</v>
      </c>
      <c r="K35" s="147"/>
      <c r="L35" s="147"/>
      <c r="M35" s="147"/>
      <c r="N35" s="147"/>
      <c r="O35" s="147"/>
      <c r="AH35" s="26"/>
      <c r="AI35" s="24"/>
      <c r="AJ35" s="24"/>
      <c r="AO35" s="33"/>
      <c r="AP35" s="34"/>
      <c r="AQ35" s="34"/>
    </row>
    <row r="36" spans="1:45" s="9" customFormat="1" ht="30">
      <c r="B36" s="211" t="s">
        <v>444</v>
      </c>
      <c r="C36" s="38"/>
      <c r="D36" s="211">
        <v>2</v>
      </c>
      <c r="E36" s="1"/>
      <c r="F36" s="1"/>
      <c r="H36" s="244" t="str">
        <f>B36</f>
        <v>Energy (molasses, starch, co-products,…)</v>
      </c>
      <c r="I36" s="244"/>
      <c r="J36" s="244">
        <f>'Standard data'!$J$319*$D36</f>
        <v>0.47795159999999998</v>
      </c>
      <c r="K36" s="147"/>
      <c r="L36" s="147"/>
      <c r="M36" s="147"/>
      <c r="N36" s="147"/>
      <c r="O36" s="147"/>
      <c r="AH36" s="26"/>
      <c r="AI36" s="24"/>
      <c r="AJ36" s="24"/>
      <c r="AO36" s="33"/>
      <c r="AP36" s="34"/>
      <c r="AQ36" s="34"/>
    </row>
    <row r="37" spans="1:45" s="9" customFormat="1" ht="15">
      <c r="B37" s="244" t="s">
        <v>445</v>
      </c>
      <c r="C37" s="244"/>
      <c r="D37" s="244">
        <f>SUM(D34:D36)</f>
        <v>6</v>
      </c>
      <c r="E37" s="1"/>
      <c r="F37" s="1"/>
      <c r="H37" s="244" t="s">
        <v>445</v>
      </c>
      <c r="I37" s="244"/>
      <c r="J37" s="244">
        <f>SUM(J34:J36)</f>
        <v>7.9058551999999995</v>
      </c>
      <c r="K37" s="146"/>
      <c r="L37" s="147"/>
      <c r="M37" s="147"/>
      <c r="N37" s="147"/>
      <c r="O37" s="147"/>
      <c r="AH37" s="26"/>
      <c r="AI37" s="24"/>
      <c r="AJ37" s="24"/>
      <c r="AO37" s="33"/>
      <c r="AP37" s="34"/>
      <c r="AQ37" s="34"/>
    </row>
    <row r="38" spans="1:45" s="9" customFormat="1" ht="15">
      <c r="E38" s="1"/>
      <c r="F38" s="1"/>
      <c r="G38" s="43"/>
      <c r="H38" s="244"/>
      <c r="I38" s="244"/>
      <c r="J38" s="244"/>
      <c r="K38" s="147"/>
      <c r="L38" s="147"/>
      <c r="M38" s="147"/>
      <c r="N38" s="147"/>
      <c r="O38" s="147"/>
      <c r="AH38" s="26"/>
      <c r="AI38" s="24"/>
      <c r="AJ38" s="24"/>
      <c r="AO38" s="33"/>
      <c r="AP38" s="34"/>
      <c r="AQ38" s="34"/>
    </row>
    <row r="39" spans="1:45" ht="15">
      <c r="A39" s="1" t="s">
        <v>634</v>
      </c>
      <c r="B39" s="211" t="s">
        <v>45</v>
      </c>
      <c r="C39" s="42"/>
      <c r="D39" s="211">
        <v>2</v>
      </c>
      <c r="G39" s="43"/>
      <c r="H39" s="244" t="str">
        <f>B39</f>
        <v>Milk powder</v>
      </c>
      <c r="I39" s="244">
        <f>VLOOKUP($H39,'Standard data'!$C$110:$G$133,4,FALSE)/1000*D39</f>
        <v>8.6599999999999996E-2</v>
      </c>
      <c r="J39" s="244">
        <f>VLOOKUP($H39,'Standard data'!$C$110:$G$133,3,FALSE)/1000*$D39/1000</f>
        <v>2.2000000000000001E-4</v>
      </c>
      <c r="K39" s="139"/>
      <c r="L39" s="139"/>
      <c r="M39" s="143"/>
      <c r="N39" s="143"/>
      <c r="O39" s="144"/>
      <c r="T39" s="31"/>
      <c r="U39" s="18"/>
      <c r="Y39" s="9"/>
      <c r="Z39" s="9"/>
      <c r="AH39" s="18"/>
      <c r="AI39" s="26"/>
      <c r="AJ39" s="24"/>
      <c r="AK39" s="24"/>
      <c r="AL39" s="18"/>
      <c r="AO39" s="9"/>
      <c r="AP39" s="33"/>
      <c r="AQ39" s="34"/>
      <c r="AR39" s="34"/>
      <c r="AS39" s="9"/>
    </row>
    <row r="40" spans="1:45" s="9" customFormat="1" ht="15">
      <c r="B40" s="244"/>
      <c r="C40" s="244"/>
      <c r="D40" s="244"/>
      <c r="E40" s="1"/>
      <c r="H40" s="147"/>
      <c r="I40" s="153"/>
      <c r="J40" s="154"/>
      <c r="K40" s="154"/>
      <c r="L40" s="147"/>
      <c r="M40" s="147"/>
      <c r="N40" s="147"/>
      <c r="O40" s="147"/>
      <c r="AI40" s="26"/>
      <c r="AJ40" s="24"/>
      <c r="AK40" s="24"/>
      <c r="AP40" s="33"/>
      <c r="AQ40" s="34"/>
      <c r="AR40" s="34"/>
    </row>
    <row r="41" spans="1:45" s="9" customFormat="1">
      <c r="D41" s="44"/>
      <c r="E41" s="1"/>
      <c r="H41" s="147"/>
      <c r="I41" s="147"/>
      <c r="J41" s="147"/>
      <c r="K41" s="147"/>
      <c r="L41" s="147"/>
      <c r="M41" s="153"/>
      <c r="N41" s="154"/>
      <c r="O41" s="154"/>
      <c r="AI41" s="26"/>
      <c r="AJ41" s="24"/>
      <c r="AK41" s="24"/>
      <c r="AP41" s="33"/>
      <c r="AQ41" s="34"/>
      <c r="AR41" s="34"/>
    </row>
    <row r="42" spans="1:45" s="9" customFormat="1">
      <c r="D42" s="44"/>
      <c r="E42" s="45"/>
      <c r="H42" s="147"/>
      <c r="I42" s="147"/>
      <c r="J42" s="147"/>
      <c r="K42" s="147"/>
      <c r="L42" s="147"/>
      <c r="M42" s="153"/>
      <c r="N42" s="154"/>
      <c r="O42" s="154"/>
      <c r="AI42" s="26"/>
      <c r="AJ42" s="24"/>
      <c r="AK42" s="24"/>
      <c r="AP42" s="33"/>
      <c r="AQ42" s="34"/>
      <c r="AR42" s="34"/>
    </row>
    <row r="43" spans="1:45" s="9" customFormat="1" ht="15.75">
      <c r="B43" s="245" t="s">
        <v>13</v>
      </c>
      <c r="D43" s="44"/>
      <c r="E43" s="45"/>
      <c r="H43" s="147"/>
      <c r="I43" s="147"/>
      <c r="J43" s="147"/>
      <c r="K43" s="147"/>
      <c r="L43" s="147"/>
      <c r="M43" s="153"/>
      <c r="N43" s="154"/>
      <c r="O43" s="154"/>
      <c r="AI43" s="26"/>
      <c r="AJ43" s="24"/>
      <c r="AK43" s="24"/>
      <c r="AP43" s="33"/>
      <c r="AQ43" s="34"/>
      <c r="AR43" s="34"/>
    </row>
    <row r="44" spans="1:45" ht="15">
      <c r="B44" s="28" t="s">
        <v>14</v>
      </c>
      <c r="C44" s="132" t="s">
        <v>628</v>
      </c>
      <c r="D44" s="132" t="s">
        <v>629</v>
      </c>
      <c r="E44" s="244" t="s">
        <v>445</v>
      </c>
      <c r="H44" s="244" t="str">
        <f>$B$43</f>
        <v>MEAT CATTLE</v>
      </c>
      <c r="I44" s="244" t="str">
        <f>B44</f>
        <v>Forage</v>
      </c>
      <c r="J44" s="244"/>
      <c r="K44" s="139"/>
      <c r="L44" s="244" t="s">
        <v>16</v>
      </c>
      <c r="M44" s="244"/>
      <c r="N44" s="244"/>
      <c r="O44" s="139"/>
      <c r="S44" s="19"/>
    </row>
    <row r="45" spans="1:45" ht="15">
      <c r="B45" s="22"/>
      <c r="C45" s="21"/>
      <c r="D45" s="21"/>
      <c r="E45" s="244"/>
      <c r="H45" s="244"/>
      <c r="I45" s="244" t="s">
        <v>17</v>
      </c>
      <c r="J45" s="244" t="s">
        <v>18</v>
      </c>
      <c r="K45" s="139"/>
      <c r="L45" s="244" t="s">
        <v>19</v>
      </c>
      <c r="M45" s="244" t="s">
        <v>20</v>
      </c>
      <c r="N45" s="244" t="s">
        <v>21</v>
      </c>
      <c r="O45" s="139"/>
    </row>
    <row r="46" spans="1:45" ht="15">
      <c r="B46" s="211" t="s">
        <v>22</v>
      </c>
      <c r="C46" s="211"/>
      <c r="D46" s="211"/>
      <c r="E46" s="244">
        <f t="shared" ref="E46:E52" si="4">D46+C46</f>
        <v>0</v>
      </c>
      <c r="H46" s="244" t="str">
        <f t="shared" ref="H46:H52" si="5">B46</f>
        <v>Grazing (grasslands)</v>
      </c>
      <c r="I46" s="244">
        <f>IF(OR(H46=0,ISERROR(H46)),0,VLOOKUP($H46,'Standard data'!$C$80:$G$103,4,FALSE)*D46)</f>
        <v>0</v>
      </c>
      <c r="J46" s="244">
        <f>IF(OR(H46=0,ISERROR(H46)),0,VLOOKUP($H46,'Standard data'!$C$80:$G$103,3,FALSE)/1000*D46)</f>
        <v>0</v>
      </c>
      <c r="K46" s="139"/>
      <c r="L46" s="244" t="str">
        <f>H46</f>
        <v>Grazing (grasslands)</v>
      </c>
      <c r="M46" s="244">
        <f t="shared" ref="M46:M52" si="6">E46</f>
        <v>0</v>
      </c>
      <c r="N46" s="244">
        <f>IF(OR(H46=0,ISERROR(H46)),0,VLOOKUP($B46,'Standard data'!$C$80:$H$103,6,FALSE))</f>
        <v>0.6</v>
      </c>
      <c r="O46" s="139"/>
    </row>
    <row r="47" spans="1:45" ht="15">
      <c r="B47" s="211" t="s">
        <v>22</v>
      </c>
      <c r="C47" s="211"/>
      <c r="D47" s="211"/>
      <c r="E47" s="244">
        <f t="shared" si="4"/>
        <v>0</v>
      </c>
      <c r="H47" s="244" t="str">
        <f t="shared" si="5"/>
        <v>Grazing (grasslands)</v>
      </c>
      <c r="I47" s="244">
        <f>IF(OR(H47=0,ISERROR(H47)),0,VLOOKUP($H47,'Standard data'!$C$80:$G$103,4,FALSE)*D47)</f>
        <v>0</v>
      </c>
      <c r="J47" s="244">
        <f>IF(OR(H47=0,ISERROR(H47)),0,VLOOKUP($H47,'Standard data'!$C$80:$G$103,3,FALSE)/1000*D47)</f>
        <v>0</v>
      </c>
      <c r="K47" s="139"/>
      <c r="L47" s="244" t="str">
        <f t="shared" ref="L47:L52" si="7">H47</f>
        <v>Grazing (grasslands)</v>
      </c>
      <c r="M47" s="244">
        <f t="shared" si="6"/>
        <v>0</v>
      </c>
      <c r="N47" s="244">
        <f>IF(OR(H47=0,ISERROR(H47)),0,VLOOKUP($B47,'Standard data'!$C$80:$H$103,6,FALSE))</f>
        <v>0.6</v>
      </c>
      <c r="O47" s="139"/>
    </row>
    <row r="48" spans="1:45" ht="15">
      <c r="B48" s="211" t="s">
        <v>22</v>
      </c>
      <c r="C48" s="211"/>
      <c r="D48" s="211">
        <v>1</v>
      </c>
      <c r="E48" s="244">
        <f t="shared" si="4"/>
        <v>1</v>
      </c>
      <c r="H48" s="244" t="str">
        <f t="shared" si="5"/>
        <v>Grazing (grasslands)</v>
      </c>
      <c r="I48" s="244">
        <f>IF(OR(H48=0,ISERROR(H48)),0,VLOOKUP($H48,'Standard data'!$C$80:$G$103,4,FALSE)*D48)</f>
        <v>0</v>
      </c>
      <c r="J48" s="244">
        <f>IF(OR(H48=0,ISERROR(H48)),0,VLOOKUP($H48,'Standard data'!$C$80:$G$103,3,FALSE)/1000*D48)</f>
        <v>8.6999999999999994E-2</v>
      </c>
      <c r="K48" s="139"/>
      <c r="L48" s="244" t="str">
        <f t="shared" si="7"/>
        <v>Grazing (grasslands)</v>
      </c>
      <c r="M48" s="244">
        <f t="shared" si="6"/>
        <v>1</v>
      </c>
      <c r="N48" s="244">
        <f>IF(OR(H48=0,ISERROR(H48)),0,VLOOKUP($B48,'Standard data'!$C$80:$H$103,6,FALSE))</f>
        <v>0.6</v>
      </c>
      <c r="O48" s="139"/>
    </row>
    <row r="49" spans="2:44" ht="15">
      <c r="B49" s="211" t="s">
        <v>22</v>
      </c>
      <c r="C49" s="211"/>
      <c r="D49" s="211">
        <v>1</v>
      </c>
      <c r="E49" s="244">
        <f t="shared" si="4"/>
        <v>1</v>
      </c>
      <c r="H49" s="244" t="str">
        <f t="shared" si="5"/>
        <v>Grazing (grasslands)</v>
      </c>
      <c r="I49" s="244">
        <f>IF(OR(H49=0,ISERROR(H49)),0,VLOOKUP($H49,'Standard data'!$C$80:$G$103,4,FALSE)*D49)</f>
        <v>0</v>
      </c>
      <c r="J49" s="244">
        <f>IF(OR(H49=0,ISERROR(H49)),0,VLOOKUP($H49,'Standard data'!$C$80:$G$103,3,FALSE)/1000*D49)</f>
        <v>8.6999999999999994E-2</v>
      </c>
      <c r="K49" s="139"/>
      <c r="L49" s="244" t="str">
        <f t="shared" si="7"/>
        <v>Grazing (grasslands)</v>
      </c>
      <c r="M49" s="244">
        <f t="shared" si="6"/>
        <v>1</v>
      </c>
      <c r="N49" s="244">
        <f>IF(OR(H49=0,ISERROR(H49)),0,VLOOKUP($B49,'Standard data'!$C$80:$H$103,6,FALSE))</f>
        <v>0.6</v>
      </c>
      <c r="O49" s="139"/>
    </row>
    <row r="50" spans="2:44" ht="15">
      <c r="B50" s="211" t="s">
        <v>22</v>
      </c>
      <c r="C50" s="211"/>
      <c r="D50" s="211">
        <v>1</v>
      </c>
      <c r="E50" s="244">
        <f t="shared" si="4"/>
        <v>1</v>
      </c>
      <c r="H50" s="244" t="str">
        <f t="shared" si="5"/>
        <v>Grazing (grasslands)</v>
      </c>
      <c r="I50" s="244">
        <f>IF(OR(H50=0,ISERROR(H50)),0,VLOOKUP($H50,'Standard data'!$C$80:$G$103,4,FALSE)*D50)</f>
        <v>0</v>
      </c>
      <c r="J50" s="244">
        <f>IF(OR(H50=0,ISERROR(H50)),0,VLOOKUP($H50,'Standard data'!$C$80:$G$103,3,FALSE)/1000*D50)</f>
        <v>8.6999999999999994E-2</v>
      </c>
      <c r="K50" s="139"/>
      <c r="L50" s="244" t="str">
        <f t="shared" si="7"/>
        <v>Grazing (grasslands)</v>
      </c>
      <c r="M50" s="244">
        <f t="shared" si="6"/>
        <v>1</v>
      </c>
      <c r="N50" s="244">
        <f>IF(OR(H50=0,ISERROR(H50)),0,VLOOKUP($B50,'Standard data'!$C$80:$H$103,6,FALSE))</f>
        <v>0.6</v>
      </c>
      <c r="O50" s="139"/>
    </row>
    <row r="51" spans="2:44" ht="15">
      <c r="B51" s="211" t="s">
        <v>22</v>
      </c>
      <c r="C51" s="211"/>
      <c r="D51" s="211"/>
      <c r="E51" s="244">
        <f t="shared" si="4"/>
        <v>0</v>
      </c>
      <c r="H51" s="244" t="str">
        <f t="shared" si="5"/>
        <v>Grazing (grasslands)</v>
      </c>
      <c r="I51" s="244">
        <f>IF(OR(H51=0,ISERROR(H51)),0,VLOOKUP($H51,'Standard data'!$C$80:$G$103,4,FALSE)*D51)</f>
        <v>0</v>
      </c>
      <c r="J51" s="244">
        <f>IF(OR(H51=0,ISERROR(H51)),0,VLOOKUP($H51,'Standard data'!$C$80:$G$103,3,FALSE)/1000*D51)</f>
        <v>0</v>
      </c>
      <c r="K51" s="139"/>
      <c r="L51" s="244" t="str">
        <f t="shared" si="7"/>
        <v>Grazing (grasslands)</v>
      </c>
      <c r="M51" s="244">
        <f t="shared" si="6"/>
        <v>0</v>
      </c>
      <c r="N51" s="244">
        <f>IF(OR(H51=0,ISERROR(H51)),0,VLOOKUP($B51,'Standard data'!$C$80:$H$103,6,FALSE))</f>
        <v>0.6</v>
      </c>
      <c r="O51" s="139"/>
    </row>
    <row r="52" spans="2:44" ht="15">
      <c r="B52" s="211" t="s">
        <v>22</v>
      </c>
      <c r="C52" s="211"/>
      <c r="D52" s="211"/>
      <c r="E52" s="244">
        <f t="shared" si="4"/>
        <v>0</v>
      </c>
      <c r="H52" s="244" t="str">
        <f t="shared" si="5"/>
        <v>Grazing (grasslands)</v>
      </c>
      <c r="I52" s="244">
        <f>IF(OR(H52=0,ISERROR(H52)),0,VLOOKUP($H52,'Standard data'!$C$80:$G$103,4,FALSE)*D52)</f>
        <v>0</v>
      </c>
      <c r="J52" s="244">
        <f>IF(OR(H52=0,ISERROR(H52)),0,VLOOKUP($H52,'Standard data'!$C$80:$G$103,3,FALSE)/1000*D52)</f>
        <v>0</v>
      </c>
      <c r="K52" s="139"/>
      <c r="L52" s="244" t="str">
        <f t="shared" si="7"/>
        <v>Grazing (grasslands)</v>
      </c>
      <c r="M52" s="244">
        <f t="shared" si="6"/>
        <v>0</v>
      </c>
      <c r="N52" s="244">
        <f>IF(OR(H52=0,ISERROR(H52)),0,VLOOKUP($B52,'Standard data'!$C$80:$H$103,6,FALSE))</f>
        <v>0.6</v>
      </c>
      <c r="O52" s="139"/>
    </row>
    <row r="53" spans="2:44" ht="15">
      <c r="H53" s="244" t="s">
        <v>447</v>
      </c>
      <c r="I53" s="244">
        <f>SUM(I46:I52)</f>
        <v>0</v>
      </c>
      <c r="J53" s="244">
        <f>SUM(J46:J52)</f>
        <v>0.26100000000000001</v>
      </c>
      <c r="K53" s="139"/>
      <c r="L53" s="244" t="str">
        <f>I56</f>
        <v>FEED - Simple</v>
      </c>
      <c r="M53" s="244">
        <f>SUM(C58:D62)</f>
        <v>3</v>
      </c>
      <c r="N53" s="244">
        <v>0.85</v>
      </c>
      <c r="O53" s="139"/>
    </row>
    <row r="54" spans="2:44" ht="15">
      <c r="H54" s="139"/>
      <c r="I54" s="139"/>
      <c r="J54" s="139"/>
      <c r="K54" s="139"/>
      <c r="L54" s="244" t="str">
        <f>I64</f>
        <v>Complex feed</v>
      </c>
      <c r="M54" s="244">
        <f>SUM(D64:D68)</f>
        <v>3</v>
      </c>
      <c r="N54" s="244">
        <f>N53</f>
        <v>0.85</v>
      </c>
      <c r="O54" s="139"/>
    </row>
    <row r="55" spans="2:44" ht="15">
      <c r="H55" s="139"/>
      <c r="I55" s="139"/>
      <c r="J55" s="139"/>
      <c r="K55" s="139"/>
      <c r="L55" s="244" t="str">
        <f>I72</f>
        <v>Self mixed feed</v>
      </c>
      <c r="M55" s="244">
        <f>SUM(D70:D72)</f>
        <v>6</v>
      </c>
      <c r="N55" s="244">
        <f>N53</f>
        <v>0.85</v>
      </c>
      <c r="O55" s="139"/>
      <c r="AN55" s="9"/>
      <c r="AO55" s="9"/>
      <c r="AP55" s="9"/>
      <c r="AQ55" s="9"/>
      <c r="AR55" s="9"/>
    </row>
    <row r="56" spans="2:44" ht="15">
      <c r="B56" s="28" t="s">
        <v>453</v>
      </c>
      <c r="C56" s="132" t="s">
        <v>636</v>
      </c>
      <c r="D56" s="132" t="s">
        <v>635</v>
      </c>
      <c r="H56" s="244" t="str">
        <f>$B$43</f>
        <v>MEAT CATTLE</v>
      </c>
      <c r="I56" s="244" t="str">
        <f>B56</f>
        <v>FEED - Simple</v>
      </c>
      <c r="J56" s="244"/>
      <c r="K56" s="139"/>
      <c r="L56" s="244"/>
      <c r="M56" s="244" t="s">
        <v>29</v>
      </c>
      <c r="N56" s="244">
        <f>IF(SUM(M46:M55)=0,0,SUMPRODUCT(M46:M55,N46:N55)/SUM(M46:M55))</f>
        <v>0.8</v>
      </c>
      <c r="O56" s="139"/>
      <c r="S56" s="25"/>
      <c r="T56" s="18"/>
      <c r="X56" s="9"/>
      <c r="Y56" s="9"/>
      <c r="AG56" s="18"/>
      <c r="AH56" s="26"/>
      <c r="AI56" s="24"/>
      <c r="AJ56" s="24"/>
      <c r="AK56" s="18"/>
      <c r="AN56" s="9"/>
      <c r="AO56" s="9"/>
      <c r="AP56" s="9"/>
      <c r="AQ56" s="9"/>
      <c r="AR56" s="9"/>
    </row>
    <row r="57" spans="2:44" s="18" customFormat="1" ht="15">
      <c r="B57" s="28"/>
      <c r="C57" s="27"/>
      <c r="D57" s="27"/>
      <c r="E57" s="1"/>
      <c r="F57" s="1"/>
      <c r="G57" s="1"/>
      <c r="H57" s="244"/>
      <c r="I57" s="244" t="s">
        <v>17</v>
      </c>
      <c r="J57" s="244" t="s">
        <v>18</v>
      </c>
      <c r="K57" s="141"/>
      <c r="L57" s="244"/>
      <c r="M57" s="244" t="s">
        <v>30</v>
      </c>
      <c r="N57" s="244">
        <f>9.75-(0.05*N56*100)</f>
        <v>5.7499999999999991</v>
      </c>
      <c r="O57" s="143"/>
      <c r="S57" s="25"/>
      <c r="X57" s="9"/>
      <c r="Y57" s="9"/>
      <c r="AH57" s="26"/>
      <c r="AI57" s="24"/>
      <c r="AJ57" s="24"/>
      <c r="AN57" s="9"/>
      <c r="AO57" s="9"/>
      <c r="AP57" s="9"/>
      <c r="AQ57" s="9"/>
      <c r="AR57" s="9"/>
    </row>
    <row r="58" spans="2:44" ht="15">
      <c r="B58" s="211" t="s">
        <v>112</v>
      </c>
      <c r="C58" s="211"/>
      <c r="D58" s="211"/>
      <c r="H58" s="244" t="str">
        <f>B58</f>
        <v>Wheat</v>
      </c>
      <c r="I58" s="244">
        <f>IF(OR(H58=0,ISERROR(H58)),0,VLOOKUP($H58,'Standard data'!$C$110:$G$133,4,FALSE)*D58)</f>
        <v>0</v>
      </c>
      <c r="J58" s="244">
        <f>IF(OR(H58=0,ISERROR(H58)),0,VLOOKUP($H58,'Standard data'!$C$110:$G$133,3,FALSE)/1000*$D58)</f>
        <v>0</v>
      </c>
      <c r="K58" s="139"/>
      <c r="L58" s="143"/>
      <c r="M58" s="143"/>
      <c r="N58" s="144"/>
      <c r="O58" s="139"/>
      <c r="S58" s="31"/>
      <c r="T58" s="18"/>
      <c r="X58" s="9"/>
      <c r="Y58" s="9"/>
      <c r="AG58" s="18"/>
      <c r="AH58" s="26"/>
      <c r="AI58" s="24"/>
      <c r="AJ58" s="24"/>
      <c r="AK58" s="18"/>
      <c r="AN58" s="9"/>
      <c r="AO58" s="9"/>
      <c r="AP58" s="9"/>
      <c r="AQ58" s="9"/>
      <c r="AR58" s="9"/>
    </row>
    <row r="59" spans="2:44" ht="15">
      <c r="B59" s="211" t="s">
        <v>112</v>
      </c>
      <c r="C59" s="211"/>
      <c r="D59" s="211">
        <v>1</v>
      </c>
      <c r="H59" s="244" t="str">
        <f>B59</f>
        <v>Wheat</v>
      </c>
      <c r="I59" s="244">
        <f>IF(OR(H59=0,ISERROR(H59)),0,VLOOKUP($H59,'Standard data'!$C$110:$G$133,4,FALSE)*D59)</f>
        <v>2.5630000000000002</v>
      </c>
      <c r="J59" s="244">
        <f>IF(OR(H59=0,ISERROR(H59)),0,VLOOKUP($H59,'Standard data'!$C$110:$G$133,3,FALSE)/1000*$D59)</f>
        <v>0.35299999999999998</v>
      </c>
      <c r="K59" s="139"/>
      <c r="L59" s="143"/>
      <c r="M59" s="143"/>
      <c r="N59" s="144"/>
      <c r="O59" s="139"/>
      <c r="S59" s="31"/>
      <c r="T59" s="18"/>
      <c r="X59" s="9"/>
      <c r="Y59" s="9"/>
      <c r="AG59" s="18"/>
      <c r="AH59" s="26"/>
      <c r="AI59" s="24"/>
      <c r="AJ59" s="24"/>
      <c r="AK59" s="18"/>
      <c r="AN59" s="9"/>
      <c r="AO59" s="9"/>
      <c r="AP59" s="9"/>
      <c r="AQ59" s="9"/>
      <c r="AR59" s="9"/>
    </row>
    <row r="60" spans="2:44" ht="15">
      <c r="B60" s="211" t="s">
        <v>112</v>
      </c>
      <c r="C60" s="211"/>
      <c r="D60" s="211">
        <v>1</v>
      </c>
      <c r="H60" s="244" t="str">
        <f>B60</f>
        <v>Wheat</v>
      </c>
      <c r="I60" s="244">
        <f>IF(OR(H60=0,ISERROR(H60)),0,VLOOKUP($H60,'Standard data'!$C$110:$G$133,4,FALSE)*D60)</f>
        <v>2.5630000000000002</v>
      </c>
      <c r="J60" s="244">
        <f>IF(OR(H60=0,ISERROR(H60)),0,VLOOKUP($H60,'Standard data'!$C$110:$G$133,3,FALSE)/1000*$D60)</f>
        <v>0.35299999999999998</v>
      </c>
      <c r="K60" s="139"/>
      <c r="L60" s="143"/>
      <c r="M60" s="143"/>
      <c r="N60" s="144"/>
      <c r="O60" s="139"/>
      <c r="S60" s="31"/>
      <c r="T60" s="18"/>
      <c r="X60" s="9"/>
      <c r="Y60" s="9"/>
      <c r="AG60" s="18"/>
      <c r="AH60" s="26"/>
      <c r="AI60" s="24"/>
      <c r="AJ60" s="24"/>
      <c r="AK60" s="18"/>
      <c r="AN60" s="9"/>
      <c r="AO60" s="9"/>
      <c r="AP60" s="9"/>
      <c r="AQ60" s="9"/>
      <c r="AR60" s="9"/>
    </row>
    <row r="61" spans="2:44" ht="15">
      <c r="B61" s="211" t="s">
        <v>112</v>
      </c>
      <c r="C61" s="211"/>
      <c r="D61" s="211">
        <v>1</v>
      </c>
      <c r="H61" s="244" t="str">
        <f>B61</f>
        <v>Wheat</v>
      </c>
      <c r="I61" s="244">
        <f>IF(OR(H61=0,ISERROR(H61)),0,VLOOKUP($H61,'Standard data'!$C$110:$G$133,4,FALSE)*D61)</f>
        <v>2.5630000000000002</v>
      </c>
      <c r="J61" s="244">
        <f>IF(OR(H61=0,ISERROR(H61)),0,VLOOKUP($H61,'Standard data'!$C$110:$G$133,3,FALSE)/1000*$D61)</f>
        <v>0.35299999999999998</v>
      </c>
      <c r="K61" s="139"/>
      <c r="L61" s="143"/>
      <c r="M61" s="143"/>
      <c r="N61" s="144"/>
      <c r="O61" s="139"/>
      <c r="S61" s="31"/>
      <c r="T61" s="18"/>
      <c r="X61" s="9"/>
      <c r="Y61" s="9"/>
      <c r="AG61" s="18"/>
      <c r="AH61" s="26"/>
      <c r="AI61" s="24"/>
      <c r="AJ61" s="24"/>
      <c r="AK61" s="18"/>
      <c r="AN61" s="9"/>
      <c r="AO61" s="9"/>
      <c r="AP61" s="9"/>
      <c r="AQ61" s="9"/>
      <c r="AR61" s="9"/>
    </row>
    <row r="62" spans="2:44" ht="15">
      <c r="B62" s="211" t="s">
        <v>112</v>
      </c>
      <c r="C62" s="211"/>
      <c r="D62" s="211"/>
      <c r="H62" s="244" t="str">
        <f>B62</f>
        <v>Wheat</v>
      </c>
      <c r="I62" s="244">
        <f>IF(OR(H62=0,ISERROR(H62)),0,VLOOKUP($H62,'Standard data'!$C$110:$G$133,4,FALSE)*D62)</f>
        <v>0</v>
      </c>
      <c r="J62" s="244">
        <f>IF(OR(H62=0,ISERROR(H62)),0,VLOOKUP($H62,'Standard data'!$C$110:$G$133,3,FALSE)/1000*$D62)</f>
        <v>0</v>
      </c>
      <c r="K62" s="139"/>
      <c r="L62" s="143"/>
      <c r="M62" s="143"/>
      <c r="N62" s="144"/>
      <c r="O62" s="139"/>
      <c r="S62" s="31"/>
      <c r="T62" s="18"/>
      <c r="X62" s="9"/>
      <c r="Y62" s="9"/>
      <c r="AG62" s="18"/>
      <c r="AH62" s="26"/>
      <c r="AI62" s="24"/>
      <c r="AJ62" s="24"/>
      <c r="AK62" s="18"/>
      <c r="AN62" s="9"/>
      <c r="AO62" s="9"/>
      <c r="AP62" s="9"/>
      <c r="AQ62" s="9"/>
      <c r="AR62" s="9"/>
    </row>
    <row r="63" spans="2:44" ht="15">
      <c r="B63" s="28" t="s">
        <v>446</v>
      </c>
      <c r="C63" s="23"/>
      <c r="D63" s="132"/>
      <c r="H63" s="244" t="s">
        <v>445</v>
      </c>
      <c r="I63" s="244">
        <f>SUM(I58:I62)</f>
        <v>7.6890000000000001</v>
      </c>
      <c r="J63" s="244">
        <f>SUM(J58:J62)</f>
        <v>1.0589999999999999</v>
      </c>
      <c r="K63" s="146"/>
      <c r="L63" s="143"/>
      <c r="M63" s="143"/>
      <c r="N63" s="144"/>
      <c r="O63" s="139"/>
      <c r="S63" s="31"/>
      <c r="T63" s="18"/>
      <c r="X63" s="9"/>
      <c r="Y63" s="9"/>
      <c r="AG63" s="18"/>
      <c r="AH63" s="26"/>
      <c r="AI63" s="24"/>
      <c r="AJ63" s="24"/>
      <c r="AK63" s="18"/>
      <c r="AN63" s="9"/>
      <c r="AO63" s="33"/>
      <c r="AP63" s="34"/>
      <c r="AQ63" s="34"/>
      <c r="AR63" s="9"/>
    </row>
    <row r="64" spans="2:44" ht="30">
      <c r="B64" s="211" t="s">
        <v>38</v>
      </c>
      <c r="C64" s="38"/>
      <c r="D64" s="211"/>
      <c r="H64" s="244" t="str">
        <f>$B$43</f>
        <v>MEAT CATTLE</v>
      </c>
      <c r="I64" s="244" t="str">
        <f>B63</f>
        <v>Complex feed</v>
      </c>
      <c r="J64" s="244"/>
      <c r="K64" s="139"/>
      <c r="L64" s="147"/>
      <c r="M64" s="147"/>
      <c r="N64" s="148"/>
      <c r="O64" s="139"/>
      <c r="S64" s="35"/>
      <c r="X64" s="9"/>
      <c r="Y64" s="9"/>
      <c r="AG64" s="18"/>
      <c r="AH64" s="26"/>
      <c r="AI64" s="24"/>
      <c r="AJ64" s="24"/>
      <c r="AK64" s="18"/>
      <c r="AN64" s="9"/>
      <c r="AO64" s="33"/>
      <c r="AP64" s="34"/>
      <c r="AQ64" s="34"/>
      <c r="AR64" s="9"/>
    </row>
    <row r="65" spans="2:44" s="18" customFormat="1" ht="30">
      <c r="B65" s="211" t="s">
        <v>38</v>
      </c>
      <c r="C65" s="38"/>
      <c r="D65" s="211">
        <v>1</v>
      </c>
      <c r="E65" s="1"/>
      <c r="F65" s="1"/>
      <c r="H65" s="244"/>
      <c r="I65" s="244" t="s">
        <v>17</v>
      </c>
      <c r="J65" s="244" t="s">
        <v>18</v>
      </c>
      <c r="K65" s="141"/>
      <c r="L65" s="147"/>
      <c r="M65" s="147"/>
      <c r="N65" s="150"/>
      <c r="O65" s="143"/>
      <c r="S65" s="37"/>
      <c r="X65" s="9"/>
      <c r="Y65" s="9"/>
      <c r="AH65" s="26"/>
      <c r="AI65" s="24"/>
      <c r="AJ65" s="24"/>
      <c r="AN65" s="9"/>
      <c r="AO65" s="9"/>
      <c r="AP65" s="9"/>
      <c r="AQ65" s="9"/>
      <c r="AR65" s="9"/>
    </row>
    <row r="66" spans="2:44" ht="30">
      <c r="B66" s="211" t="s">
        <v>38</v>
      </c>
      <c r="C66" s="38"/>
      <c r="D66" s="211">
        <v>1</v>
      </c>
      <c r="H66" s="244" t="str">
        <f>B64</f>
        <v>Suckler cow, 18% crude protein, pellet form</v>
      </c>
      <c r="I66" s="244">
        <f>IF(OR(H66=0,ISERROR(H66)),0,VLOOKUP($H66,'Standard data'!$C$140:$G$161,4,FALSE)*D64)</f>
        <v>0</v>
      </c>
      <c r="J66" s="244">
        <f>IF(OR(H66=0,ISERROR(H66)),0,VLOOKUP($H66,'Standard data'!$C$140:$G$161,3,FALSE)/1000*$D64)</f>
        <v>0</v>
      </c>
      <c r="K66" s="139"/>
      <c r="L66" s="152"/>
      <c r="M66" s="147"/>
      <c r="N66" s="148"/>
      <c r="O66" s="139"/>
      <c r="S66" s="35"/>
      <c r="X66" s="9"/>
      <c r="Y66" s="9"/>
      <c r="AG66" s="18"/>
      <c r="AH66" s="26"/>
      <c r="AI66" s="24"/>
      <c r="AJ66" s="24"/>
      <c r="AK66" s="18"/>
      <c r="AN66" s="9"/>
      <c r="AO66" s="33"/>
      <c r="AP66" s="34"/>
      <c r="AQ66" s="34"/>
      <c r="AR66" s="9"/>
    </row>
    <row r="67" spans="2:44" ht="30">
      <c r="B67" s="211" t="s">
        <v>38</v>
      </c>
      <c r="C67" s="38"/>
      <c r="D67" s="211">
        <v>1</v>
      </c>
      <c r="H67" s="244" t="str">
        <f>B65</f>
        <v>Suckler cow, 18% crude protein, pellet form</v>
      </c>
      <c r="I67" s="244">
        <f>IF(OR(H67=0,ISERROR(H67)),0,VLOOKUP($H67,'Standard data'!$C$140:$G$161,4,FALSE)*D65)</f>
        <v>3.6179999999999999</v>
      </c>
      <c r="J67" s="244">
        <f>IF(OR(H67=0,ISERROR(H67)),0,VLOOKUP($H67,'Standard data'!$C$140:$G$161,3,FALSE)/1000*$D65)</f>
        <v>0.55600000000000005</v>
      </c>
      <c r="K67" s="139"/>
      <c r="L67" s="152"/>
      <c r="M67" s="147"/>
      <c r="N67" s="148"/>
      <c r="O67" s="139"/>
      <c r="S67" s="35"/>
      <c r="X67" s="9"/>
      <c r="Y67" s="9"/>
      <c r="AG67" s="18"/>
      <c r="AH67" s="39"/>
      <c r="AI67" s="40"/>
      <c r="AJ67" s="40"/>
      <c r="AK67" s="18"/>
      <c r="AN67" s="9"/>
      <c r="AO67" s="33"/>
      <c r="AP67" s="34"/>
      <c r="AQ67" s="34"/>
      <c r="AR67" s="9"/>
    </row>
    <row r="68" spans="2:44" ht="30">
      <c r="B68" s="211" t="s">
        <v>38</v>
      </c>
      <c r="C68" s="38"/>
      <c r="D68" s="211"/>
      <c r="H68" s="244" t="str">
        <f>B66</f>
        <v>Suckler cow, 18% crude protein, pellet form</v>
      </c>
      <c r="I68" s="244">
        <f>IF(OR(H68=0,ISERROR(H68)),0,VLOOKUP($H68,'Standard data'!$C$140:$G$161,4,FALSE)*D66)</f>
        <v>3.6179999999999999</v>
      </c>
      <c r="J68" s="244">
        <f>IF(OR(H68=0,ISERROR(H68)),0,VLOOKUP($H68,'Standard data'!$C$140:$G$161,3,FALSE)/1000*$D66)</f>
        <v>0.55600000000000005</v>
      </c>
      <c r="K68" s="139"/>
      <c r="L68" s="152"/>
      <c r="M68" s="147"/>
      <c r="N68" s="148"/>
      <c r="O68" s="139"/>
      <c r="S68" s="35"/>
      <c r="X68" s="9"/>
      <c r="Y68" s="9"/>
      <c r="AG68" s="18"/>
      <c r="AH68" s="26"/>
      <c r="AI68" s="24"/>
      <c r="AJ68" s="24"/>
      <c r="AK68" s="18"/>
      <c r="AN68" s="9"/>
      <c r="AO68" s="33"/>
      <c r="AP68" s="34"/>
      <c r="AQ68" s="34"/>
      <c r="AR68" s="9"/>
    </row>
    <row r="69" spans="2:44" ht="15">
      <c r="B69" s="28" t="s">
        <v>448</v>
      </c>
      <c r="C69" s="23"/>
      <c r="D69" s="132"/>
      <c r="H69" s="244" t="str">
        <f>B67</f>
        <v>Suckler cow, 18% crude protein, pellet form</v>
      </c>
      <c r="I69" s="244">
        <f>IF(OR(H69=0,ISERROR(H69)),0,VLOOKUP($H69,'Standard data'!$C$140:$G$161,4,FALSE)*D67)</f>
        <v>3.6179999999999999</v>
      </c>
      <c r="J69" s="244">
        <f>IF(OR(H69=0,ISERROR(H69)),0,VLOOKUP($H69,'Standard data'!$C$140:$G$161,3,FALSE)/1000*$D67)</f>
        <v>0.55600000000000005</v>
      </c>
      <c r="K69" s="139"/>
      <c r="L69" s="152"/>
      <c r="M69" s="147"/>
      <c r="N69" s="148"/>
      <c r="O69" s="139"/>
      <c r="S69" s="35"/>
      <c r="X69" s="9"/>
      <c r="Y69" s="9"/>
      <c r="AG69" s="18"/>
      <c r="AH69" s="26"/>
      <c r="AI69" s="24"/>
      <c r="AJ69" s="24"/>
      <c r="AK69" s="18"/>
      <c r="AN69" s="9"/>
      <c r="AO69" s="33"/>
      <c r="AP69" s="34"/>
      <c r="AQ69" s="34"/>
      <c r="AR69" s="9"/>
    </row>
    <row r="70" spans="2:44" ht="15">
      <c r="B70" s="211" t="s">
        <v>442</v>
      </c>
      <c r="C70" s="38"/>
      <c r="D70" s="211">
        <v>2</v>
      </c>
      <c r="H70" s="244" t="str">
        <f>B68</f>
        <v>Suckler cow, 18% crude protein, pellet form</v>
      </c>
      <c r="I70" s="244">
        <f>IF(OR(H70=0,ISERROR(H70)),0,VLOOKUP($H70,'Standard data'!$C$140:$G$161,4,FALSE)*D68)</f>
        <v>0</v>
      </c>
      <c r="J70" s="244">
        <f>IF(OR(H70=0,ISERROR(H70)),0,VLOOKUP($H70,'Standard data'!$C$140:$G$161,3,FALSE)/1000*$D68)</f>
        <v>0</v>
      </c>
      <c r="K70" s="139"/>
      <c r="L70" s="152"/>
      <c r="M70" s="147"/>
      <c r="N70" s="148"/>
      <c r="O70" s="139"/>
      <c r="S70" s="35"/>
      <c r="X70" s="9"/>
      <c r="Y70" s="9"/>
      <c r="AG70" s="18"/>
      <c r="AH70" s="26"/>
      <c r="AI70" s="24"/>
      <c r="AJ70" s="24"/>
      <c r="AK70" s="18"/>
      <c r="AN70" s="9"/>
      <c r="AO70" s="33"/>
      <c r="AP70" s="34"/>
      <c r="AQ70" s="34"/>
      <c r="AR70" s="9"/>
    </row>
    <row r="71" spans="2:44" s="9" customFormat="1" ht="30">
      <c r="B71" s="211" t="s">
        <v>443</v>
      </c>
      <c r="C71" s="38"/>
      <c r="D71" s="211">
        <v>2</v>
      </c>
      <c r="E71" s="1"/>
      <c r="F71" s="1"/>
      <c r="H71" s="244" t="s">
        <v>445</v>
      </c>
      <c r="I71" s="244">
        <f>SUM(I65:I70)</f>
        <v>10.853999999999999</v>
      </c>
      <c r="J71" s="244">
        <f>SUM(J65:J70)</f>
        <v>1.6680000000000001</v>
      </c>
      <c r="K71" s="146"/>
      <c r="L71" s="152"/>
      <c r="M71" s="147"/>
      <c r="N71" s="148"/>
      <c r="O71" s="147"/>
      <c r="S71" s="35"/>
      <c r="AH71" s="26"/>
      <c r="AI71" s="24"/>
      <c r="AJ71" s="24"/>
      <c r="AO71" s="33"/>
      <c r="AP71" s="34"/>
      <c r="AQ71" s="34"/>
    </row>
    <row r="72" spans="2:44" s="9" customFormat="1" ht="30">
      <c r="B72" s="211" t="s">
        <v>444</v>
      </c>
      <c r="C72" s="38"/>
      <c r="D72" s="211">
        <v>2</v>
      </c>
      <c r="E72" s="1"/>
      <c r="F72" s="1"/>
      <c r="G72" s="1"/>
      <c r="H72" s="244" t="str">
        <f>$B$43</f>
        <v>MEAT CATTLE</v>
      </c>
      <c r="I72" s="244" t="str">
        <f>B69</f>
        <v>Self mixed feed</v>
      </c>
      <c r="J72" s="244"/>
      <c r="K72" s="147"/>
      <c r="L72" s="147"/>
      <c r="M72" s="147"/>
      <c r="N72" s="147"/>
      <c r="O72" s="147"/>
      <c r="AH72" s="26"/>
      <c r="AI72" s="24"/>
      <c r="AJ72" s="24"/>
      <c r="AO72" s="33"/>
      <c r="AP72" s="34"/>
      <c r="AQ72" s="34"/>
    </row>
    <row r="73" spans="2:44" s="9" customFormat="1" ht="15">
      <c r="B73" s="211" t="s">
        <v>45</v>
      </c>
      <c r="C73" s="137"/>
      <c r="D73" s="211">
        <v>2</v>
      </c>
      <c r="E73" s="1"/>
      <c r="F73" s="1"/>
      <c r="G73" s="18"/>
      <c r="H73" s="244"/>
      <c r="I73" s="244"/>
      <c r="J73" s="244" t="s">
        <v>18</v>
      </c>
      <c r="K73" s="141"/>
      <c r="L73" s="147"/>
      <c r="M73" s="147"/>
      <c r="N73" s="147"/>
      <c r="O73" s="147"/>
      <c r="AH73" s="26"/>
      <c r="AI73" s="24"/>
      <c r="AJ73" s="24"/>
      <c r="AO73" s="33"/>
      <c r="AP73" s="34"/>
      <c r="AQ73" s="34"/>
    </row>
    <row r="74" spans="2:44" s="9" customFormat="1" ht="15">
      <c r="E74" s="1"/>
      <c r="F74" s="1"/>
      <c r="G74" s="1"/>
      <c r="H74" s="244" t="str">
        <f>B70</f>
        <v xml:space="preserve">Cereals </v>
      </c>
      <c r="I74" s="244"/>
      <c r="J74" s="244">
        <f>'Standard data'!$D$319*$D70</f>
        <v>2.0646648000000001</v>
      </c>
      <c r="K74" s="147"/>
      <c r="L74" s="147"/>
      <c r="M74" s="147"/>
      <c r="N74" s="147"/>
      <c r="O74" s="147"/>
      <c r="AH74" s="26"/>
      <c r="AI74" s="24"/>
      <c r="AJ74" s="24"/>
      <c r="AO74" s="33"/>
      <c r="AP74" s="34"/>
      <c r="AQ74" s="34"/>
    </row>
    <row r="75" spans="2:44" s="9" customFormat="1" ht="15">
      <c r="E75" s="1"/>
      <c r="F75" s="1"/>
      <c r="H75" s="244" t="str">
        <f>B71</f>
        <v>Proteins (pulses, soy, distilled grains,…)</v>
      </c>
      <c r="I75" s="244"/>
      <c r="J75" s="244">
        <f>'Standard data'!$G$319*$D71</f>
        <v>5.3632387999999995</v>
      </c>
      <c r="K75" s="147"/>
      <c r="L75" s="147"/>
      <c r="M75" s="147"/>
      <c r="N75" s="147"/>
      <c r="O75" s="147"/>
      <c r="AH75" s="26"/>
      <c r="AI75" s="24"/>
      <c r="AJ75" s="24"/>
      <c r="AO75" s="33"/>
      <c r="AP75" s="34"/>
      <c r="AQ75" s="34"/>
    </row>
    <row r="76" spans="2:44" s="9" customFormat="1" ht="15">
      <c r="E76" s="1"/>
      <c r="F76" s="1"/>
      <c r="H76" s="244" t="str">
        <f>B72</f>
        <v>Energy (molasses, starch, co-products,…)</v>
      </c>
      <c r="I76" s="244"/>
      <c r="J76" s="244">
        <f>'Standard data'!$J$319*$D72</f>
        <v>0.47795159999999998</v>
      </c>
      <c r="K76" s="147"/>
      <c r="L76" s="147"/>
      <c r="M76" s="147"/>
      <c r="N76" s="147"/>
      <c r="O76" s="147"/>
      <c r="AH76" s="26"/>
      <c r="AI76" s="24"/>
      <c r="AJ76" s="24"/>
      <c r="AO76" s="33"/>
      <c r="AP76" s="34"/>
      <c r="AQ76" s="34"/>
    </row>
    <row r="77" spans="2:44" s="9" customFormat="1" ht="15">
      <c r="E77" s="1"/>
      <c r="F77" s="1"/>
      <c r="H77" s="244" t="s">
        <v>445</v>
      </c>
      <c r="I77" s="244"/>
      <c r="J77" s="244">
        <f>SUM(J74:J76)</f>
        <v>7.9058551999999995</v>
      </c>
      <c r="K77" s="146"/>
      <c r="L77" s="147"/>
      <c r="M77" s="147"/>
      <c r="N77" s="147"/>
      <c r="O77" s="147"/>
      <c r="AH77" s="26"/>
      <c r="AI77" s="24"/>
      <c r="AJ77" s="24"/>
      <c r="AO77" s="33"/>
      <c r="AP77" s="34"/>
      <c r="AQ77" s="34"/>
    </row>
    <row r="78" spans="2:44" s="9" customFormat="1" ht="15">
      <c r="E78" s="1"/>
      <c r="F78" s="84"/>
      <c r="G78" s="43"/>
      <c r="H78" s="244"/>
      <c r="I78" s="244"/>
      <c r="J78" s="244"/>
      <c r="K78" s="147"/>
      <c r="L78" s="147"/>
      <c r="M78" s="147"/>
      <c r="N78" s="147"/>
      <c r="O78" s="147"/>
      <c r="AH78" s="26"/>
      <c r="AI78" s="24"/>
      <c r="AJ78" s="24"/>
      <c r="AO78" s="33"/>
      <c r="AP78" s="34"/>
      <c r="AQ78" s="34"/>
    </row>
    <row r="79" spans="2:44" ht="15">
      <c r="F79" s="84"/>
      <c r="H79" s="244" t="str">
        <f>B73</f>
        <v>Milk powder</v>
      </c>
      <c r="I79" s="244">
        <f>VLOOKUP($H79,'Standard data'!$C$110:$G$133,4,FALSE)/1000*D73</f>
        <v>8.6599999999999996E-2</v>
      </c>
      <c r="J79" s="244">
        <f>VLOOKUP($H79,'Standard data'!$C$110:$G$133,3,FALSE)/1000*$D73/1000</f>
        <v>2.2000000000000001E-4</v>
      </c>
      <c r="K79" s="139"/>
      <c r="L79" s="143"/>
      <c r="M79" s="143"/>
      <c r="N79" s="144"/>
      <c r="O79" s="139"/>
      <c r="S79" s="31"/>
      <c r="T79" s="18"/>
      <c r="X79" s="9"/>
      <c r="Y79" s="9"/>
      <c r="AG79" s="18"/>
      <c r="AH79" s="26"/>
      <c r="AI79" s="24"/>
      <c r="AJ79" s="24"/>
      <c r="AK79" s="18"/>
      <c r="AN79" s="9"/>
      <c r="AO79" s="33"/>
      <c r="AP79" s="34"/>
      <c r="AQ79" s="34"/>
      <c r="AR79" s="9"/>
    </row>
    <row r="80" spans="2:44" s="9" customFormat="1">
      <c r="E80" s="1"/>
      <c r="H80" s="147"/>
      <c r="I80" s="153"/>
      <c r="J80" s="154"/>
      <c r="K80" s="154"/>
      <c r="L80" s="147"/>
      <c r="M80" s="147"/>
      <c r="N80" s="147"/>
      <c r="O80" s="147"/>
      <c r="AI80" s="26"/>
      <c r="AJ80" s="24"/>
      <c r="AK80" s="24"/>
      <c r="AP80" s="33"/>
      <c r="AQ80" s="34"/>
      <c r="AR80" s="34"/>
    </row>
    <row r="81" spans="2:44" s="9" customFormat="1">
      <c r="D81" s="44"/>
      <c r="E81" s="45"/>
      <c r="H81" s="147"/>
      <c r="I81" s="147"/>
      <c r="J81" s="147"/>
      <c r="K81" s="147"/>
      <c r="L81" s="147"/>
      <c r="M81" s="153"/>
      <c r="N81" s="154"/>
      <c r="O81" s="154"/>
      <c r="AI81" s="26"/>
      <c r="AJ81" s="24"/>
      <c r="AK81" s="24"/>
      <c r="AP81" s="33"/>
      <c r="AQ81" s="34"/>
      <c r="AR81" s="34"/>
    </row>
    <row r="82" spans="2:44" s="9" customFormat="1">
      <c r="D82" s="44"/>
      <c r="E82" s="45"/>
      <c r="H82" s="147"/>
      <c r="I82" s="147"/>
      <c r="J82" s="147"/>
      <c r="K82" s="147"/>
      <c r="L82" s="147"/>
      <c r="M82" s="153"/>
      <c r="N82" s="154"/>
      <c r="O82" s="154"/>
      <c r="AI82" s="26"/>
      <c r="AJ82" s="24"/>
      <c r="AK82" s="24"/>
      <c r="AP82" s="33"/>
      <c r="AQ82" s="34"/>
      <c r="AR82" s="34"/>
    </row>
    <row r="83" spans="2:44" s="9" customFormat="1" ht="15.75">
      <c r="B83" s="245" t="s">
        <v>469</v>
      </c>
      <c r="D83" s="44" t="s">
        <v>730</v>
      </c>
      <c r="E83" s="45"/>
      <c r="H83" s="147"/>
      <c r="I83" s="147"/>
      <c r="J83" s="147"/>
      <c r="K83" s="147"/>
      <c r="L83" s="147"/>
      <c r="M83" s="153"/>
      <c r="N83" s="154"/>
      <c r="O83" s="154"/>
      <c r="AI83" s="26"/>
      <c r="AJ83" s="24"/>
      <c r="AK83" s="24"/>
      <c r="AP83" s="33"/>
      <c r="AQ83" s="34"/>
      <c r="AR83" s="34"/>
    </row>
    <row r="84" spans="2:44" ht="15">
      <c r="B84" s="28" t="s">
        <v>14</v>
      </c>
      <c r="C84" s="132" t="s">
        <v>628</v>
      </c>
      <c r="D84" s="132" t="s">
        <v>629</v>
      </c>
      <c r="E84" s="244" t="s">
        <v>445</v>
      </c>
      <c r="H84" s="244" t="str">
        <f>B83</f>
        <v>SHEEP (milk and meat)</v>
      </c>
      <c r="I84" s="244" t="str">
        <f>B84</f>
        <v>Forage</v>
      </c>
      <c r="J84" s="244"/>
      <c r="K84" s="139"/>
      <c r="L84" s="244" t="s">
        <v>16</v>
      </c>
      <c r="M84" s="244"/>
      <c r="N84" s="244"/>
      <c r="O84" s="141"/>
    </row>
    <row r="85" spans="2:44" ht="15">
      <c r="B85" s="22"/>
      <c r="C85" s="21"/>
      <c r="D85" s="21"/>
      <c r="E85" s="244"/>
      <c r="H85" s="244"/>
      <c r="I85" s="244" t="s">
        <v>17</v>
      </c>
      <c r="J85" s="244" t="s">
        <v>18</v>
      </c>
      <c r="K85" s="139"/>
      <c r="L85" s="244" t="s">
        <v>19</v>
      </c>
      <c r="M85" s="244" t="s">
        <v>20</v>
      </c>
      <c r="N85" s="244" t="s">
        <v>21</v>
      </c>
      <c r="O85" s="139"/>
    </row>
    <row r="86" spans="2:44" ht="15">
      <c r="B86" s="211" t="s">
        <v>22</v>
      </c>
      <c r="C86" s="211"/>
      <c r="D86" s="211"/>
      <c r="E86" s="244">
        <f t="shared" ref="E86:E92" si="8">D86+C86</f>
        <v>0</v>
      </c>
      <c r="H86" s="244" t="str">
        <f t="shared" ref="H86:H92" si="9">B86</f>
        <v>Grazing (grasslands)</v>
      </c>
      <c r="I86" s="244">
        <f>IF(OR(H86=0,ISERROR(H86)),0,VLOOKUP($H86,'Standard data'!$C$80:$G$103,4,FALSE)*D86)</f>
        <v>0</v>
      </c>
      <c r="J86" s="244">
        <f>IF(OR(H86=0,ISERROR(H86)),0,VLOOKUP($H86,'Standard data'!$C$80:$G$103,3,FALSE)/1000*D86)</f>
        <v>0</v>
      </c>
      <c r="K86" s="139"/>
      <c r="L86" s="244" t="str">
        <f>H86</f>
        <v>Grazing (grasslands)</v>
      </c>
      <c r="M86" s="244">
        <f t="shared" ref="M86:M92" si="10">E86</f>
        <v>0</v>
      </c>
      <c r="N86" s="244">
        <f>IF(OR(H86=0,ISERROR(H86)),0,VLOOKUP($B86,'Standard data'!$C$80:$H$103,6,FALSE))</f>
        <v>0.6</v>
      </c>
      <c r="O86" s="139"/>
    </row>
    <row r="87" spans="2:44" ht="15">
      <c r="B87" s="211" t="s">
        <v>22</v>
      </c>
      <c r="C87" s="211"/>
      <c r="D87" s="211"/>
      <c r="E87" s="244">
        <f t="shared" si="8"/>
        <v>0</v>
      </c>
      <c r="H87" s="244" t="str">
        <f t="shared" si="9"/>
        <v>Grazing (grasslands)</v>
      </c>
      <c r="I87" s="244">
        <f>IF(OR(H87=0,ISERROR(H87)),0,VLOOKUP($H87,'Standard data'!$C$80:$G$103,4,FALSE)*D87)</f>
        <v>0</v>
      </c>
      <c r="J87" s="244">
        <f>IF(OR(H87=0,ISERROR(H87)),0,VLOOKUP($H87,'Standard data'!$C$80:$G$103,3,FALSE)/1000*D87)</f>
        <v>0</v>
      </c>
      <c r="K87" s="139"/>
      <c r="L87" s="244" t="str">
        <f t="shared" ref="L87:L92" si="11">H87</f>
        <v>Grazing (grasslands)</v>
      </c>
      <c r="M87" s="244">
        <f t="shared" si="10"/>
        <v>0</v>
      </c>
      <c r="N87" s="244">
        <f>IF(OR(H87=0,ISERROR(H87)),0,VLOOKUP($B87,'Standard data'!$C$80:$H$103,6,FALSE))</f>
        <v>0.6</v>
      </c>
      <c r="O87" s="139"/>
    </row>
    <row r="88" spans="2:44" ht="15">
      <c r="B88" s="211" t="s">
        <v>22</v>
      </c>
      <c r="C88" s="211"/>
      <c r="D88" s="211">
        <v>1</v>
      </c>
      <c r="E88" s="244">
        <f t="shared" si="8"/>
        <v>1</v>
      </c>
      <c r="H88" s="244" t="str">
        <f t="shared" si="9"/>
        <v>Grazing (grasslands)</v>
      </c>
      <c r="I88" s="244">
        <f>IF(OR(H88=0,ISERROR(H88)),0,VLOOKUP($H88,'Standard data'!$C$80:$G$103,4,FALSE)*D88)</f>
        <v>0</v>
      </c>
      <c r="J88" s="244">
        <f>IF(OR(H88=0,ISERROR(H88)),0,VLOOKUP($H88,'Standard data'!$C$80:$G$103,3,FALSE)/1000*D88)</f>
        <v>8.6999999999999994E-2</v>
      </c>
      <c r="K88" s="139"/>
      <c r="L88" s="244" t="str">
        <f t="shared" si="11"/>
        <v>Grazing (grasslands)</v>
      </c>
      <c r="M88" s="244">
        <f t="shared" si="10"/>
        <v>1</v>
      </c>
      <c r="N88" s="244">
        <f>IF(OR(H88=0,ISERROR(H88)),0,VLOOKUP($B88,'Standard data'!$C$80:$H$103,6,FALSE))</f>
        <v>0.6</v>
      </c>
      <c r="O88" s="139"/>
    </row>
    <row r="89" spans="2:44" ht="15">
      <c r="B89" s="211" t="s">
        <v>22</v>
      </c>
      <c r="C89" s="211"/>
      <c r="D89" s="211">
        <v>1</v>
      </c>
      <c r="E89" s="244">
        <f t="shared" si="8"/>
        <v>1</v>
      </c>
      <c r="H89" s="244" t="str">
        <f t="shared" si="9"/>
        <v>Grazing (grasslands)</v>
      </c>
      <c r="I89" s="244">
        <f>IF(OR(H89=0,ISERROR(H89)),0,VLOOKUP($H89,'Standard data'!$C$80:$G$103,4,FALSE)*D89)</f>
        <v>0</v>
      </c>
      <c r="J89" s="244">
        <f>IF(OR(H89=0,ISERROR(H89)),0,VLOOKUP($H89,'Standard data'!$C$80:$G$103,3,FALSE)/1000*D89)</f>
        <v>8.6999999999999994E-2</v>
      </c>
      <c r="K89" s="139"/>
      <c r="L89" s="244" t="str">
        <f t="shared" si="11"/>
        <v>Grazing (grasslands)</v>
      </c>
      <c r="M89" s="244">
        <f t="shared" si="10"/>
        <v>1</v>
      </c>
      <c r="N89" s="244">
        <f>IF(OR(H89=0,ISERROR(H89)),0,VLOOKUP($B89,'Standard data'!$C$80:$H$103,6,FALSE))</f>
        <v>0.6</v>
      </c>
      <c r="O89" s="139"/>
    </row>
    <row r="90" spans="2:44" ht="15">
      <c r="B90" s="211" t="s">
        <v>22</v>
      </c>
      <c r="C90" s="211"/>
      <c r="D90" s="211">
        <v>1</v>
      </c>
      <c r="E90" s="244">
        <f t="shared" si="8"/>
        <v>1</v>
      </c>
      <c r="H90" s="244" t="str">
        <f t="shared" si="9"/>
        <v>Grazing (grasslands)</v>
      </c>
      <c r="I90" s="244">
        <f>IF(OR(H90=0,ISERROR(H90)),0,VLOOKUP($H90,'Standard data'!$C$80:$G$103,4,FALSE)*D90)</f>
        <v>0</v>
      </c>
      <c r="J90" s="244">
        <f>IF(OR(H90=0,ISERROR(H90)),0,VLOOKUP($H90,'Standard data'!$C$80:$G$103,3,FALSE)/1000*D90)</f>
        <v>8.6999999999999994E-2</v>
      </c>
      <c r="K90" s="139"/>
      <c r="L90" s="244" t="str">
        <f t="shared" si="11"/>
        <v>Grazing (grasslands)</v>
      </c>
      <c r="M90" s="244">
        <f t="shared" si="10"/>
        <v>1</v>
      </c>
      <c r="N90" s="244">
        <f>IF(OR(H90=0,ISERROR(H90)),0,VLOOKUP($B90,'Standard data'!$C$80:$H$103,6,FALSE))</f>
        <v>0.6</v>
      </c>
      <c r="O90" s="139"/>
    </row>
    <row r="91" spans="2:44" ht="15">
      <c r="B91" s="211" t="s">
        <v>22</v>
      </c>
      <c r="C91" s="211"/>
      <c r="D91" s="211"/>
      <c r="E91" s="244">
        <f t="shared" si="8"/>
        <v>0</v>
      </c>
      <c r="H91" s="244" t="str">
        <f t="shared" si="9"/>
        <v>Grazing (grasslands)</v>
      </c>
      <c r="I91" s="244">
        <f>IF(OR(H91=0,ISERROR(H91)),0,VLOOKUP($H91,'Standard data'!$C$80:$G$103,4,FALSE)*D91)</f>
        <v>0</v>
      </c>
      <c r="J91" s="244">
        <f>IF(OR(H91=0,ISERROR(H91)),0,VLOOKUP($H91,'Standard data'!$C$80:$G$103,3,FALSE)/1000*D91)</f>
        <v>0</v>
      </c>
      <c r="K91" s="139"/>
      <c r="L91" s="244" t="str">
        <f t="shared" si="11"/>
        <v>Grazing (grasslands)</v>
      </c>
      <c r="M91" s="244">
        <f t="shared" si="10"/>
        <v>0</v>
      </c>
      <c r="N91" s="244">
        <f>IF(OR(H91=0,ISERROR(H91)),0,VLOOKUP($B91,'Standard data'!$C$80:$H$103,6,FALSE))</f>
        <v>0.6</v>
      </c>
      <c r="O91" s="139"/>
    </row>
    <row r="92" spans="2:44" ht="15">
      <c r="B92" s="211" t="s">
        <v>22</v>
      </c>
      <c r="C92" s="211"/>
      <c r="D92" s="211"/>
      <c r="E92" s="244">
        <f t="shared" si="8"/>
        <v>0</v>
      </c>
      <c r="H92" s="244" t="str">
        <f t="shared" si="9"/>
        <v>Grazing (grasslands)</v>
      </c>
      <c r="I92" s="244">
        <f>IF(OR(H92=0,ISERROR(H92)),0,VLOOKUP($H92,'Standard data'!$C$80:$G$103,4,FALSE)*D92)</f>
        <v>0</v>
      </c>
      <c r="J92" s="244">
        <f>IF(OR(H92=0,ISERROR(H92)),0,VLOOKUP($H92,'Standard data'!$C$80:$G$103,3,FALSE)/1000*D92)</f>
        <v>0</v>
      </c>
      <c r="K92" s="139"/>
      <c r="L92" s="244" t="str">
        <f t="shared" si="11"/>
        <v>Grazing (grasslands)</v>
      </c>
      <c r="M92" s="244">
        <f t="shared" si="10"/>
        <v>0</v>
      </c>
      <c r="N92" s="244">
        <f>IF(OR(H92=0,ISERROR(H92)),0,VLOOKUP($B92,'Standard data'!$C$80:$H$103,6,FALSE))</f>
        <v>0.6</v>
      </c>
      <c r="O92" s="139"/>
    </row>
    <row r="93" spans="2:44" ht="15">
      <c r="B93" s="32"/>
      <c r="C93" s="136"/>
      <c r="D93" s="136"/>
      <c r="E93" s="244">
        <f>SUM(E86:E92)</f>
        <v>3</v>
      </c>
      <c r="H93" s="244" t="str">
        <f>CONCATENATE(H84," - ",I84)</f>
        <v>SHEEP (milk and meat) - Forage</v>
      </c>
      <c r="I93" s="244">
        <f>SUM(I86:I92)</f>
        <v>0</v>
      </c>
      <c r="J93" s="244">
        <f>SUM(J86:J92)</f>
        <v>0.26100000000000001</v>
      </c>
      <c r="K93" s="139"/>
      <c r="L93" s="244" t="str">
        <f>I96</f>
        <v>FEED - Simple</v>
      </c>
      <c r="M93" s="244">
        <f>C102+D102</f>
        <v>3</v>
      </c>
      <c r="N93" s="244">
        <f>'Standard data'!H103</f>
        <v>0.85</v>
      </c>
      <c r="O93" s="139"/>
    </row>
    <row r="94" spans="2:44" ht="15">
      <c r="H94" s="147"/>
      <c r="I94" s="147"/>
      <c r="J94" s="147"/>
      <c r="K94" s="139"/>
      <c r="L94" s="244" t="str">
        <f>I104</f>
        <v>Complex feed</v>
      </c>
      <c r="M94" s="244">
        <f>D109</f>
        <v>3</v>
      </c>
      <c r="N94" s="244">
        <f>N93</f>
        <v>0.85</v>
      </c>
      <c r="O94" s="139"/>
    </row>
    <row r="95" spans="2:44" ht="15">
      <c r="H95" s="139"/>
      <c r="I95" s="139"/>
      <c r="J95" s="139"/>
      <c r="K95" s="139"/>
      <c r="L95" s="244" t="str">
        <f>I112</f>
        <v>Self mixed feed</v>
      </c>
      <c r="M95" s="244">
        <f>D114</f>
        <v>6</v>
      </c>
      <c r="N95" s="244">
        <f>N93</f>
        <v>0.85</v>
      </c>
      <c r="O95" s="139"/>
      <c r="AN95" s="9"/>
      <c r="AO95" s="9"/>
      <c r="AP95" s="9"/>
      <c r="AQ95" s="9"/>
      <c r="AR95" s="9"/>
    </row>
    <row r="96" spans="2:44" ht="15">
      <c r="B96" s="28" t="s">
        <v>453</v>
      </c>
      <c r="C96" s="132" t="s">
        <v>636</v>
      </c>
      <c r="D96" s="132" t="s">
        <v>635</v>
      </c>
      <c r="H96" s="244" t="str">
        <f>B83</f>
        <v>SHEEP (milk and meat)</v>
      </c>
      <c r="I96" s="244" t="str">
        <f>B96</f>
        <v>FEED - Simple</v>
      </c>
      <c r="J96" s="244"/>
      <c r="K96" s="139"/>
      <c r="L96" s="244" t="str">
        <f>H84</f>
        <v>SHEEP (milk and meat)</v>
      </c>
      <c r="M96" s="244" t="s">
        <v>29</v>
      </c>
      <c r="N96" s="244">
        <f>IF(SUM(M86:M95)=0,0,SUMPRODUCT(M86:M95,N86:N95)/SUM(M86:M95))</f>
        <v>0.8</v>
      </c>
      <c r="O96" s="142"/>
      <c r="T96" s="18"/>
      <c r="X96" s="9"/>
      <c r="Y96" s="9"/>
      <c r="AG96" s="18"/>
      <c r="AH96" s="26"/>
      <c r="AI96" s="24"/>
      <c r="AJ96" s="24"/>
      <c r="AK96" s="18"/>
      <c r="AN96" s="9"/>
      <c r="AO96" s="9"/>
      <c r="AP96" s="9"/>
      <c r="AQ96" s="9"/>
      <c r="AR96" s="9"/>
    </row>
    <row r="97" spans="2:44" s="18" customFormat="1" ht="15">
      <c r="B97" s="211" t="s">
        <v>112</v>
      </c>
      <c r="C97" s="211"/>
      <c r="D97" s="211"/>
      <c r="E97" s="1"/>
      <c r="F97" s="1"/>
      <c r="G97" s="1"/>
      <c r="H97" s="244"/>
      <c r="I97" s="244" t="s">
        <v>17</v>
      </c>
      <c r="J97" s="244" t="s">
        <v>18</v>
      </c>
      <c r="K97" s="141"/>
      <c r="L97" s="244" t="str">
        <f>H84</f>
        <v>SHEEP (milk and meat)</v>
      </c>
      <c r="M97" s="244" t="s">
        <v>30</v>
      </c>
      <c r="N97" s="244">
        <f>9.75-(0.05*N96*100)</f>
        <v>5.7499999999999991</v>
      </c>
      <c r="O97" s="142"/>
      <c r="X97" s="9"/>
      <c r="Y97" s="9"/>
      <c r="AH97" s="26"/>
      <c r="AI97" s="24"/>
      <c r="AJ97" s="24"/>
      <c r="AN97" s="9"/>
      <c r="AO97" s="9"/>
      <c r="AP97" s="9"/>
      <c r="AQ97" s="9"/>
      <c r="AR97" s="9"/>
    </row>
    <row r="98" spans="2:44" ht="15">
      <c r="B98" s="211" t="s">
        <v>112</v>
      </c>
      <c r="C98" s="211"/>
      <c r="D98" s="211">
        <v>1</v>
      </c>
      <c r="H98" s="244" t="str">
        <f>B97</f>
        <v>Wheat</v>
      </c>
      <c r="I98" s="244">
        <f>IF(OR(H98=0,ISERROR(H98)),0,VLOOKUP($H98,'Standard data'!$C$110:$G$133,4,FALSE)*D97)</f>
        <v>0</v>
      </c>
      <c r="J98" s="244">
        <f>IF(OR(H98=0,ISERROR(H98)),0,VLOOKUP($H98,'Standard data'!$C$110:$G$133,3,FALSE)/1000*$D97)</f>
        <v>0</v>
      </c>
      <c r="K98" s="139"/>
      <c r="L98" s="143"/>
      <c r="M98" s="143"/>
      <c r="N98" s="144"/>
      <c r="O98" s="145"/>
      <c r="T98" s="18"/>
      <c r="X98" s="9"/>
      <c r="Y98" s="9"/>
      <c r="AG98" s="18"/>
      <c r="AH98" s="26"/>
      <c r="AI98" s="24"/>
      <c r="AJ98" s="24"/>
      <c r="AK98" s="18"/>
      <c r="AN98" s="9"/>
      <c r="AO98" s="9"/>
      <c r="AP98" s="9"/>
      <c r="AQ98" s="9"/>
      <c r="AR98" s="9"/>
    </row>
    <row r="99" spans="2:44" ht="15">
      <c r="B99" s="211" t="s">
        <v>112</v>
      </c>
      <c r="C99" s="211"/>
      <c r="D99" s="211">
        <v>1</v>
      </c>
      <c r="H99" s="244" t="str">
        <f>B98</f>
        <v>Wheat</v>
      </c>
      <c r="I99" s="244">
        <f>IF(OR(H99=0,ISERROR(H99)),0,VLOOKUP($H99,'Standard data'!$C$110:$G$133,4,FALSE)*D98)</f>
        <v>2.5630000000000002</v>
      </c>
      <c r="J99" s="244">
        <f>IF(OR(H99=0,ISERROR(H99)),0,VLOOKUP($H99,'Standard data'!$C$110:$G$133,3,FALSE)/1000*$D98)</f>
        <v>0.35299999999999998</v>
      </c>
      <c r="K99" s="139"/>
      <c r="L99" s="143"/>
      <c r="M99" s="143"/>
      <c r="N99" s="144"/>
      <c r="O99" s="145"/>
      <c r="T99" s="18"/>
      <c r="X99" s="9"/>
      <c r="Y99" s="9"/>
      <c r="AG99" s="18"/>
      <c r="AH99" s="26"/>
      <c r="AI99" s="24"/>
      <c r="AJ99" s="24"/>
      <c r="AK99" s="18"/>
      <c r="AN99" s="9"/>
      <c r="AO99" s="9"/>
      <c r="AP99" s="9"/>
      <c r="AQ99" s="9"/>
      <c r="AR99" s="9"/>
    </row>
    <row r="100" spans="2:44" ht="15">
      <c r="B100" s="211" t="s">
        <v>112</v>
      </c>
      <c r="C100" s="211"/>
      <c r="D100" s="211">
        <v>1</v>
      </c>
      <c r="H100" s="244" t="str">
        <f>B99</f>
        <v>Wheat</v>
      </c>
      <c r="I100" s="244">
        <f>IF(OR(H100=0,ISERROR(H100)),0,VLOOKUP($H100,'Standard data'!$C$110:$G$133,4,FALSE)*D99)</f>
        <v>2.5630000000000002</v>
      </c>
      <c r="J100" s="244">
        <f>IF(OR(H100=0,ISERROR(H100)),0,VLOOKUP($H100,'Standard data'!$C$110:$G$133,3,FALSE)/1000*$D99)</f>
        <v>0.35299999999999998</v>
      </c>
      <c r="K100" s="139"/>
      <c r="L100" s="143"/>
      <c r="M100" s="143"/>
      <c r="N100" s="144"/>
      <c r="O100" s="145"/>
      <c r="T100" s="18"/>
      <c r="X100" s="9"/>
      <c r="Y100" s="9"/>
      <c r="AG100" s="18"/>
      <c r="AH100" s="26"/>
      <c r="AI100" s="24"/>
      <c r="AJ100" s="24"/>
      <c r="AK100" s="18"/>
      <c r="AN100" s="9"/>
      <c r="AO100" s="9"/>
      <c r="AP100" s="9"/>
      <c r="AQ100" s="9"/>
      <c r="AR100" s="9"/>
    </row>
    <row r="101" spans="2:44" ht="15">
      <c r="B101" s="211" t="s">
        <v>112</v>
      </c>
      <c r="C101" s="211"/>
      <c r="D101" s="211"/>
      <c r="H101" s="244" t="str">
        <f>B100</f>
        <v>Wheat</v>
      </c>
      <c r="I101" s="244">
        <f>IF(OR(H101=0,ISERROR(H101)),0,VLOOKUP($H101,'Standard data'!$C$110:$G$133,4,FALSE)*D100)</f>
        <v>2.5630000000000002</v>
      </c>
      <c r="J101" s="244">
        <f>IF(OR(H101=0,ISERROR(H101)),0,VLOOKUP($H101,'Standard data'!$C$110:$G$133,3,FALSE)/1000*$D100)</f>
        <v>0.35299999999999998</v>
      </c>
      <c r="K101" s="139"/>
      <c r="L101" s="143"/>
      <c r="M101" s="143"/>
      <c r="N101" s="144"/>
      <c r="O101" s="145"/>
      <c r="T101" s="18"/>
      <c r="X101" s="9"/>
      <c r="Y101" s="9"/>
      <c r="AG101" s="18"/>
      <c r="AH101" s="26"/>
      <c r="AI101" s="24"/>
      <c r="AJ101" s="24"/>
      <c r="AK101" s="18"/>
      <c r="AN101" s="9"/>
      <c r="AO101" s="9"/>
      <c r="AP101" s="9"/>
      <c r="AQ101" s="9"/>
      <c r="AR101" s="9"/>
    </row>
    <row r="102" spans="2:44" ht="15">
      <c r="B102" s="244" t="s">
        <v>445</v>
      </c>
      <c r="C102" s="244">
        <f>SUM(C97:C101)</f>
        <v>0</v>
      </c>
      <c r="D102" s="244">
        <f>SUM(D97:D101)</f>
        <v>3</v>
      </c>
      <c r="H102" s="244" t="str">
        <f>B101</f>
        <v>Wheat</v>
      </c>
      <c r="I102" s="244">
        <f>IF(OR(H102=0,ISERROR(H102)),0,VLOOKUP($H102,'Standard data'!$C$110:$G$133,4,FALSE)*D101)</f>
        <v>0</v>
      </c>
      <c r="J102" s="244">
        <f>IF(OR(H102=0,ISERROR(H102)),0,VLOOKUP($H102,'Standard data'!$C$110:$G$133,3,FALSE)/1000*$D101)</f>
        <v>0</v>
      </c>
      <c r="K102" s="139"/>
      <c r="L102" s="143"/>
      <c r="M102" s="143"/>
      <c r="N102" s="144"/>
      <c r="O102" s="145"/>
      <c r="T102" s="18"/>
      <c r="X102" s="9"/>
      <c r="Y102" s="9"/>
      <c r="AG102" s="18"/>
      <c r="AH102" s="26"/>
      <c r="AI102" s="24"/>
      <c r="AJ102" s="24"/>
      <c r="AK102" s="18"/>
      <c r="AN102" s="9"/>
      <c r="AO102" s="9"/>
      <c r="AP102" s="9"/>
      <c r="AQ102" s="9"/>
      <c r="AR102" s="9"/>
    </row>
    <row r="103" spans="2:44" ht="15">
      <c r="B103" s="28" t="s">
        <v>446</v>
      </c>
      <c r="C103" s="23"/>
      <c r="D103" s="132"/>
      <c r="H103" s="244" t="s">
        <v>445</v>
      </c>
      <c r="I103" s="244">
        <f>SUM(I98:I102)</f>
        <v>7.6890000000000001</v>
      </c>
      <c r="J103" s="244">
        <f>SUM(J98:J102)</f>
        <v>1.0589999999999999</v>
      </c>
      <c r="K103" s="146"/>
      <c r="L103" s="143"/>
      <c r="M103" s="143"/>
      <c r="N103" s="144"/>
      <c r="O103" s="145"/>
      <c r="T103" s="18"/>
      <c r="X103" s="9"/>
      <c r="Y103" s="9"/>
      <c r="AG103" s="18"/>
      <c r="AH103" s="26"/>
      <c r="AI103" s="24"/>
      <c r="AJ103" s="24"/>
      <c r="AK103" s="18"/>
      <c r="AN103" s="9"/>
      <c r="AO103" s="33"/>
      <c r="AP103" s="34"/>
      <c r="AQ103" s="34"/>
      <c r="AR103" s="9"/>
    </row>
    <row r="104" spans="2:44" ht="30">
      <c r="B104" s="211" t="s">
        <v>121</v>
      </c>
      <c r="C104" s="38"/>
      <c r="D104" s="211"/>
      <c r="H104" s="244" t="str">
        <f>B83</f>
        <v>SHEEP (milk and meat)</v>
      </c>
      <c r="I104" s="244" t="str">
        <f>B103</f>
        <v>Complex feed</v>
      </c>
      <c r="J104" s="244"/>
      <c r="K104" s="139"/>
      <c r="L104" s="147"/>
      <c r="M104" s="147"/>
      <c r="N104" s="148"/>
      <c r="O104" s="149"/>
      <c r="X104" s="9"/>
      <c r="Y104" s="9"/>
      <c r="AG104" s="18"/>
      <c r="AH104" s="26"/>
      <c r="AI104" s="24"/>
      <c r="AJ104" s="24"/>
      <c r="AK104" s="18"/>
      <c r="AN104" s="9"/>
      <c r="AO104" s="33"/>
      <c r="AP104" s="34"/>
      <c r="AQ104" s="34"/>
      <c r="AR104" s="9"/>
    </row>
    <row r="105" spans="2:44" s="18" customFormat="1" ht="30">
      <c r="B105" s="211" t="s">
        <v>121</v>
      </c>
      <c r="C105" s="38"/>
      <c r="D105" s="211">
        <v>1</v>
      </c>
      <c r="E105" s="1"/>
      <c r="F105" s="1"/>
      <c r="G105" s="1"/>
      <c r="H105" s="244"/>
      <c r="I105" s="244" t="s">
        <v>17</v>
      </c>
      <c r="J105" s="244" t="s">
        <v>18</v>
      </c>
      <c r="K105" s="141"/>
      <c r="L105" s="147"/>
      <c r="M105" s="147"/>
      <c r="N105" s="150"/>
      <c r="O105" s="151"/>
      <c r="X105" s="9"/>
      <c r="Y105" s="9"/>
      <c r="AH105" s="26"/>
      <c r="AI105" s="24"/>
      <c r="AJ105" s="24"/>
      <c r="AN105" s="9"/>
      <c r="AO105" s="9"/>
      <c r="AP105" s="9"/>
      <c r="AQ105" s="9"/>
      <c r="AR105" s="9"/>
    </row>
    <row r="106" spans="2:44" ht="30">
      <c r="B106" s="211" t="s">
        <v>121</v>
      </c>
      <c r="C106" s="38"/>
      <c r="D106" s="211">
        <v>1</v>
      </c>
      <c r="H106" s="244" t="str">
        <f>B104</f>
        <v>Meat sheep, 16% crude protein, pellet form</v>
      </c>
      <c r="I106" s="244">
        <f>IF(OR(H106=0,ISERROR(H106)),0,VLOOKUP($H106,'Standard data'!$C$204:$G$220,4,FALSE)*D104)</f>
        <v>0</v>
      </c>
      <c r="J106" s="244">
        <f>IF(OR(H106=0,ISERROR(H106)),0,VLOOKUP($H106,'Standard data'!$C$204:$G$220,3,FALSE)/1000*$D104)</f>
        <v>0</v>
      </c>
      <c r="K106" s="139"/>
      <c r="L106" s="152"/>
      <c r="M106" s="147"/>
      <c r="N106" s="148"/>
      <c r="O106" s="149"/>
      <c r="X106" s="9"/>
      <c r="Y106" s="9"/>
      <c r="AG106" s="18"/>
      <c r="AH106" s="26"/>
      <c r="AI106" s="24"/>
      <c r="AJ106" s="24"/>
      <c r="AK106" s="18"/>
      <c r="AN106" s="9"/>
      <c r="AO106" s="33"/>
      <c r="AP106" s="34"/>
      <c r="AQ106" s="34"/>
      <c r="AR106" s="9"/>
    </row>
    <row r="107" spans="2:44" ht="30">
      <c r="B107" s="211" t="s">
        <v>121</v>
      </c>
      <c r="C107" s="38"/>
      <c r="D107" s="211">
        <v>1</v>
      </c>
      <c r="H107" s="244" t="str">
        <f>B105</f>
        <v>Meat sheep, 16% crude protein, pellet form</v>
      </c>
      <c r="I107" s="244">
        <f>IF(OR(H107=0,ISERROR(H107)),0,VLOOKUP($H107,'Standard data'!$C$204:$G$220,4,FALSE)*D105)</f>
        <v>3.173</v>
      </c>
      <c r="J107" s="244">
        <f>IF(OR(H107=0,ISERROR(H107)),0,VLOOKUP($H107,'Standard data'!$C$204:$G$220,3,FALSE)/1000*$D105)</f>
        <v>0.51200000000000001</v>
      </c>
      <c r="K107" s="139"/>
      <c r="L107" s="152"/>
      <c r="M107" s="147"/>
      <c r="N107" s="148"/>
      <c r="O107" s="149"/>
      <c r="X107" s="9"/>
      <c r="Y107" s="9"/>
      <c r="AG107" s="18"/>
      <c r="AH107" s="39"/>
      <c r="AI107" s="40"/>
      <c r="AJ107" s="40"/>
      <c r="AK107" s="18"/>
      <c r="AN107" s="9"/>
      <c r="AO107" s="33"/>
      <c r="AP107" s="34"/>
      <c r="AQ107" s="34"/>
      <c r="AR107" s="9"/>
    </row>
    <row r="108" spans="2:44" ht="30">
      <c r="B108" s="211" t="s">
        <v>121</v>
      </c>
      <c r="C108" s="38"/>
      <c r="D108" s="211"/>
      <c r="H108" s="244" t="str">
        <f>B106</f>
        <v>Meat sheep, 16% crude protein, pellet form</v>
      </c>
      <c r="I108" s="244">
        <f>IF(OR(H108=0,ISERROR(H108)),0,VLOOKUP($H108,'Standard data'!$C$204:$G$220,4,FALSE)*D106)</f>
        <v>3.173</v>
      </c>
      <c r="J108" s="244">
        <f>IF(OR(H108=0,ISERROR(H108)),0,VLOOKUP($H108,'Standard data'!$C$204:$G$220,3,FALSE)/1000*$D106)</f>
        <v>0.51200000000000001</v>
      </c>
      <c r="K108" s="139"/>
      <c r="L108" s="152"/>
      <c r="M108" s="147"/>
      <c r="N108" s="148"/>
      <c r="O108" s="149"/>
      <c r="X108" s="9"/>
      <c r="Y108" s="9"/>
      <c r="AG108" s="18"/>
      <c r="AH108" s="26"/>
      <c r="AI108" s="24"/>
      <c r="AJ108" s="24"/>
      <c r="AK108" s="18"/>
      <c r="AN108" s="9"/>
      <c r="AO108" s="33"/>
      <c r="AP108" s="34"/>
      <c r="AQ108" s="34"/>
      <c r="AR108" s="9"/>
    </row>
    <row r="109" spans="2:44" ht="15">
      <c r="B109" s="244" t="s">
        <v>445</v>
      </c>
      <c r="C109" s="244"/>
      <c r="D109" s="244">
        <f>SUM(D104:D108)</f>
        <v>3</v>
      </c>
      <c r="H109" s="244" t="str">
        <f>B107</f>
        <v>Meat sheep, 16% crude protein, pellet form</v>
      </c>
      <c r="I109" s="244">
        <f>IF(OR(H109=0,ISERROR(H109)),0,VLOOKUP($H109,'Standard data'!$C$204:$G$220,4,FALSE)*D107)</f>
        <v>3.173</v>
      </c>
      <c r="J109" s="244">
        <f>IF(OR(H109=0,ISERROR(H109)),0,VLOOKUP($H109,'Standard data'!$C$204:$G$220,3,FALSE)/1000*$D107)</f>
        <v>0.51200000000000001</v>
      </c>
      <c r="K109" s="139"/>
      <c r="L109" s="152"/>
      <c r="M109" s="147"/>
      <c r="N109" s="148"/>
      <c r="O109" s="149"/>
      <c r="X109" s="9"/>
      <c r="Y109" s="9"/>
      <c r="AG109" s="18"/>
      <c r="AH109" s="26"/>
      <c r="AI109" s="24"/>
      <c r="AJ109" s="24"/>
      <c r="AK109" s="18"/>
      <c r="AN109" s="9"/>
      <c r="AO109" s="33"/>
      <c r="AP109" s="34"/>
      <c r="AQ109" s="34"/>
      <c r="AR109" s="9"/>
    </row>
    <row r="110" spans="2:44" ht="15">
      <c r="B110" s="28" t="s">
        <v>448</v>
      </c>
      <c r="C110" s="23"/>
      <c r="D110" s="132"/>
      <c r="H110" s="244" t="str">
        <f>B108</f>
        <v>Meat sheep, 16% crude protein, pellet form</v>
      </c>
      <c r="I110" s="244">
        <f>IF(OR(H110=0,ISERROR(H110)),0,VLOOKUP($H110,'Standard data'!$C$204:$G$220,4,FALSE)*D108)</f>
        <v>0</v>
      </c>
      <c r="J110" s="244">
        <f>IF(OR(H110=0,ISERROR(H110)),0,VLOOKUP($H110,'Standard data'!$C$204:$G$220,3,FALSE)/1000*$D108)</f>
        <v>0</v>
      </c>
      <c r="K110" s="139"/>
      <c r="L110" s="152"/>
      <c r="M110" s="147"/>
      <c r="N110" s="148"/>
      <c r="O110" s="149"/>
      <c r="X110" s="9"/>
      <c r="Y110" s="9"/>
      <c r="AG110" s="18"/>
      <c r="AH110" s="26"/>
      <c r="AI110" s="24"/>
      <c r="AJ110" s="24"/>
      <c r="AK110" s="18"/>
      <c r="AN110" s="9"/>
      <c r="AO110" s="33"/>
      <c r="AP110" s="34"/>
      <c r="AQ110" s="34"/>
      <c r="AR110" s="9"/>
    </row>
    <row r="111" spans="2:44" s="9" customFormat="1" ht="15">
      <c r="B111" s="211" t="s">
        <v>442</v>
      </c>
      <c r="C111" s="38"/>
      <c r="D111" s="211">
        <v>2</v>
      </c>
      <c r="E111" s="1"/>
      <c r="F111" s="1"/>
      <c r="G111" s="1"/>
      <c r="H111" s="244" t="s">
        <v>445</v>
      </c>
      <c r="I111" s="244">
        <f>SUM(I105:I110)</f>
        <v>9.5190000000000001</v>
      </c>
      <c r="J111" s="244">
        <f>SUM(J105:J110)</f>
        <v>1.536</v>
      </c>
      <c r="K111" s="146"/>
      <c r="L111" s="152"/>
      <c r="M111" s="147"/>
      <c r="N111" s="148"/>
      <c r="O111" s="149"/>
      <c r="AH111" s="26"/>
      <c r="AI111" s="24"/>
      <c r="AJ111" s="24"/>
      <c r="AO111" s="33"/>
      <c r="AP111" s="34"/>
      <c r="AQ111" s="34"/>
    </row>
    <row r="112" spans="2:44" s="9" customFormat="1" ht="30">
      <c r="B112" s="211" t="s">
        <v>443</v>
      </c>
      <c r="C112" s="38"/>
      <c r="D112" s="211">
        <v>2</v>
      </c>
      <c r="E112" s="1"/>
      <c r="F112" s="1"/>
      <c r="G112" s="1"/>
      <c r="H112" s="244" t="str">
        <f>B83</f>
        <v>SHEEP (milk and meat)</v>
      </c>
      <c r="I112" s="244" t="str">
        <f>B110</f>
        <v>Self mixed feed</v>
      </c>
      <c r="J112" s="244"/>
      <c r="K112" s="147"/>
      <c r="L112" s="147"/>
      <c r="M112" s="147"/>
      <c r="N112" s="147"/>
      <c r="O112" s="147"/>
      <c r="AH112" s="26"/>
      <c r="AI112" s="24"/>
      <c r="AJ112" s="24"/>
      <c r="AO112" s="33"/>
      <c r="AP112" s="34"/>
      <c r="AQ112" s="34"/>
    </row>
    <row r="113" spans="2:44" s="9" customFormat="1" ht="30">
      <c r="B113" s="211" t="s">
        <v>444</v>
      </c>
      <c r="C113" s="38"/>
      <c r="D113" s="211">
        <v>2</v>
      </c>
      <c r="E113" s="1"/>
      <c r="F113" s="1"/>
      <c r="G113" s="1"/>
      <c r="H113" s="244"/>
      <c r="I113" s="244"/>
      <c r="J113" s="244" t="s">
        <v>18</v>
      </c>
      <c r="K113" s="141"/>
      <c r="L113" s="147"/>
      <c r="M113" s="147"/>
      <c r="N113" s="147"/>
      <c r="O113" s="147"/>
      <c r="AH113" s="26"/>
      <c r="AI113" s="24"/>
      <c r="AJ113" s="24"/>
      <c r="AO113" s="33"/>
      <c r="AP113" s="34"/>
      <c r="AQ113" s="34"/>
    </row>
    <row r="114" spans="2:44" s="9" customFormat="1" ht="15">
      <c r="B114" s="244" t="s">
        <v>445</v>
      </c>
      <c r="C114" s="244"/>
      <c r="D114" s="244">
        <f>SUM(D111:D113)</f>
        <v>6</v>
      </c>
      <c r="E114" s="1"/>
      <c r="F114" s="1"/>
      <c r="G114" s="1"/>
      <c r="H114" s="244" t="str">
        <f>B111</f>
        <v xml:space="preserve">Cereals </v>
      </c>
      <c r="I114" s="244"/>
      <c r="J114" s="244">
        <f>'Standard data'!$D$319*$D111</f>
        <v>2.0646648000000001</v>
      </c>
      <c r="K114" s="147"/>
      <c r="L114" s="147"/>
      <c r="M114" s="147"/>
      <c r="N114" s="147"/>
      <c r="O114" s="147"/>
      <c r="AH114" s="26"/>
      <c r="AI114" s="24"/>
      <c r="AJ114" s="24"/>
      <c r="AO114" s="33"/>
      <c r="AP114" s="34"/>
      <c r="AQ114" s="34"/>
    </row>
    <row r="115" spans="2:44" s="9" customFormat="1" ht="15">
      <c r="E115" s="1"/>
      <c r="F115" s="1"/>
      <c r="G115" s="1"/>
      <c r="H115" s="244" t="str">
        <f>B112</f>
        <v>Proteins (pulses, soy, distilled grains,…)</v>
      </c>
      <c r="I115" s="244"/>
      <c r="J115" s="244">
        <f>'Standard data'!$G$319*$D112</f>
        <v>5.3632387999999995</v>
      </c>
      <c r="K115" s="147"/>
      <c r="L115" s="147"/>
      <c r="M115" s="147"/>
      <c r="N115" s="147"/>
      <c r="O115" s="147"/>
      <c r="AH115" s="26"/>
      <c r="AI115" s="24"/>
      <c r="AJ115" s="24"/>
      <c r="AO115" s="33"/>
      <c r="AP115" s="34"/>
      <c r="AQ115" s="34"/>
    </row>
    <row r="116" spans="2:44" s="9" customFormat="1" ht="15">
      <c r="B116" s="211" t="s">
        <v>45</v>
      </c>
      <c r="C116" s="137"/>
      <c r="D116" s="211">
        <v>2</v>
      </c>
      <c r="E116" s="1"/>
      <c r="F116" s="1"/>
      <c r="G116" s="1"/>
      <c r="H116" s="244" t="str">
        <f>B113</f>
        <v>Energy (molasses, starch, co-products,…)</v>
      </c>
      <c r="I116" s="244"/>
      <c r="J116" s="244">
        <f>'Standard data'!$J$319*$D113</f>
        <v>0.47795159999999998</v>
      </c>
      <c r="K116" s="147"/>
      <c r="L116" s="147"/>
      <c r="M116" s="147"/>
      <c r="N116" s="147"/>
      <c r="O116" s="147"/>
      <c r="AH116" s="26"/>
      <c r="AI116" s="24"/>
      <c r="AJ116" s="24"/>
      <c r="AO116" s="33"/>
      <c r="AP116" s="34"/>
      <c r="AQ116" s="34"/>
    </row>
    <row r="117" spans="2:44" s="9" customFormat="1" ht="15">
      <c r="E117" s="1"/>
      <c r="F117" s="1"/>
      <c r="G117" s="1"/>
      <c r="H117" s="244" t="s">
        <v>445</v>
      </c>
      <c r="I117" s="244"/>
      <c r="J117" s="244">
        <f>SUM(J114:J116)</f>
        <v>7.9058551999999995</v>
      </c>
      <c r="K117" s="146"/>
      <c r="L117" s="147"/>
      <c r="M117" s="147"/>
      <c r="N117" s="147"/>
      <c r="O117" s="147"/>
      <c r="AH117" s="26"/>
      <c r="AI117" s="24"/>
      <c r="AJ117" s="24"/>
      <c r="AO117" s="33"/>
      <c r="AP117" s="34"/>
      <c r="AQ117" s="34"/>
    </row>
    <row r="118" spans="2:44" s="9" customFormat="1" ht="15">
      <c r="E118" s="1"/>
      <c r="F118" s="1"/>
      <c r="G118" s="1"/>
      <c r="H118" s="244"/>
      <c r="I118" s="244"/>
      <c r="J118" s="244"/>
      <c r="K118" s="147"/>
      <c r="L118" s="147"/>
      <c r="M118" s="147"/>
      <c r="N118" s="147"/>
      <c r="O118" s="147"/>
      <c r="AH118" s="26"/>
      <c r="AI118" s="24"/>
      <c r="AJ118" s="24"/>
      <c r="AO118" s="33"/>
      <c r="AP118" s="34"/>
      <c r="AQ118" s="34"/>
    </row>
    <row r="119" spans="2:44" ht="15">
      <c r="H119" s="244" t="str">
        <f>B116</f>
        <v>Milk powder</v>
      </c>
      <c r="I119" s="244">
        <f>VLOOKUP($H119,'Standard data'!$C$110:$G$133,4,FALSE)/1000*D116</f>
        <v>8.6599999999999996E-2</v>
      </c>
      <c r="J119" s="244">
        <f>VLOOKUP($H119,'Standard data'!$C$110:$G$133,3,FALSE)/1000*$D116/1000</f>
        <v>2.2000000000000001E-4</v>
      </c>
      <c r="K119" s="139"/>
      <c r="L119" s="143"/>
      <c r="M119" s="143"/>
      <c r="N119" s="144"/>
      <c r="O119" s="145"/>
      <c r="T119" s="18"/>
      <c r="X119" s="9"/>
      <c r="Y119" s="9"/>
      <c r="AG119" s="18"/>
      <c r="AH119" s="26"/>
      <c r="AI119" s="24"/>
      <c r="AJ119" s="24"/>
      <c r="AK119" s="18"/>
      <c r="AN119" s="9"/>
      <c r="AO119" s="33"/>
      <c r="AP119" s="34"/>
      <c r="AQ119" s="34"/>
      <c r="AR119" s="9"/>
    </row>
    <row r="120" spans="2:44" s="9" customFormat="1">
      <c r="H120" s="153"/>
      <c r="I120" s="154"/>
      <c r="J120" s="154"/>
      <c r="K120" s="147"/>
      <c r="L120" s="147"/>
      <c r="M120" s="147"/>
      <c r="N120" s="147"/>
      <c r="O120" s="147"/>
      <c r="AH120" s="26"/>
      <c r="AI120" s="24"/>
      <c r="AJ120" s="24"/>
      <c r="AO120" s="33"/>
      <c r="AP120" s="34"/>
      <c r="AQ120" s="34"/>
    </row>
    <row r="121" spans="2:44" s="9" customFormat="1">
      <c r="D121" s="44"/>
      <c r="E121" s="45"/>
      <c r="H121" s="147"/>
      <c r="I121" s="147"/>
      <c r="J121" s="147"/>
      <c r="K121" s="147"/>
      <c r="L121" s="147"/>
      <c r="M121" s="153"/>
      <c r="N121" s="154"/>
      <c r="O121" s="154"/>
      <c r="AI121" s="26"/>
      <c r="AJ121" s="24"/>
      <c r="AK121" s="24"/>
      <c r="AP121" s="33"/>
      <c r="AQ121" s="34"/>
      <c r="AR121" s="34"/>
    </row>
    <row r="122" spans="2:44" s="9" customFormat="1">
      <c r="D122" s="44"/>
      <c r="E122" s="45"/>
      <c r="H122" s="147"/>
      <c r="I122" s="147"/>
      <c r="J122" s="147"/>
      <c r="K122" s="147"/>
      <c r="L122" s="147"/>
      <c r="M122" s="153"/>
      <c r="N122" s="154"/>
      <c r="O122" s="154"/>
      <c r="AI122" s="26"/>
      <c r="AJ122" s="24"/>
      <c r="AK122" s="24"/>
      <c r="AP122" s="33"/>
      <c r="AQ122" s="34"/>
      <c r="AR122" s="34"/>
    </row>
    <row r="123" spans="2:44" s="9" customFormat="1" ht="15.75">
      <c r="B123" s="245" t="s">
        <v>122</v>
      </c>
      <c r="D123" s="44"/>
      <c r="E123" s="45"/>
      <c r="H123" s="147"/>
      <c r="I123" s="147"/>
      <c r="J123" s="147"/>
      <c r="K123" s="147"/>
      <c r="L123" s="147"/>
      <c r="M123" s="153"/>
      <c r="N123" s="154"/>
      <c r="O123" s="154"/>
      <c r="AI123" s="26"/>
      <c r="AJ123" s="24"/>
      <c r="AK123" s="24"/>
      <c r="AP123" s="33"/>
      <c r="AQ123" s="34"/>
      <c r="AR123" s="34"/>
    </row>
    <row r="124" spans="2:44" ht="15">
      <c r="B124" s="122" t="s">
        <v>14</v>
      </c>
      <c r="C124" s="132" t="s">
        <v>628</v>
      </c>
      <c r="D124" s="132" t="s">
        <v>629</v>
      </c>
      <c r="E124" s="244" t="s">
        <v>445</v>
      </c>
      <c r="H124" s="244" t="s">
        <v>122</v>
      </c>
      <c r="I124" s="244" t="str">
        <f>B124</f>
        <v>Forage</v>
      </c>
      <c r="J124" s="244"/>
      <c r="K124" s="139"/>
      <c r="L124" s="244" t="s">
        <v>16</v>
      </c>
      <c r="M124" s="244"/>
      <c r="N124" s="244"/>
      <c r="O124" s="141"/>
    </row>
    <row r="125" spans="2:44" ht="15">
      <c r="B125" s="81"/>
      <c r="C125" s="138"/>
      <c r="D125" s="138"/>
      <c r="E125" s="244"/>
      <c r="H125" s="244"/>
      <c r="I125" s="244" t="s">
        <v>17</v>
      </c>
      <c r="J125" s="244" t="s">
        <v>18</v>
      </c>
      <c r="K125" s="139"/>
      <c r="L125" s="244" t="s">
        <v>19</v>
      </c>
      <c r="M125" s="244" t="s">
        <v>20</v>
      </c>
      <c r="N125" s="244" t="s">
        <v>21</v>
      </c>
      <c r="O125" s="139"/>
    </row>
    <row r="126" spans="2:44" ht="15">
      <c r="B126" s="211" t="s">
        <v>22</v>
      </c>
      <c r="C126" s="211"/>
      <c r="D126" s="211"/>
      <c r="E126" s="244">
        <f t="shared" ref="E126:E132" si="12">D126+C126</f>
        <v>0</v>
      </c>
      <c r="H126" s="244" t="str">
        <f t="shared" ref="H126:H132" si="13">B126</f>
        <v>Grazing (grasslands)</v>
      </c>
      <c r="I126" s="244">
        <f>IF(OR(H126=0,ISERROR(H126)),0,VLOOKUP($H126,'Standard data'!$C$80:$G$103,4,FALSE)*D126)</f>
        <v>0</v>
      </c>
      <c r="J126" s="244">
        <f>IF(OR(H126=0,ISERROR(H126)),0,VLOOKUP($H126,'Standard data'!$C$80:$G$103,3,FALSE)/1000*D126)</f>
        <v>0</v>
      </c>
      <c r="K126" s="139"/>
      <c r="L126" s="244" t="str">
        <f>H126</f>
        <v>Grazing (grasslands)</v>
      </c>
      <c r="M126" s="244">
        <f t="shared" ref="M126:M132" si="14">E126</f>
        <v>0</v>
      </c>
      <c r="N126" s="244">
        <f>IF(OR(H126=0,ISERROR(H126)),0,VLOOKUP($B126,'Standard data'!$C$80:$H$103,6,FALSE))</f>
        <v>0.6</v>
      </c>
      <c r="O126" s="139"/>
    </row>
    <row r="127" spans="2:44" ht="15">
      <c r="B127" s="211" t="s">
        <v>22</v>
      </c>
      <c r="C127" s="211"/>
      <c r="D127" s="211"/>
      <c r="E127" s="244">
        <f t="shared" si="12"/>
        <v>0</v>
      </c>
      <c r="H127" s="244" t="str">
        <f t="shared" si="13"/>
        <v>Grazing (grasslands)</v>
      </c>
      <c r="I127" s="244">
        <f>IF(OR(H127=0,ISERROR(H127)),0,VLOOKUP($H127,'Standard data'!$C$80:$G$103,4,FALSE)*D127)</f>
        <v>0</v>
      </c>
      <c r="J127" s="244">
        <f>IF(OR(H127=0,ISERROR(H127)),0,VLOOKUP($H127,'Standard data'!$C$80:$G$103,3,FALSE)/1000*D127)</f>
        <v>0</v>
      </c>
      <c r="K127" s="139"/>
      <c r="L127" s="244" t="str">
        <f t="shared" ref="L127:L132" si="15">H127</f>
        <v>Grazing (grasslands)</v>
      </c>
      <c r="M127" s="244">
        <f t="shared" si="14"/>
        <v>0</v>
      </c>
      <c r="N127" s="244">
        <f>IF(OR(H127=0,ISERROR(H127)),0,VLOOKUP($B127,'Standard data'!$C$80:$H$103,6,FALSE))</f>
        <v>0.6</v>
      </c>
      <c r="O127" s="139"/>
    </row>
    <row r="128" spans="2:44" ht="15">
      <c r="B128" s="211" t="s">
        <v>22</v>
      </c>
      <c r="C128" s="211"/>
      <c r="D128" s="211">
        <v>1</v>
      </c>
      <c r="E128" s="244">
        <f t="shared" si="12"/>
        <v>1</v>
      </c>
      <c r="H128" s="244" t="str">
        <f t="shared" si="13"/>
        <v>Grazing (grasslands)</v>
      </c>
      <c r="I128" s="244">
        <f>IF(OR(H128=0,ISERROR(H128)),0,VLOOKUP($H128,'Standard data'!$C$80:$G$103,4,FALSE)*D128)</f>
        <v>0</v>
      </c>
      <c r="J128" s="244">
        <f>IF(OR(H128=0,ISERROR(H128)),0,VLOOKUP($H128,'Standard data'!$C$80:$G$103,3,FALSE)/1000*D128)</f>
        <v>8.6999999999999994E-2</v>
      </c>
      <c r="K128" s="139"/>
      <c r="L128" s="244" t="str">
        <f t="shared" si="15"/>
        <v>Grazing (grasslands)</v>
      </c>
      <c r="M128" s="244">
        <f t="shared" si="14"/>
        <v>1</v>
      </c>
      <c r="N128" s="244">
        <f>IF(OR(H128=0,ISERROR(H128)),0,VLOOKUP($B128,'Standard data'!$C$80:$H$103,6,FALSE))</f>
        <v>0.6</v>
      </c>
      <c r="O128" s="139"/>
    </row>
    <row r="129" spans="2:44" ht="15">
      <c r="B129" s="211" t="s">
        <v>22</v>
      </c>
      <c r="C129" s="211"/>
      <c r="D129" s="211">
        <v>1</v>
      </c>
      <c r="E129" s="244">
        <f t="shared" si="12"/>
        <v>1</v>
      </c>
      <c r="H129" s="244" t="str">
        <f t="shared" si="13"/>
        <v>Grazing (grasslands)</v>
      </c>
      <c r="I129" s="244">
        <f>IF(OR(H129=0,ISERROR(H129)),0,VLOOKUP($H129,'Standard data'!$C$80:$G$103,4,FALSE)*D129)</f>
        <v>0</v>
      </c>
      <c r="J129" s="244">
        <f>IF(OR(H129=0,ISERROR(H129)),0,VLOOKUP($H129,'Standard data'!$C$80:$G$103,3,FALSE)/1000*D129)</f>
        <v>8.6999999999999994E-2</v>
      </c>
      <c r="K129" s="139"/>
      <c r="L129" s="244" t="str">
        <f t="shared" si="15"/>
        <v>Grazing (grasslands)</v>
      </c>
      <c r="M129" s="244">
        <f t="shared" si="14"/>
        <v>1</v>
      </c>
      <c r="N129" s="244">
        <f>IF(OR(H129=0,ISERROR(H129)),0,VLOOKUP($B129,'Standard data'!$C$80:$H$103,6,FALSE))</f>
        <v>0.6</v>
      </c>
      <c r="O129" s="139"/>
    </row>
    <row r="130" spans="2:44" ht="15">
      <c r="B130" s="211" t="s">
        <v>22</v>
      </c>
      <c r="C130" s="211"/>
      <c r="D130" s="211">
        <v>1</v>
      </c>
      <c r="E130" s="244">
        <f t="shared" si="12"/>
        <v>1</v>
      </c>
      <c r="H130" s="244" t="str">
        <f t="shared" si="13"/>
        <v>Grazing (grasslands)</v>
      </c>
      <c r="I130" s="244">
        <f>IF(OR(H130=0,ISERROR(H130)),0,VLOOKUP($H130,'Standard data'!$C$80:$G$103,4,FALSE)*D130)</f>
        <v>0</v>
      </c>
      <c r="J130" s="244">
        <f>IF(OR(H130=0,ISERROR(H130)),0,VLOOKUP($H130,'Standard data'!$C$80:$G$103,3,FALSE)/1000*D130)</f>
        <v>8.6999999999999994E-2</v>
      </c>
      <c r="K130" s="139"/>
      <c r="L130" s="244" t="str">
        <f t="shared" si="15"/>
        <v>Grazing (grasslands)</v>
      </c>
      <c r="M130" s="244">
        <f t="shared" si="14"/>
        <v>1</v>
      </c>
      <c r="N130" s="244">
        <f>IF(OR(H130=0,ISERROR(H130)),0,VLOOKUP($B130,'Standard data'!$C$80:$H$103,6,FALSE))</f>
        <v>0.6</v>
      </c>
      <c r="O130" s="139"/>
    </row>
    <row r="131" spans="2:44" ht="15">
      <c r="B131" s="211" t="s">
        <v>22</v>
      </c>
      <c r="C131" s="211"/>
      <c r="D131" s="211"/>
      <c r="E131" s="244">
        <f t="shared" si="12"/>
        <v>0</v>
      </c>
      <c r="H131" s="244" t="str">
        <f t="shared" si="13"/>
        <v>Grazing (grasslands)</v>
      </c>
      <c r="I131" s="244">
        <f>IF(OR(H131=0,ISERROR(H131)),0,VLOOKUP($H131,'Standard data'!$C$80:$G$103,4,FALSE)*D131)</f>
        <v>0</v>
      </c>
      <c r="J131" s="244">
        <f>IF(OR(H131=0,ISERROR(H131)),0,VLOOKUP($H131,'Standard data'!$C$80:$G$103,3,FALSE)/1000*D131)</f>
        <v>0</v>
      </c>
      <c r="K131" s="139"/>
      <c r="L131" s="244" t="str">
        <f t="shared" si="15"/>
        <v>Grazing (grasslands)</v>
      </c>
      <c r="M131" s="244">
        <f t="shared" si="14"/>
        <v>0</v>
      </c>
      <c r="N131" s="244">
        <f>IF(OR(H131=0,ISERROR(H131)),0,VLOOKUP($B131,'Standard data'!$C$80:$H$103,6,FALSE))</f>
        <v>0.6</v>
      </c>
      <c r="O131" s="139"/>
    </row>
    <row r="132" spans="2:44" ht="15">
      <c r="B132" s="211" t="s">
        <v>22</v>
      </c>
      <c r="C132" s="211"/>
      <c r="D132" s="211"/>
      <c r="E132" s="244">
        <f t="shared" si="12"/>
        <v>0</v>
      </c>
      <c r="H132" s="244" t="str">
        <f t="shared" si="13"/>
        <v>Grazing (grasslands)</v>
      </c>
      <c r="I132" s="244">
        <f>IF(OR(H132=0,ISERROR(H132)),0,VLOOKUP($H132,'Standard data'!$C$80:$G$103,4,FALSE)*D132)</f>
        <v>0</v>
      </c>
      <c r="J132" s="244">
        <f>IF(OR(H132=0,ISERROR(H132)),0,VLOOKUP($H132,'Standard data'!$C$80:$G$103,3,FALSE)/1000*D132)</f>
        <v>0</v>
      </c>
      <c r="K132" s="139"/>
      <c r="L132" s="244" t="str">
        <f t="shared" si="15"/>
        <v>Grazing (grasslands)</v>
      </c>
      <c r="M132" s="244">
        <f t="shared" si="14"/>
        <v>0</v>
      </c>
      <c r="N132" s="244">
        <f>IF(OR(H132=0,ISERROR(H132)),0,VLOOKUP($B132,'Standard data'!$C$80:$H$103,6,FALSE))</f>
        <v>0.6</v>
      </c>
      <c r="O132" s="139"/>
    </row>
    <row r="133" spans="2:44" ht="15">
      <c r="B133" s="244" t="s">
        <v>445</v>
      </c>
      <c r="C133" s="244">
        <f>SUM(C126:C132)</f>
        <v>0</v>
      </c>
      <c r="D133" s="244">
        <f>SUM(D126:D132)</f>
        <v>3</v>
      </c>
      <c r="E133" s="244">
        <f>SUM(E126:E132)</f>
        <v>3</v>
      </c>
      <c r="H133" s="244" t="s">
        <v>445</v>
      </c>
      <c r="I133" s="244">
        <f>SUM(I126:I132)</f>
        <v>0</v>
      </c>
      <c r="J133" s="244">
        <f>SUM(J126:J132)</f>
        <v>0.26100000000000001</v>
      </c>
      <c r="K133" s="139"/>
      <c r="L133" s="244" t="str">
        <f>I136</f>
        <v>FEED - Simple</v>
      </c>
      <c r="M133" s="244">
        <f>C142+D142</f>
        <v>3</v>
      </c>
      <c r="N133" s="244">
        <f>'Standard data'!H103</f>
        <v>0.85</v>
      </c>
      <c r="O133" s="139"/>
    </row>
    <row r="134" spans="2:44" ht="15">
      <c r="H134" s="139"/>
      <c r="I134" s="139"/>
      <c r="J134" s="139"/>
      <c r="K134" s="139"/>
      <c r="L134" s="244" t="str">
        <f>I144</f>
        <v>Complex feed</v>
      </c>
      <c r="M134" s="244">
        <f>D149</f>
        <v>3</v>
      </c>
      <c r="N134" s="244">
        <f>N133</f>
        <v>0.85</v>
      </c>
      <c r="O134" s="139"/>
    </row>
    <row r="135" spans="2:44" ht="15">
      <c r="H135" s="139"/>
      <c r="I135" s="139"/>
      <c r="J135" s="139"/>
      <c r="K135" s="139"/>
      <c r="L135" s="244" t="str">
        <f>I152</f>
        <v>Self mixed feed</v>
      </c>
      <c r="M135" s="244">
        <f>D154</f>
        <v>6</v>
      </c>
      <c r="N135" s="244">
        <f>N133</f>
        <v>0.85</v>
      </c>
      <c r="O135" s="139"/>
      <c r="AN135" s="9"/>
      <c r="AO135" s="9"/>
      <c r="AP135" s="9"/>
      <c r="AQ135" s="9"/>
      <c r="AR135" s="9"/>
    </row>
    <row r="136" spans="2:44" ht="15">
      <c r="B136" s="28" t="s">
        <v>453</v>
      </c>
      <c r="C136" s="132" t="s">
        <v>636</v>
      </c>
      <c r="D136" s="132" t="s">
        <v>635</v>
      </c>
      <c r="H136" s="244" t="s">
        <v>122</v>
      </c>
      <c r="I136" s="244" t="str">
        <f>B136</f>
        <v>FEED - Simple</v>
      </c>
      <c r="J136" s="244"/>
      <c r="K136" s="139"/>
      <c r="L136" s="244" t="str">
        <f>H124</f>
        <v>GOAT (milk and meat)</v>
      </c>
      <c r="M136" s="244" t="s">
        <v>29</v>
      </c>
      <c r="N136" s="244">
        <f>IF(SUM(M126:M135)=0,0,SUMPRODUCT(M126:M135,N126:N135)/SUM(M126:M135))</f>
        <v>0.8</v>
      </c>
      <c r="O136" s="142"/>
      <c r="T136" s="18"/>
      <c r="X136" s="9"/>
      <c r="Y136" s="9"/>
      <c r="AG136" s="18"/>
      <c r="AH136" s="26"/>
      <c r="AI136" s="24"/>
      <c r="AJ136" s="24"/>
      <c r="AK136" s="18"/>
      <c r="AN136" s="9"/>
      <c r="AO136" s="9"/>
      <c r="AP136" s="9"/>
      <c r="AQ136" s="9"/>
      <c r="AR136" s="9"/>
    </row>
    <row r="137" spans="2:44" s="18" customFormat="1" ht="15">
      <c r="B137" s="211" t="s">
        <v>112</v>
      </c>
      <c r="C137" s="211"/>
      <c r="D137" s="211"/>
      <c r="E137" s="1"/>
      <c r="F137" s="1"/>
      <c r="G137" s="1"/>
      <c r="H137" s="244"/>
      <c r="I137" s="244" t="s">
        <v>17</v>
      </c>
      <c r="J137" s="244" t="s">
        <v>18</v>
      </c>
      <c r="K137" s="141"/>
      <c r="L137" s="244" t="str">
        <f>H124</f>
        <v>GOAT (milk and meat)</v>
      </c>
      <c r="M137" s="244" t="s">
        <v>30</v>
      </c>
      <c r="N137" s="244">
        <f>9.75-(0.05*N136*100)</f>
        <v>5.7499999999999991</v>
      </c>
      <c r="O137" s="142"/>
      <c r="X137" s="9"/>
      <c r="Y137" s="9"/>
      <c r="AH137" s="26"/>
      <c r="AI137" s="24"/>
      <c r="AJ137" s="24"/>
      <c r="AN137" s="9"/>
      <c r="AO137" s="9"/>
      <c r="AP137" s="9"/>
      <c r="AQ137" s="9"/>
      <c r="AR137" s="9"/>
    </row>
    <row r="138" spans="2:44" ht="15">
      <c r="B138" s="211" t="s">
        <v>112</v>
      </c>
      <c r="C138" s="211"/>
      <c r="D138" s="211">
        <v>1</v>
      </c>
      <c r="H138" s="244" t="str">
        <f>B137</f>
        <v>Wheat</v>
      </c>
      <c r="I138" s="244">
        <f>IF(OR(H138=0,ISERROR(H138)),0,VLOOKUP($H138,'Standard data'!$C$110:$G$133,4,FALSE)*D137)</f>
        <v>0</v>
      </c>
      <c r="J138" s="244">
        <f>IF(OR(H138=0,ISERROR(H138)),0,VLOOKUP($H138,'Standard data'!$C$110:$G$133,3,FALSE)/1000*$D137)</f>
        <v>0</v>
      </c>
      <c r="K138" s="139"/>
      <c r="L138" s="143"/>
      <c r="M138" s="143"/>
      <c r="N138" s="144"/>
      <c r="O138" s="145"/>
      <c r="T138" s="18"/>
      <c r="X138" s="9"/>
      <c r="Y138" s="9"/>
      <c r="AG138" s="18"/>
      <c r="AH138" s="26"/>
      <c r="AI138" s="24"/>
      <c r="AJ138" s="24"/>
      <c r="AK138" s="18"/>
      <c r="AN138" s="9"/>
      <c r="AO138" s="9"/>
      <c r="AP138" s="9"/>
      <c r="AQ138" s="9"/>
      <c r="AR138" s="9"/>
    </row>
    <row r="139" spans="2:44" ht="15">
      <c r="B139" s="211" t="s">
        <v>112</v>
      </c>
      <c r="C139" s="211"/>
      <c r="D139" s="211">
        <v>1</v>
      </c>
      <c r="H139" s="244" t="str">
        <f>B138</f>
        <v>Wheat</v>
      </c>
      <c r="I139" s="244">
        <f>IF(OR(H139=0,ISERROR(H139)),0,VLOOKUP($H139,'Standard data'!$C$110:$G$133,4,FALSE)*D138)</f>
        <v>2.5630000000000002</v>
      </c>
      <c r="J139" s="244">
        <f>IF(OR(H139=0,ISERROR(H139)),0,VLOOKUP($H139,'Standard data'!$C$110:$G$133,3,FALSE)/1000*$D138)</f>
        <v>0.35299999999999998</v>
      </c>
      <c r="K139" s="139"/>
      <c r="L139" s="143"/>
      <c r="M139" s="143"/>
      <c r="N139" s="144"/>
      <c r="O139" s="145"/>
      <c r="T139" s="18"/>
      <c r="X139" s="9"/>
      <c r="Y139" s="9"/>
      <c r="AG139" s="18"/>
      <c r="AH139" s="26"/>
      <c r="AI139" s="24"/>
      <c r="AJ139" s="24"/>
      <c r="AK139" s="18"/>
      <c r="AN139" s="9"/>
      <c r="AO139" s="9"/>
      <c r="AP139" s="9"/>
      <c r="AQ139" s="9"/>
      <c r="AR139" s="9"/>
    </row>
    <row r="140" spans="2:44" ht="15">
      <c r="B140" s="211" t="s">
        <v>112</v>
      </c>
      <c r="C140" s="211"/>
      <c r="D140" s="211">
        <v>1</v>
      </c>
      <c r="H140" s="244" t="str">
        <f>B139</f>
        <v>Wheat</v>
      </c>
      <c r="I140" s="244">
        <f>IF(OR(H140=0,ISERROR(H140)),0,VLOOKUP($H140,'Standard data'!$C$110:$G$133,4,FALSE)*D139)</f>
        <v>2.5630000000000002</v>
      </c>
      <c r="J140" s="244">
        <f>IF(OR(H140=0,ISERROR(H140)),0,VLOOKUP($H140,'Standard data'!$C$110:$G$133,3,FALSE)/1000*$D139)</f>
        <v>0.35299999999999998</v>
      </c>
      <c r="K140" s="139"/>
      <c r="L140" s="143"/>
      <c r="M140" s="143"/>
      <c r="N140" s="144"/>
      <c r="O140" s="145"/>
      <c r="T140" s="18"/>
      <c r="X140" s="9"/>
      <c r="Y140" s="9"/>
      <c r="AG140" s="18"/>
      <c r="AH140" s="26"/>
      <c r="AI140" s="24"/>
      <c r="AJ140" s="24"/>
      <c r="AK140" s="18"/>
      <c r="AN140" s="9"/>
      <c r="AO140" s="9"/>
      <c r="AP140" s="9"/>
      <c r="AQ140" s="9"/>
      <c r="AR140" s="9"/>
    </row>
    <row r="141" spans="2:44" ht="15">
      <c r="B141" s="211" t="s">
        <v>112</v>
      </c>
      <c r="C141" s="211"/>
      <c r="D141" s="211"/>
      <c r="H141" s="244" t="str">
        <f>B140</f>
        <v>Wheat</v>
      </c>
      <c r="I141" s="244">
        <f>IF(OR(H141=0,ISERROR(H141)),0,VLOOKUP($H141,'Standard data'!$C$110:$G$133,4,FALSE)*D140)</f>
        <v>2.5630000000000002</v>
      </c>
      <c r="J141" s="244">
        <f>IF(OR(H141=0,ISERROR(H141)),0,VLOOKUP($H141,'Standard data'!$C$110:$G$133,3,FALSE)/1000*$D140)</f>
        <v>0.35299999999999998</v>
      </c>
      <c r="K141" s="139"/>
      <c r="L141" s="143"/>
      <c r="M141" s="143"/>
      <c r="N141" s="144"/>
      <c r="O141" s="145"/>
      <c r="T141" s="18"/>
      <c r="X141" s="9"/>
      <c r="Y141" s="9"/>
      <c r="AG141" s="18"/>
      <c r="AH141" s="26"/>
      <c r="AI141" s="24"/>
      <c r="AJ141" s="24"/>
      <c r="AK141" s="18"/>
      <c r="AN141" s="9"/>
      <c r="AO141" s="9"/>
      <c r="AP141" s="9"/>
      <c r="AQ141" s="9"/>
      <c r="AR141" s="9"/>
    </row>
    <row r="142" spans="2:44" ht="15">
      <c r="B142" s="244" t="s">
        <v>445</v>
      </c>
      <c r="C142" s="244">
        <f>SUM(C137:C141)</f>
        <v>0</v>
      </c>
      <c r="D142" s="244">
        <f>SUM(D137:D141)</f>
        <v>3</v>
      </c>
      <c r="H142" s="244" t="str">
        <f>B141</f>
        <v>Wheat</v>
      </c>
      <c r="I142" s="244">
        <f>IF(OR(H142=0,ISERROR(H142)),0,VLOOKUP($H142,'Standard data'!$C$110:$G$133,4,FALSE)*D141)</f>
        <v>0</v>
      </c>
      <c r="J142" s="244">
        <f>IF(OR(H142=0,ISERROR(H142)),0,VLOOKUP($H142,'Standard data'!$C$110:$G$133,3,FALSE)/1000*$D141)</f>
        <v>0</v>
      </c>
      <c r="K142" s="139"/>
      <c r="L142" s="143"/>
      <c r="M142" s="143"/>
      <c r="N142" s="144"/>
      <c r="O142" s="145"/>
      <c r="T142" s="18"/>
      <c r="X142" s="9"/>
      <c r="Y142" s="9"/>
      <c r="AG142" s="18"/>
      <c r="AH142" s="26"/>
      <c r="AI142" s="24"/>
      <c r="AJ142" s="24"/>
      <c r="AK142" s="18"/>
      <c r="AN142" s="9"/>
      <c r="AO142" s="9"/>
      <c r="AP142" s="9"/>
      <c r="AQ142" s="9"/>
      <c r="AR142" s="9"/>
    </row>
    <row r="143" spans="2:44" ht="15">
      <c r="B143" s="28" t="s">
        <v>446</v>
      </c>
      <c r="C143" s="23"/>
      <c r="D143" s="132"/>
      <c r="H143" s="244" t="s">
        <v>445</v>
      </c>
      <c r="I143" s="244">
        <f>SUM(I138:I142)</f>
        <v>7.6890000000000001</v>
      </c>
      <c r="J143" s="244">
        <f>SUM(J138:J142)</f>
        <v>1.0589999999999999</v>
      </c>
      <c r="K143" s="146"/>
      <c r="L143" s="143"/>
      <c r="M143" s="143"/>
      <c r="N143" s="144"/>
      <c r="O143" s="145"/>
      <c r="T143" s="18"/>
      <c r="X143" s="9"/>
      <c r="Y143" s="9"/>
      <c r="AG143" s="18"/>
      <c r="AH143" s="26"/>
      <c r="AI143" s="24"/>
      <c r="AJ143" s="24"/>
      <c r="AK143" s="18"/>
      <c r="AN143" s="9"/>
      <c r="AO143" s="33"/>
      <c r="AP143" s="34"/>
      <c r="AQ143" s="34"/>
      <c r="AR143" s="9"/>
    </row>
    <row r="144" spans="2:44" ht="30">
      <c r="B144" s="211" t="s">
        <v>124</v>
      </c>
      <c r="C144" s="38"/>
      <c r="D144" s="211"/>
      <c r="H144" s="244" t="s">
        <v>122</v>
      </c>
      <c r="I144" s="244" t="str">
        <f>B143</f>
        <v>Complex feed</v>
      </c>
      <c r="J144" s="244"/>
      <c r="K144" s="139"/>
      <c r="L144" s="147"/>
      <c r="M144" s="147"/>
      <c r="N144" s="148"/>
      <c r="O144" s="149"/>
      <c r="X144" s="9"/>
      <c r="Y144" s="9"/>
      <c r="AG144" s="18"/>
      <c r="AH144" s="26"/>
      <c r="AI144" s="24"/>
      <c r="AJ144" s="24"/>
      <c r="AK144" s="18"/>
      <c r="AN144" s="9"/>
      <c r="AO144" s="33"/>
      <c r="AP144" s="34"/>
      <c r="AQ144" s="34"/>
      <c r="AR144" s="9"/>
    </row>
    <row r="145" spans="2:44" s="18" customFormat="1" ht="30">
      <c r="B145" s="211" t="s">
        <v>124</v>
      </c>
      <c r="C145" s="38"/>
      <c r="D145" s="211">
        <v>1</v>
      </c>
      <c r="E145" s="1"/>
      <c r="F145" s="1"/>
      <c r="G145" s="1"/>
      <c r="H145" s="244"/>
      <c r="I145" s="244" t="s">
        <v>17</v>
      </c>
      <c r="J145" s="244" t="s">
        <v>18</v>
      </c>
      <c r="K145" s="141"/>
      <c r="L145" s="147"/>
      <c r="M145" s="147"/>
      <c r="N145" s="150"/>
      <c r="O145" s="151"/>
      <c r="X145" s="9"/>
      <c r="Y145" s="9"/>
      <c r="AH145" s="26"/>
      <c r="AI145" s="24"/>
      <c r="AJ145" s="24"/>
      <c r="AN145" s="9"/>
      <c r="AO145" s="9"/>
      <c r="AP145" s="9"/>
      <c r="AQ145" s="9"/>
      <c r="AR145" s="9"/>
    </row>
    <row r="146" spans="2:44" ht="30">
      <c r="B146" s="211" t="s">
        <v>124</v>
      </c>
      <c r="C146" s="38"/>
      <c r="D146" s="211">
        <v>1</v>
      </c>
      <c r="H146" s="244" t="str">
        <f>B144</f>
        <v>Goat, 24% crude protein, pellet form</v>
      </c>
      <c r="I146" s="244">
        <f>IF(OR(H146=0,ISERROR(H146)),0,VLOOKUP($H146,'Standard data'!$C$204:$G$220,4,FALSE)*D144)</f>
        <v>0</v>
      </c>
      <c r="J146" s="244">
        <f>IF(OR(H146=0,ISERROR(H146)),0,VLOOKUP($H146,'Standard data'!$C$204:$G$220,3,FALSE)/1000*$D144)</f>
        <v>0</v>
      </c>
      <c r="K146" s="139"/>
      <c r="L146" s="152"/>
      <c r="M146" s="147"/>
      <c r="N146" s="148"/>
      <c r="O146" s="149"/>
      <c r="X146" s="9"/>
      <c r="Y146" s="9"/>
      <c r="AG146" s="18"/>
      <c r="AH146" s="26"/>
      <c r="AI146" s="24"/>
      <c r="AJ146" s="24"/>
      <c r="AK146" s="18"/>
      <c r="AN146" s="9"/>
      <c r="AO146" s="33"/>
      <c r="AP146" s="34"/>
      <c r="AQ146" s="34"/>
      <c r="AR146" s="9"/>
    </row>
    <row r="147" spans="2:44" ht="30">
      <c r="B147" s="211" t="s">
        <v>124</v>
      </c>
      <c r="C147" s="38"/>
      <c r="D147" s="211">
        <v>1</v>
      </c>
      <c r="H147" s="244" t="str">
        <f>B145</f>
        <v>Goat, 24% crude protein, pellet form</v>
      </c>
      <c r="I147" s="244">
        <f>IF(OR(H147=0,ISERROR(H147)),0,VLOOKUP($H147,'Standard data'!$C$204:$G$220,4,FALSE)*D145)</f>
        <v>4.2160000000000002</v>
      </c>
      <c r="J147" s="244">
        <f>IF(OR(H147=0,ISERROR(H147)),0,VLOOKUP($H147,'Standard data'!$C$204:$G$220,3,FALSE)/1000*$D145)</f>
        <v>0.753</v>
      </c>
      <c r="K147" s="139"/>
      <c r="L147" s="152"/>
      <c r="M147" s="147"/>
      <c r="N147" s="148"/>
      <c r="O147" s="149"/>
      <c r="X147" s="9"/>
      <c r="Y147" s="9"/>
      <c r="AG147" s="18"/>
      <c r="AH147" s="39"/>
      <c r="AI147" s="40"/>
      <c r="AJ147" s="40"/>
      <c r="AK147" s="18"/>
      <c r="AN147" s="9"/>
      <c r="AO147" s="33"/>
      <c r="AP147" s="34"/>
      <c r="AQ147" s="34"/>
      <c r="AR147" s="9"/>
    </row>
    <row r="148" spans="2:44" ht="30">
      <c r="B148" s="211" t="s">
        <v>124</v>
      </c>
      <c r="C148" s="38"/>
      <c r="D148" s="211"/>
      <c r="H148" s="244" t="str">
        <f>B146</f>
        <v>Goat, 24% crude protein, pellet form</v>
      </c>
      <c r="I148" s="244">
        <f>IF(OR(H148=0,ISERROR(H148)),0,VLOOKUP($H148,'Standard data'!$C$204:$G$220,4,FALSE)*D146)</f>
        <v>4.2160000000000002</v>
      </c>
      <c r="J148" s="244">
        <f>IF(OR(H148=0,ISERROR(H148)),0,VLOOKUP($H148,'Standard data'!$C$204:$G$220,3,FALSE)/1000*$D146)</f>
        <v>0.753</v>
      </c>
      <c r="K148" s="139"/>
      <c r="L148" s="152"/>
      <c r="M148" s="147"/>
      <c r="N148" s="148"/>
      <c r="O148" s="149"/>
      <c r="X148" s="9"/>
      <c r="Y148" s="9"/>
      <c r="AG148" s="18"/>
      <c r="AH148" s="26"/>
      <c r="AI148" s="24"/>
      <c r="AJ148" s="24"/>
      <c r="AK148" s="18"/>
      <c r="AN148" s="9"/>
      <c r="AO148" s="33"/>
      <c r="AP148" s="34"/>
      <c r="AQ148" s="34"/>
      <c r="AR148" s="9"/>
    </row>
    <row r="149" spans="2:44" ht="15">
      <c r="B149" s="244" t="s">
        <v>445</v>
      </c>
      <c r="C149" s="244"/>
      <c r="D149" s="244">
        <f>SUM(D144:D148)</f>
        <v>3</v>
      </c>
      <c r="H149" s="244" t="str">
        <f>B147</f>
        <v>Goat, 24% crude protein, pellet form</v>
      </c>
      <c r="I149" s="244">
        <f>IF(OR(H149=0,ISERROR(H149)),0,VLOOKUP($H149,'Standard data'!$C$204:$G$220,4,FALSE)*D147)</f>
        <v>4.2160000000000002</v>
      </c>
      <c r="J149" s="244">
        <f>IF(OR(H149=0,ISERROR(H149)),0,VLOOKUP($H149,'Standard data'!$C$204:$G$220,3,FALSE)/1000*$D147)</f>
        <v>0.753</v>
      </c>
      <c r="K149" s="139"/>
      <c r="L149" s="152"/>
      <c r="M149" s="147"/>
      <c r="N149" s="148"/>
      <c r="O149" s="149"/>
      <c r="X149" s="9"/>
      <c r="Y149" s="9"/>
      <c r="AG149" s="18"/>
      <c r="AH149" s="26"/>
      <c r="AI149" s="24"/>
      <c r="AJ149" s="24"/>
      <c r="AK149" s="18"/>
      <c r="AN149" s="9"/>
      <c r="AO149" s="33"/>
      <c r="AP149" s="34"/>
      <c r="AQ149" s="34"/>
      <c r="AR149" s="9"/>
    </row>
    <row r="150" spans="2:44" ht="15">
      <c r="B150" s="28" t="s">
        <v>448</v>
      </c>
      <c r="C150" s="23"/>
      <c r="D150" s="132"/>
      <c r="H150" s="244" t="str">
        <f>B148</f>
        <v>Goat, 24% crude protein, pellet form</v>
      </c>
      <c r="I150" s="244">
        <f>IF(OR(H150=0,ISERROR(H150)),0,VLOOKUP($H150,'Standard data'!$C$204:$G$220,4,FALSE)*D148)</f>
        <v>0</v>
      </c>
      <c r="J150" s="244">
        <f>IF(OR(H150=0,ISERROR(H150)),0,VLOOKUP($H150,'Standard data'!$C$204:$G$220,3,FALSE)/1000*$D148)</f>
        <v>0</v>
      </c>
      <c r="K150" s="139"/>
      <c r="L150" s="152"/>
      <c r="M150" s="147"/>
      <c r="N150" s="148"/>
      <c r="O150" s="149"/>
      <c r="X150" s="9"/>
      <c r="Y150" s="9"/>
      <c r="AG150" s="18"/>
      <c r="AH150" s="26"/>
      <c r="AI150" s="24"/>
      <c r="AJ150" s="24"/>
      <c r="AK150" s="18"/>
      <c r="AN150" s="9"/>
      <c r="AO150" s="33"/>
      <c r="AP150" s="34"/>
      <c r="AQ150" s="34"/>
      <c r="AR150" s="9"/>
    </row>
    <row r="151" spans="2:44" s="9" customFormat="1" ht="15">
      <c r="B151" s="211" t="s">
        <v>442</v>
      </c>
      <c r="C151" s="38"/>
      <c r="D151" s="211">
        <v>2</v>
      </c>
      <c r="E151" s="1"/>
      <c r="F151" s="1"/>
      <c r="G151" s="1"/>
      <c r="H151" s="244" t="s">
        <v>445</v>
      </c>
      <c r="I151" s="244">
        <f>SUM(I145:I150)</f>
        <v>12.648</v>
      </c>
      <c r="J151" s="244">
        <f>SUM(J145:J150)</f>
        <v>2.2589999999999999</v>
      </c>
      <c r="K151" s="146"/>
      <c r="L151" s="152"/>
      <c r="M151" s="147"/>
      <c r="N151" s="148"/>
      <c r="O151" s="149"/>
      <c r="AH151" s="26"/>
      <c r="AI151" s="24"/>
      <c r="AJ151" s="24"/>
      <c r="AO151" s="33"/>
      <c r="AP151" s="34"/>
      <c r="AQ151" s="34"/>
    </row>
    <row r="152" spans="2:44" s="9" customFormat="1" ht="30">
      <c r="B152" s="211" t="s">
        <v>443</v>
      </c>
      <c r="C152" s="38"/>
      <c r="D152" s="211">
        <v>2</v>
      </c>
      <c r="E152" s="1"/>
      <c r="F152" s="1"/>
      <c r="G152" s="1"/>
      <c r="H152" s="244" t="s">
        <v>122</v>
      </c>
      <c r="I152" s="244" t="str">
        <f>B150</f>
        <v>Self mixed feed</v>
      </c>
      <c r="J152" s="244"/>
      <c r="K152" s="147"/>
      <c r="L152" s="147"/>
      <c r="M152" s="147"/>
      <c r="N152" s="147"/>
      <c r="O152" s="147"/>
      <c r="AH152" s="26"/>
      <c r="AI152" s="24"/>
      <c r="AJ152" s="24"/>
      <c r="AO152" s="33"/>
      <c r="AP152" s="34"/>
      <c r="AQ152" s="34"/>
    </row>
    <row r="153" spans="2:44" s="9" customFormat="1" ht="30">
      <c r="B153" s="211" t="s">
        <v>444</v>
      </c>
      <c r="C153" s="38"/>
      <c r="D153" s="211">
        <v>2</v>
      </c>
      <c r="E153" s="1"/>
      <c r="F153" s="1"/>
      <c r="G153" s="1"/>
      <c r="H153" s="244"/>
      <c r="I153" s="244"/>
      <c r="J153" s="244" t="s">
        <v>18</v>
      </c>
      <c r="K153" s="141"/>
      <c r="L153" s="147"/>
      <c r="M153" s="147"/>
      <c r="N153" s="147"/>
      <c r="O153" s="147"/>
      <c r="AH153" s="26"/>
      <c r="AI153" s="24"/>
      <c r="AJ153" s="24"/>
      <c r="AO153" s="33"/>
      <c r="AP153" s="34"/>
      <c r="AQ153" s="34"/>
    </row>
    <row r="154" spans="2:44" s="9" customFormat="1" ht="15">
      <c r="B154" s="244" t="s">
        <v>445</v>
      </c>
      <c r="C154" s="244"/>
      <c r="D154" s="244">
        <f>SUM(D151:D153)</f>
        <v>6</v>
      </c>
      <c r="E154" s="1"/>
      <c r="F154" s="1"/>
      <c r="G154" s="1"/>
      <c r="H154" s="244" t="str">
        <f>B151</f>
        <v xml:space="preserve">Cereals </v>
      </c>
      <c r="I154" s="244"/>
      <c r="J154" s="244">
        <f>'Standard data'!$D$319*$D151</f>
        <v>2.0646648000000001</v>
      </c>
      <c r="K154" s="147"/>
      <c r="L154" s="147"/>
      <c r="M154" s="147"/>
      <c r="N154" s="147"/>
      <c r="O154" s="147"/>
      <c r="AH154" s="26"/>
      <c r="AI154" s="24"/>
      <c r="AJ154" s="24"/>
      <c r="AO154" s="33"/>
      <c r="AP154" s="34"/>
      <c r="AQ154" s="34"/>
    </row>
    <row r="155" spans="2:44" s="9" customFormat="1" ht="15">
      <c r="B155" s="211" t="s">
        <v>45</v>
      </c>
      <c r="C155" s="137"/>
      <c r="D155" s="211">
        <v>2</v>
      </c>
      <c r="E155" s="1"/>
      <c r="F155" s="1"/>
      <c r="G155" s="1"/>
      <c r="H155" s="244" t="str">
        <f>B152</f>
        <v>Proteins (pulses, soy, distilled grains,…)</v>
      </c>
      <c r="I155" s="244"/>
      <c r="J155" s="244">
        <f>'Standard data'!$G$319*$D152</f>
        <v>5.3632387999999995</v>
      </c>
      <c r="K155" s="147"/>
      <c r="L155" s="147"/>
      <c r="M155" s="147"/>
      <c r="N155" s="147"/>
      <c r="O155" s="147"/>
      <c r="AH155" s="26"/>
      <c r="AI155" s="24"/>
      <c r="AJ155" s="24"/>
      <c r="AO155" s="33"/>
      <c r="AP155" s="34"/>
      <c r="AQ155" s="34"/>
    </row>
    <row r="156" spans="2:44" s="9" customFormat="1" ht="15">
      <c r="E156" s="1"/>
      <c r="F156" s="1"/>
      <c r="G156" s="1"/>
      <c r="H156" s="244" t="str">
        <f>B153</f>
        <v>Energy (molasses, starch, co-products,…)</v>
      </c>
      <c r="I156" s="244"/>
      <c r="J156" s="244">
        <f>'Standard data'!$J$319*$D153</f>
        <v>0.47795159999999998</v>
      </c>
      <c r="K156" s="147"/>
      <c r="L156" s="147"/>
      <c r="M156" s="147"/>
      <c r="N156" s="147"/>
      <c r="O156" s="147"/>
      <c r="AH156" s="26"/>
      <c r="AI156" s="24"/>
      <c r="AJ156" s="24"/>
      <c r="AO156" s="33"/>
      <c r="AP156" s="34"/>
      <c r="AQ156" s="34"/>
    </row>
    <row r="157" spans="2:44" s="9" customFormat="1" ht="15">
      <c r="E157" s="1"/>
      <c r="F157" s="1"/>
      <c r="G157" s="1"/>
      <c r="H157" s="244" t="s">
        <v>445</v>
      </c>
      <c r="I157" s="244"/>
      <c r="J157" s="244">
        <f>SUM(J154:J156)</f>
        <v>7.9058551999999995</v>
      </c>
      <c r="K157" s="146"/>
      <c r="L157" s="147"/>
      <c r="M157" s="147"/>
      <c r="N157" s="147"/>
      <c r="O157" s="147"/>
      <c r="AH157" s="26"/>
      <c r="AI157" s="24"/>
      <c r="AJ157" s="24"/>
      <c r="AO157" s="33"/>
      <c r="AP157" s="34"/>
      <c r="AQ157" s="34"/>
    </row>
    <row r="158" spans="2:44" s="9" customFormat="1" ht="15">
      <c r="E158" s="1"/>
      <c r="F158" s="1"/>
      <c r="G158" s="1"/>
      <c r="H158" s="244"/>
      <c r="I158" s="244"/>
      <c r="J158" s="244"/>
      <c r="K158" s="147"/>
      <c r="L158" s="147"/>
      <c r="M158" s="147"/>
      <c r="N158" s="147"/>
      <c r="O158" s="147"/>
      <c r="AH158" s="26"/>
      <c r="AI158" s="24"/>
      <c r="AJ158" s="24"/>
      <c r="AO158" s="33"/>
      <c r="AP158" s="34"/>
      <c r="AQ158" s="34"/>
    </row>
    <row r="159" spans="2:44" ht="15">
      <c r="H159" s="244" t="str">
        <f>B155</f>
        <v>Milk powder</v>
      </c>
      <c r="I159" s="244">
        <f>VLOOKUP($H159,'Standard data'!$C$110:$G$133,4,FALSE)/1000*D155</f>
        <v>8.6599999999999996E-2</v>
      </c>
      <c r="J159" s="244">
        <f>VLOOKUP($H159,'Standard data'!$C$110:$G$133,3,FALSE)/1000*$D155/1000</f>
        <v>2.2000000000000001E-4</v>
      </c>
      <c r="K159" s="139"/>
      <c r="L159" s="143"/>
      <c r="M159" s="143"/>
      <c r="N159" s="144"/>
      <c r="O159" s="145"/>
      <c r="T159" s="18"/>
      <c r="X159" s="9"/>
      <c r="Y159" s="9"/>
      <c r="AG159" s="18"/>
      <c r="AH159" s="26"/>
      <c r="AI159" s="24"/>
      <c r="AJ159" s="24"/>
      <c r="AK159" s="18"/>
      <c r="AN159" s="9"/>
      <c r="AO159" s="33"/>
      <c r="AP159" s="34"/>
      <c r="AQ159" s="34"/>
      <c r="AR159" s="9"/>
    </row>
    <row r="160" spans="2:44" s="9" customFormat="1">
      <c r="E160" s="1"/>
      <c r="F160" s="1"/>
      <c r="G160" s="1"/>
      <c r="H160" s="147"/>
      <c r="I160" s="153"/>
      <c r="J160" s="154"/>
      <c r="K160" s="154"/>
      <c r="L160" s="147"/>
      <c r="M160" s="147"/>
      <c r="N160" s="147"/>
      <c r="O160" s="147"/>
      <c r="AI160" s="26"/>
      <c r="AJ160" s="24"/>
      <c r="AK160" s="24"/>
      <c r="AP160" s="33"/>
      <c r="AQ160" s="34"/>
      <c r="AR160" s="34"/>
    </row>
    <row r="161" spans="2:44" s="9" customFormat="1">
      <c r="H161" s="147"/>
      <c r="I161" s="147"/>
      <c r="J161" s="147"/>
      <c r="K161" s="147"/>
      <c r="L161" s="147"/>
      <c r="M161" s="153"/>
      <c r="N161" s="154"/>
      <c r="O161" s="154"/>
      <c r="AI161" s="26"/>
      <c r="AJ161" s="24"/>
      <c r="AK161" s="24"/>
      <c r="AP161" s="33"/>
      <c r="AQ161" s="34"/>
      <c r="AR161" s="34"/>
    </row>
    <row r="162" spans="2:44" s="9" customFormat="1">
      <c r="D162" s="44"/>
      <c r="E162" s="45"/>
      <c r="H162" s="147"/>
      <c r="I162" s="147"/>
      <c r="J162" s="147"/>
      <c r="K162" s="147"/>
      <c r="L162" s="147"/>
      <c r="M162" s="153"/>
      <c r="N162" s="154"/>
      <c r="O162" s="154"/>
      <c r="AI162" s="26"/>
      <c r="AJ162" s="24"/>
      <c r="AK162" s="24"/>
      <c r="AP162" s="33"/>
      <c r="AQ162" s="34"/>
      <c r="AR162" s="34"/>
    </row>
    <row r="163" spans="2:44" s="9" customFormat="1" ht="15.75">
      <c r="B163" s="245" t="s">
        <v>125</v>
      </c>
      <c r="D163" s="44"/>
      <c r="E163" s="45"/>
      <c r="H163" s="147"/>
      <c r="I163" s="147"/>
      <c r="J163" s="147"/>
      <c r="K163" s="147"/>
      <c r="L163" s="147"/>
      <c r="M163" s="153"/>
      <c r="N163" s="154"/>
      <c r="O163" s="154"/>
      <c r="AI163" s="26"/>
      <c r="AJ163" s="24"/>
      <c r="AK163" s="24"/>
      <c r="AP163" s="33"/>
      <c r="AQ163" s="34"/>
      <c r="AR163" s="34"/>
    </row>
    <row r="164" spans="2:44" ht="15">
      <c r="B164" s="122" t="s">
        <v>14</v>
      </c>
      <c r="C164" s="132"/>
      <c r="D164" s="132"/>
      <c r="E164" s="244" t="s">
        <v>445</v>
      </c>
      <c r="H164" s="244" t="s">
        <v>125</v>
      </c>
      <c r="I164" s="244" t="str">
        <f>B164</f>
        <v>Forage</v>
      </c>
      <c r="J164" s="244"/>
      <c r="K164" s="139"/>
      <c r="L164" s="244" t="s">
        <v>16</v>
      </c>
      <c r="M164" s="244"/>
      <c r="N164" s="244"/>
      <c r="O164" s="141"/>
    </row>
    <row r="165" spans="2:44" ht="15">
      <c r="B165" s="211" t="s">
        <v>22</v>
      </c>
      <c r="C165" s="211"/>
      <c r="D165" s="211"/>
      <c r="E165" s="244">
        <f t="shared" ref="E165:E171" si="16">D165+C165</f>
        <v>0</v>
      </c>
      <c r="H165" s="244"/>
      <c r="I165" s="244" t="s">
        <v>17</v>
      </c>
      <c r="J165" s="244" t="s">
        <v>18</v>
      </c>
      <c r="K165" s="139"/>
      <c r="L165" s="244" t="s">
        <v>19</v>
      </c>
      <c r="M165" s="244" t="s">
        <v>20</v>
      </c>
      <c r="N165" s="244" t="s">
        <v>21</v>
      </c>
      <c r="O165" s="139"/>
    </row>
    <row r="166" spans="2:44" ht="15">
      <c r="B166" s="211" t="s">
        <v>22</v>
      </c>
      <c r="C166" s="211"/>
      <c r="D166" s="211"/>
      <c r="E166" s="244">
        <f t="shared" si="16"/>
        <v>0</v>
      </c>
      <c r="H166" s="244" t="str">
        <f t="shared" ref="H166:H172" si="17">B165</f>
        <v>Grazing (grasslands)</v>
      </c>
      <c r="I166" s="244">
        <f>IF(OR(H166=0,ISERROR(H166)),0,VLOOKUP($H166,'Standard data'!$C$80:$G$103,4,FALSE)*D165)</f>
        <v>0</v>
      </c>
      <c r="J166" s="244">
        <f>IF(OR(H166=0,ISERROR(H166)),0,VLOOKUP($H166,'Standard data'!$C$80:$G$103,3,FALSE)/1000*D165)</f>
        <v>0</v>
      </c>
      <c r="K166" s="139"/>
      <c r="L166" s="244" t="str">
        <f>H166</f>
        <v>Grazing (grasslands)</v>
      </c>
      <c r="M166" s="244">
        <f t="shared" ref="M166:M172" si="18">E165</f>
        <v>0</v>
      </c>
      <c r="N166" s="244">
        <f>IF(OR(H166=0,ISERROR(H166)),0,VLOOKUP($B165,'Standard data'!$C$80:$H$103,6,FALSE))</f>
        <v>0.6</v>
      </c>
      <c r="O166" s="139"/>
    </row>
    <row r="167" spans="2:44" ht="15">
      <c r="B167" s="211" t="s">
        <v>22</v>
      </c>
      <c r="C167" s="211"/>
      <c r="D167" s="211">
        <v>1</v>
      </c>
      <c r="E167" s="244">
        <f t="shared" si="16"/>
        <v>1</v>
      </c>
      <c r="H167" s="244" t="str">
        <f t="shared" si="17"/>
        <v>Grazing (grasslands)</v>
      </c>
      <c r="I167" s="244">
        <f>IF(OR(H167=0,ISERROR(H167)),0,VLOOKUP($H167,'Standard data'!$C$80:$G$103,4,FALSE)*D166)</f>
        <v>0</v>
      </c>
      <c r="J167" s="244">
        <f>IF(OR(H167=0,ISERROR(H167)),0,VLOOKUP($H167,'Standard data'!$C$80:$G$103,3,FALSE)/1000*D166)</f>
        <v>0</v>
      </c>
      <c r="K167" s="139"/>
      <c r="L167" s="244" t="str">
        <f t="shared" ref="L167:L172" si="19">H167</f>
        <v>Grazing (grasslands)</v>
      </c>
      <c r="M167" s="244">
        <f t="shared" si="18"/>
        <v>0</v>
      </c>
      <c r="N167" s="244">
        <f>IF(OR(H167=0,ISERROR(H167)),0,VLOOKUP($B166,'Standard data'!$C$80:$H$103,6,FALSE))</f>
        <v>0.6</v>
      </c>
      <c r="O167" s="139"/>
    </row>
    <row r="168" spans="2:44" ht="15">
      <c r="B168" s="211" t="s">
        <v>22</v>
      </c>
      <c r="C168" s="211"/>
      <c r="D168" s="211">
        <v>1</v>
      </c>
      <c r="E168" s="244">
        <f t="shared" si="16"/>
        <v>1</v>
      </c>
      <c r="H168" s="244" t="str">
        <f t="shared" si="17"/>
        <v>Grazing (grasslands)</v>
      </c>
      <c r="I168" s="244">
        <f>IF(OR(H168=0,ISERROR(H168)),0,VLOOKUP($H168,'Standard data'!$C$80:$G$103,4,FALSE)*D167)</f>
        <v>0</v>
      </c>
      <c r="J168" s="244">
        <f>IF(OR(H168=0,ISERROR(H168)),0,VLOOKUP($H168,'Standard data'!$C$80:$G$103,3,FALSE)/1000*D167)</f>
        <v>8.6999999999999994E-2</v>
      </c>
      <c r="K168" s="139"/>
      <c r="L168" s="244" t="str">
        <f t="shared" si="19"/>
        <v>Grazing (grasslands)</v>
      </c>
      <c r="M168" s="244">
        <f t="shared" si="18"/>
        <v>1</v>
      </c>
      <c r="N168" s="244">
        <f>IF(OR(H168=0,ISERROR(H168)),0,VLOOKUP($B167,'Standard data'!$C$80:$H$103,6,FALSE))</f>
        <v>0.6</v>
      </c>
      <c r="O168" s="139"/>
    </row>
    <row r="169" spans="2:44" ht="15">
      <c r="B169" s="211" t="s">
        <v>22</v>
      </c>
      <c r="C169" s="211"/>
      <c r="D169" s="211">
        <v>1</v>
      </c>
      <c r="E169" s="244">
        <f t="shared" si="16"/>
        <v>1</v>
      </c>
      <c r="H169" s="244" t="str">
        <f t="shared" si="17"/>
        <v>Grazing (grasslands)</v>
      </c>
      <c r="I169" s="244">
        <f>IF(OR(H169=0,ISERROR(H169)),0,VLOOKUP($H169,'Standard data'!$C$80:$G$103,4,FALSE)*D168)</f>
        <v>0</v>
      </c>
      <c r="J169" s="244">
        <f>IF(OR(H169=0,ISERROR(H169)),0,VLOOKUP($H169,'Standard data'!$C$80:$G$103,3,FALSE)/1000*D168)</f>
        <v>8.6999999999999994E-2</v>
      </c>
      <c r="K169" s="139"/>
      <c r="L169" s="244" t="str">
        <f t="shared" si="19"/>
        <v>Grazing (grasslands)</v>
      </c>
      <c r="M169" s="244">
        <f t="shared" si="18"/>
        <v>1</v>
      </c>
      <c r="N169" s="244">
        <f>IF(OR(H169=0,ISERROR(H169)),0,VLOOKUP($B168,'Standard data'!$C$80:$H$103,6,FALSE))</f>
        <v>0.6</v>
      </c>
      <c r="O169" s="139"/>
    </row>
    <row r="170" spans="2:44" ht="15">
      <c r="B170" s="211" t="s">
        <v>22</v>
      </c>
      <c r="C170" s="211"/>
      <c r="D170" s="211"/>
      <c r="E170" s="244">
        <f t="shared" si="16"/>
        <v>0</v>
      </c>
      <c r="H170" s="244" t="str">
        <f t="shared" si="17"/>
        <v>Grazing (grasslands)</v>
      </c>
      <c r="I170" s="244">
        <f>IF(OR(H170=0,ISERROR(H170)),0,VLOOKUP($H170,'Standard data'!$C$80:$G$103,4,FALSE)*D169)</f>
        <v>0</v>
      </c>
      <c r="J170" s="244">
        <f>IF(OR(H170=0,ISERROR(H170)),0,VLOOKUP($H170,'Standard data'!$C$80:$G$103,3,FALSE)/1000*D169)</f>
        <v>8.6999999999999994E-2</v>
      </c>
      <c r="K170" s="139"/>
      <c r="L170" s="244" t="str">
        <f t="shared" si="19"/>
        <v>Grazing (grasslands)</v>
      </c>
      <c r="M170" s="244">
        <f t="shared" si="18"/>
        <v>1</v>
      </c>
      <c r="N170" s="244">
        <f>IF(OR(H170=0,ISERROR(H170)),0,VLOOKUP($B169,'Standard data'!$C$80:$H$103,6,FALSE))</f>
        <v>0.6</v>
      </c>
      <c r="O170" s="139"/>
    </row>
    <row r="171" spans="2:44" ht="15">
      <c r="B171" s="211" t="s">
        <v>22</v>
      </c>
      <c r="C171" s="211"/>
      <c r="D171" s="211"/>
      <c r="E171" s="244">
        <f t="shared" si="16"/>
        <v>0</v>
      </c>
      <c r="H171" s="244" t="str">
        <f t="shared" si="17"/>
        <v>Grazing (grasslands)</v>
      </c>
      <c r="I171" s="244">
        <f>IF(OR(H171=0,ISERROR(H171)),0,VLOOKUP($H171,'Standard data'!$C$80:$G$103,4,FALSE)*D170)</f>
        <v>0</v>
      </c>
      <c r="J171" s="244">
        <f>IF(OR(H171=0,ISERROR(H171)),0,VLOOKUP($H171,'Standard data'!$C$80:$G$103,3,FALSE)/1000*D170)</f>
        <v>0</v>
      </c>
      <c r="K171" s="139"/>
      <c r="L171" s="244" t="str">
        <f t="shared" si="19"/>
        <v>Grazing (grasslands)</v>
      </c>
      <c r="M171" s="244">
        <f t="shared" si="18"/>
        <v>0</v>
      </c>
      <c r="N171" s="244">
        <f>IF(OR(H171=0,ISERROR(H171)),0,VLOOKUP($B170,'Standard data'!$C$80:$H$103,6,FALSE))</f>
        <v>0.6</v>
      </c>
      <c r="O171" s="139"/>
    </row>
    <row r="172" spans="2:44" ht="15">
      <c r="B172" s="244" t="s">
        <v>445</v>
      </c>
      <c r="C172" s="244">
        <f>SUM(C165:C171)</f>
        <v>0</v>
      </c>
      <c r="D172" s="244">
        <f>SUM(D165:D171)</f>
        <v>3</v>
      </c>
      <c r="E172" s="244">
        <f>SUM(E165:E171)</f>
        <v>3</v>
      </c>
      <c r="H172" s="244" t="str">
        <f t="shared" si="17"/>
        <v>Grazing (grasslands)</v>
      </c>
      <c r="I172" s="244">
        <f>IF(OR(H172=0,ISERROR(H172)),0,VLOOKUP($H172,'Standard data'!$C$80:$G$103,4,FALSE)*D171)</f>
        <v>0</v>
      </c>
      <c r="J172" s="244">
        <f>IF(OR(H172=0,ISERROR(H172)),0,VLOOKUP($H172,'Standard data'!$C$80:$G$103,3,FALSE)/1000*D171)</f>
        <v>0</v>
      </c>
      <c r="K172" s="139"/>
      <c r="L172" s="244" t="str">
        <f t="shared" si="19"/>
        <v>Grazing (grasslands)</v>
      </c>
      <c r="M172" s="244">
        <f t="shared" si="18"/>
        <v>0</v>
      </c>
      <c r="N172" s="244">
        <f>IF(OR(H172=0,ISERROR(H172)),0,VLOOKUP($B171,'Standard data'!$C$80:$H$103,6,FALSE))</f>
        <v>0.6</v>
      </c>
      <c r="O172" s="139"/>
    </row>
    <row r="173" spans="2:44" ht="15">
      <c r="H173" s="244" t="s">
        <v>445</v>
      </c>
      <c r="I173" s="244">
        <f>SUM(I166:I172)</f>
        <v>0</v>
      </c>
      <c r="J173" s="244">
        <f>SUM(J166:J172)</f>
        <v>0.26100000000000001</v>
      </c>
      <c r="K173" s="139"/>
      <c r="L173" s="244" t="str">
        <f>I176</f>
        <v>FEED - Simple</v>
      </c>
      <c r="M173" s="244">
        <f>C182+D182</f>
        <v>3</v>
      </c>
      <c r="N173" s="244">
        <f>'Standard data'!H103</f>
        <v>0.85</v>
      </c>
      <c r="O173" s="139"/>
    </row>
    <row r="174" spans="2:44" ht="15">
      <c r="H174" s="139"/>
      <c r="I174" s="139"/>
      <c r="J174" s="139"/>
      <c r="K174" s="139"/>
      <c r="L174" s="244" t="str">
        <f>I184</f>
        <v>Complex feed</v>
      </c>
      <c r="M174" s="244">
        <f>D189</f>
        <v>3</v>
      </c>
      <c r="N174" s="244">
        <f>N173</f>
        <v>0.85</v>
      </c>
      <c r="O174" s="139"/>
    </row>
    <row r="175" spans="2:44" ht="15">
      <c r="H175" s="139"/>
      <c r="I175" s="139"/>
      <c r="J175" s="139"/>
      <c r="K175" s="139"/>
      <c r="L175" s="244" t="str">
        <f>I192</f>
        <v>Self mixed feed</v>
      </c>
      <c r="M175" s="244">
        <f>D194</f>
        <v>6</v>
      </c>
      <c r="N175" s="244">
        <f>N173</f>
        <v>0.85</v>
      </c>
      <c r="O175" s="139"/>
      <c r="AN175" s="9"/>
      <c r="AO175" s="9"/>
      <c r="AP175" s="9"/>
      <c r="AQ175" s="9"/>
      <c r="AR175" s="9"/>
    </row>
    <row r="176" spans="2:44" ht="15">
      <c r="B176" s="28" t="s">
        <v>453</v>
      </c>
      <c r="C176" s="132" t="s">
        <v>636</v>
      </c>
      <c r="D176" s="132" t="s">
        <v>635</v>
      </c>
      <c r="H176" s="244" t="s">
        <v>125</v>
      </c>
      <c r="I176" s="244" t="str">
        <f>B176</f>
        <v>FEED - Simple</v>
      </c>
      <c r="J176" s="244"/>
      <c r="K176" s="139"/>
      <c r="L176" s="244" t="str">
        <f>H164</f>
        <v>Other RUMINANTS</v>
      </c>
      <c r="M176" s="244" t="s">
        <v>29</v>
      </c>
      <c r="N176" s="244">
        <f>IF(SUM(M166:M175)=0,0,SUMPRODUCT(M166:M175,N166:N175)/SUM(M166:M175))</f>
        <v>0.8</v>
      </c>
      <c r="O176" s="142"/>
      <c r="P176" s="18"/>
      <c r="X176" s="9"/>
      <c r="Y176" s="9"/>
      <c r="AG176" s="18"/>
      <c r="AH176" s="26"/>
      <c r="AI176" s="24"/>
      <c r="AJ176" s="24"/>
      <c r="AK176" s="18"/>
      <c r="AN176" s="9"/>
      <c r="AO176" s="9"/>
      <c r="AP176" s="9"/>
      <c r="AQ176" s="9"/>
      <c r="AR176" s="9"/>
    </row>
    <row r="177" spans="2:44" s="18" customFormat="1" ht="15">
      <c r="B177" s="211" t="s">
        <v>112</v>
      </c>
      <c r="C177" s="211"/>
      <c r="D177" s="211"/>
      <c r="E177" s="1"/>
      <c r="F177" s="1"/>
      <c r="G177" s="1"/>
      <c r="H177" s="244"/>
      <c r="I177" s="244" t="s">
        <v>17</v>
      </c>
      <c r="J177" s="244" t="s">
        <v>18</v>
      </c>
      <c r="K177" s="141"/>
      <c r="L177" s="244" t="str">
        <f>H164</f>
        <v>Other RUMINANTS</v>
      </c>
      <c r="M177" s="244" t="s">
        <v>30</v>
      </c>
      <c r="N177" s="244">
        <f>9.75-(0.05*N176*100)</f>
        <v>5.7499999999999991</v>
      </c>
      <c r="O177" s="142"/>
      <c r="X177" s="9"/>
      <c r="Y177" s="9"/>
      <c r="AH177" s="26"/>
      <c r="AI177" s="24"/>
      <c r="AJ177" s="24"/>
      <c r="AN177" s="9"/>
      <c r="AO177" s="9"/>
      <c r="AP177" s="9"/>
      <c r="AQ177" s="9"/>
      <c r="AR177" s="9"/>
    </row>
    <row r="178" spans="2:44" ht="15">
      <c r="B178" s="211" t="s">
        <v>112</v>
      </c>
      <c r="C178" s="211"/>
      <c r="D178" s="211">
        <v>1</v>
      </c>
      <c r="H178" s="244" t="str">
        <f>B177</f>
        <v>Wheat</v>
      </c>
      <c r="I178" s="244">
        <f>IF(OR(H178=0,ISERROR(H178)),0,VLOOKUP($H178,'Standard data'!$C$110:$G$133,4,FALSE)*D177)</f>
        <v>0</v>
      </c>
      <c r="J178" s="244">
        <f>IF(OR(H178=0,ISERROR(H178)),0,VLOOKUP($H178,'Standard data'!$C$110:$G$133,3,FALSE)/1000*$D177)</f>
        <v>0</v>
      </c>
      <c r="K178" s="139"/>
      <c r="L178" s="143"/>
      <c r="M178" s="143"/>
      <c r="N178" s="144"/>
      <c r="O178" s="145"/>
      <c r="P178" s="18"/>
      <c r="X178" s="9"/>
      <c r="Y178" s="9"/>
      <c r="AG178" s="18"/>
      <c r="AH178" s="26"/>
      <c r="AI178" s="24"/>
      <c r="AJ178" s="24"/>
      <c r="AK178" s="18"/>
      <c r="AN178" s="9"/>
      <c r="AO178" s="9"/>
      <c r="AP178" s="9"/>
      <c r="AQ178" s="9"/>
      <c r="AR178" s="9"/>
    </row>
    <row r="179" spans="2:44" ht="15">
      <c r="B179" s="211" t="s">
        <v>112</v>
      </c>
      <c r="C179" s="211"/>
      <c r="D179" s="211">
        <v>1</v>
      </c>
      <c r="H179" s="244" t="str">
        <f>B178</f>
        <v>Wheat</v>
      </c>
      <c r="I179" s="244">
        <f>IF(OR(H179=0,ISERROR(H179)),0,VLOOKUP($H179,'Standard data'!$C$110:$G$133,4,FALSE)*D178)</f>
        <v>2.5630000000000002</v>
      </c>
      <c r="J179" s="244">
        <f>IF(OR(H179=0,ISERROR(H179)),0,VLOOKUP($H179,'Standard data'!$C$110:$G$133,3,FALSE)/1000*$D178)</f>
        <v>0.35299999999999998</v>
      </c>
      <c r="K179" s="139"/>
      <c r="L179" s="143"/>
      <c r="M179" s="143"/>
      <c r="N179" s="144"/>
      <c r="O179" s="145"/>
      <c r="P179" s="18"/>
      <c r="X179" s="9"/>
      <c r="Y179" s="9"/>
      <c r="AG179" s="18"/>
      <c r="AH179" s="26"/>
      <c r="AI179" s="24"/>
      <c r="AJ179" s="24"/>
      <c r="AK179" s="18"/>
      <c r="AN179" s="9"/>
      <c r="AO179" s="9"/>
      <c r="AP179" s="9"/>
      <c r="AQ179" s="9"/>
      <c r="AR179" s="9"/>
    </row>
    <row r="180" spans="2:44" ht="15">
      <c r="B180" s="211" t="s">
        <v>112</v>
      </c>
      <c r="C180" s="211"/>
      <c r="D180" s="211">
        <v>1</v>
      </c>
      <c r="H180" s="244" t="str">
        <f>B179</f>
        <v>Wheat</v>
      </c>
      <c r="I180" s="244">
        <f>IF(OR(H180=0,ISERROR(H180)),0,VLOOKUP($H180,'Standard data'!$C$110:$G$133,4,FALSE)*D179)</f>
        <v>2.5630000000000002</v>
      </c>
      <c r="J180" s="244">
        <f>IF(OR(H180=0,ISERROR(H180)),0,VLOOKUP($H180,'Standard data'!$C$110:$G$133,3,FALSE)/1000*$D179)</f>
        <v>0.35299999999999998</v>
      </c>
      <c r="K180" s="139"/>
      <c r="L180" s="143"/>
      <c r="M180" s="143"/>
      <c r="N180" s="144"/>
      <c r="O180" s="145"/>
      <c r="P180" s="18"/>
      <c r="X180" s="9"/>
      <c r="Y180" s="9"/>
      <c r="AG180" s="18"/>
      <c r="AH180" s="26"/>
      <c r="AI180" s="24"/>
      <c r="AJ180" s="24"/>
      <c r="AK180" s="18"/>
      <c r="AN180" s="9"/>
      <c r="AO180" s="9"/>
      <c r="AP180" s="9"/>
      <c r="AQ180" s="9"/>
      <c r="AR180" s="9"/>
    </row>
    <row r="181" spans="2:44" ht="15">
      <c r="B181" s="211" t="s">
        <v>112</v>
      </c>
      <c r="C181" s="211"/>
      <c r="D181" s="211"/>
      <c r="H181" s="244" t="str">
        <f>B180</f>
        <v>Wheat</v>
      </c>
      <c r="I181" s="244">
        <f>IF(OR(H181=0,ISERROR(H181)),0,VLOOKUP($H181,'Standard data'!$C$110:$G$133,4,FALSE)*D180)</f>
        <v>2.5630000000000002</v>
      </c>
      <c r="J181" s="244">
        <f>IF(OR(H181=0,ISERROR(H181)),0,VLOOKUP($H181,'Standard data'!$C$110:$G$133,3,FALSE)/1000*$D180)</f>
        <v>0.35299999999999998</v>
      </c>
      <c r="K181" s="139"/>
      <c r="L181" s="143"/>
      <c r="M181" s="143"/>
      <c r="N181" s="144"/>
      <c r="O181" s="145"/>
      <c r="P181" s="18"/>
      <c r="X181" s="9"/>
      <c r="Y181" s="9"/>
      <c r="AG181" s="18"/>
      <c r="AH181" s="26"/>
      <c r="AI181" s="24"/>
      <c r="AJ181" s="24"/>
      <c r="AK181" s="18"/>
      <c r="AN181" s="9"/>
      <c r="AO181" s="9"/>
      <c r="AP181" s="9"/>
      <c r="AQ181" s="9"/>
      <c r="AR181" s="9"/>
    </row>
    <row r="182" spans="2:44" ht="15">
      <c r="B182" s="244" t="s">
        <v>445</v>
      </c>
      <c r="C182" s="244">
        <f>SUM(C177:C181)</f>
        <v>0</v>
      </c>
      <c r="D182" s="244">
        <f>SUM(D177:D181)</f>
        <v>3</v>
      </c>
      <c r="H182" s="244" t="str">
        <f>B181</f>
        <v>Wheat</v>
      </c>
      <c r="I182" s="244">
        <f>IF(OR(H182=0,ISERROR(H182)),0,VLOOKUP($H182,'Standard data'!$C$110:$G$133,4,FALSE)*D181)</f>
        <v>0</v>
      </c>
      <c r="J182" s="244">
        <f>IF(OR(H182=0,ISERROR(H182)),0,VLOOKUP($H182,'Standard data'!$C$110:$G$133,3,FALSE)/1000*$D181)</f>
        <v>0</v>
      </c>
      <c r="K182" s="139"/>
      <c r="L182" s="143"/>
      <c r="M182" s="143"/>
      <c r="N182" s="144"/>
      <c r="O182" s="145"/>
      <c r="P182" s="18"/>
      <c r="X182" s="9"/>
      <c r="Y182" s="9"/>
      <c r="AG182" s="18"/>
      <c r="AH182" s="26"/>
      <c r="AI182" s="24"/>
      <c r="AJ182" s="24"/>
      <c r="AK182" s="18"/>
      <c r="AN182" s="9"/>
      <c r="AO182" s="9"/>
      <c r="AP182" s="9"/>
      <c r="AQ182" s="9"/>
      <c r="AR182" s="9"/>
    </row>
    <row r="183" spans="2:44" ht="15">
      <c r="B183" s="28" t="s">
        <v>446</v>
      </c>
      <c r="C183" s="23"/>
      <c r="D183" s="132"/>
      <c r="H183" s="244" t="s">
        <v>445</v>
      </c>
      <c r="I183" s="244">
        <f>SUM(I178:I182)</f>
        <v>7.6890000000000001</v>
      </c>
      <c r="J183" s="244">
        <f>SUM(J178:J182)</f>
        <v>1.0589999999999999</v>
      </c>
      <c r="K183" s="146"/>
      <c r="L183" s="143"/>
      <c r="M183" s="143"/>
      <c r="N183" s="144"/>
      <c r="O183" s="145"/>
      <c r="P183" s="18"/>
      <c r="X183" s="9"/>
      <c r="Y183" s="9"/>
      <c r="AG183" s="18"/>
      <c r="AH183" s="26"/>
      <c r="AI183" s="24"/>
      <c r="AJ183" s="24"/>
      <c r="AK183" s="18"/>
      <c r="AN183" s="9"/>
      <c r="AO183" s="33"/>
      <c r="AP183" s="34"/>
      <c r="AQ183" s="34"/>
      <c r="AR183" s="9"/>
    </row>
    <row r="184" spans="2:44" ht="30">
      <c r="B184" s="211" t="s">
        <v>126</v>
      </c>
      <c r="C184" s="38"/>
      <c r="D184" s="211"/>
      <c r="H184" s="244" t="s">
        <v>125</v>
      </c>
      <c r="I184" s="244" t="str">
        <f>B183</f>
        <v>Complex feed</v>
      </c>
      <c r="J184" s="244"/>
      <c r="K184" s="139"/>
      <c r="L184" s="147"/>
      <c r="M184" s="147"/>
      <c r="N184" s="148"/>
      <c r="O184" s="149"/>
      <c r="X184" s="9"/>
      <c r="Y184" s="9"/>
      <c r="AG184" s="18"/>
      <c r="AH184" s="26"/>
      <c r="AI184" s="24"/>
      <c r="AJ184" s="24"/>
      <c r="AK184" s="18"/>
      <c r="AN184" s="9"/>
      <c r="AO184" s="33"/>
      <c r="AP184" s="34"/>
      <c r="AQ184" s="34"/>
      <c r="AR184" s="9"/>
    </row>
    <row r="185" spans="2:44" s="18" customFormat="1" ht="30">
      <c r="B185" s="211" t="s">
        <v>126</v>
      </c>
      <c r="C185" s="38"/>
      <c r="D185" s="211">
        <v>1</v>
      </c>
      <c r="E185" s="1"/>
      <c r="F185" s="1"/>
      <c r="G185" s="1"/>
      <c r="H185" s="244"/>
      <c r="I185" s="244" t="s">
        <v>17</v>
      </c>
      <c r="J185" s="244" t="s">
        <v>18</v>
      </c>
      <c r="K185" s="141"/>
      <c r="L185" s="147"/>
      <c r="M185" s="147"/>
      <c r="N185" s="150"/>
      <c r="O185" s="151"/>
      <c r="X185" s="9"/>
      <c r="Y185" s="9"/>
      <c r="AH185" s="26"/>
      <c r="AI185" s="24"/>
      <c r="AJ185" s="24"/>
      <c r="AN185" s="9"/>
      <c r="AO185" s="9"/>
      <c r="AP185" s="9"/>
      <c r="AQ185" s="9"/>
      <c r="AR185" s="9"/>
    </row>
    <row r="186" spans="2:44" ht="30">
      <c r="B186" s="211" t="s">
        <v>126</v>
      </c>
      <c r="C186" s="38"/>
      <c r="D186" s="211">
        <v>1</v>
      </c>
      <c r="H186" s="244" t="str">
        <f>B184</f>
        <v>Horse, 14% crude protein, pellet form</v>
      </c>
      <c r="I186" s="244">
        <f>IF(OR(H186=0,ISERROR(H186)),0,VLOOKUP($H186,'Standard data'!$C$204:$G$220,4,FALSE)*D184)</f>
        <v>0</v>
      </c>
      <c r="J186" s="244">
        <f>IF(OR(H186=0,ISERROR(H186)),0,VLOOKUP($H186,'Standard data'!$C$204:$G$220,3,FALSE)/1000*$D184)</f>
        <v>0</v>
      </c>
      <c r="K186" s="139"/>
      <c r="L186" s="152"/>
      <c r="M186" s="147"/>
      <c r="N186" s="148"/>
      <c r="O186" s="149"/>
      <c r="X186" s="9"/>
      <c r="Y186" s="9"/>
      <c r="AG186" s="18"/>
      <c r="AH186" s="26"/>
      <c r="AI186" s="24"/>
      <c r="AJ186" s="24"/>
      <c r="AK186" s="18"/>
      <c r="AN186" s="9"/>
      <c r="AO186" s="33"/>
      <c r="AP186" s="34"/>
      <c r="AQ186" s="34"/>
      <c r="AR186" s="9"/>
    </row>
    <row r="187" spans="2:44" ht="30">
      <c r="B187" s="211" t="s">
        <v>126</v>
      </c>
      <c r="C187" s="38"/>
      <c r="D187" s="211">
        <v>1</v>
      </c>
      <c r="H187" s="244" t="str">
        <f>B185</f>
        <v>Horse, 14% crude protein, pellet form</v>
      </c>
      <c r="I187" s="244">
        <f>IF(OR(H187=0,ISERROR(H187)),0,VLOOKUP($H187,'Standard data'!$C$204:$G$220,4,FALSE)*D185)</f>
        <v>3.105</v>
      </c>
      <c r="J187" s="244">
        <f>IF(OR(H187=0,ISERROR(H187)),0,VLOOKUP($H187,'Standard data'!$C$204:$G$220,3,FALSE)/1000*$D185)</f>
        <v>0.47499999999999998</v>
      </c>
      <c r="K187" s="139"/>
      <c r="L187" s="152"/>
      <c r="M187" s="147"/>
      <c r="N187" s="148"/>
      <c r="O187" s="149"/>
      <c r="X187" s="9"/>
      <c r="Y187" s="9"/>
      <c r="AG187" s="18"/>
      <c r="AH187" s="39"/>
      <c r="AI187" s="40"/>
      <c r="AJ187" s="40"/>
      <c r="AK187" s="18"/>
      <c r="AN187" s="9"/>
      <c r="AO187" s="33"/>
      <c r="AP187" s="34"/>
      <c r="AQ187" s="34"/>
      <c r="AR187" s="9"/>
    </row>
    <row r="188" spans="2:44" ht="30">
      <c r="B188" s="211" t="s">
        <v>126</v>
      </c>
      <c r="C188" s="38"/>
      <c r="D188" s="211"/>
      <c r="H188" s="244" t="str">
        <f>B186</f>
        <v>Horse, 14% crude protein, pellet form</v>
      </c>
      <c r="I188" s="244">
        <f>IF(OR(H188=0,ISERROR(H188)),0,VLOOKUP($H188,'Standard data'!$C$204:$G$220,4,FALSE)*D186)</f>
        <v>3.105</v>
      </c>
      <c r="J188" s="244">
        <f>IF(OR(H188=0,ISERROR(H188)),0,VLOOKUP($H188,'Standard data'!$C$204:$G$220,3,FALSE)/1000*$D186)</f>
        <v>0.47499999999999998</v>
      </c>
      <c r="K188" s="139"/>
      <c r="L188" s="152"/>
      <c r="M188" s="147"/>
      <c r="N188" s="148"/>
      <c r="O188" s="149"/>
      <c r="X188" s="9"/>
      <c r="Y188" s="9"/>
      <c r="AG188" s="18"/>
      <c r="AH188" s="26"/>
      <c r="AI188" s="24"/>
      <c r="AJ188" s="24"/>
      <c r="AK188" s="18"/>
      <c r="AN188" s="9"/>
      <c r="AO188" s="33"/>
      <c r="AP188" s="34"/>
      <c r="AQ188" s="34"/>
      <c r="AR188" s="9"/>
    </row>
    <row r="189" spans="2:44" ht="15">
      <c r="B189" s="244" t="s">
        <v>445</v>
      </c>
      <c r="C189" s="244"/>
      <c r="D189" s="244">
        <f>SUM(D184:D188)</f>
        <v>3</v>
      </c>
      <c r="H189" s="244" t="str">
        <f>B187</f>
        <v>Horse, 14% crude protein, pellet form</v>
      </c>
      <c r="I189" s="244">
        <f>IF(OR(H189=0,ISERROR(H189)),0,VLOOKUP($H189,'Standard data'!$C$204:$G$220,4,FALSE)*D187)</f>
        <v>3.105</v>
      </c>
      <c r="J189" s="244">
        <f>IF(OR(H189=0,ISERROR(H189)),0,VLOOKUP($H189,'Standard data'!$C$204:$G$220,3,FALSE)/1000*$D187)</f>
        <v>0.47499999999999998</v>
      </c>
      <c r="K189" s="139"/>
      <c r="L189" s="152"/>
      <c r="M189" s="147"/>
      <c r="N189" s="148"/>
      <c r="O189" s="149"/>
      <c r="X189" s="9"/>
      <c r="Y189" s="9"/>
      <c r="AG189" s="18"/>
      <c r="AH189" s="26"/>
      <c r="AI189" s="24"/>
      <c r="AJ189" s="24"/>
      <c r="AK189" s="18"/>
      <c r="AN189" s="9"/>
      <c r="AO189" s="33"/>
      <c r="AP189" s="34"/>
      <c r="AQ189" s="34"/>
      <c r="AR189" s="9"/>
    </row>
    <row r="190" spans="2:44" ht="15">
      <c r="B190" s="28" t="s">
        <v>448</v>
      </c>
      <c r="C190" s="23"/>
      <c r="D190" s="132"/>
      <c r="H190" s="244" t="str">
        <f>B188</f>
        <v>Horse, 14% crude protein, pellet form</v>
      </c>
      <c r="I190" s="244">
        <f>IF(OR(H190=0,ISERROR(H190)),0,VLOOKUP($H190,'Standard data'!$C$204:$G$220,4,FALSE)*D188)</f>
        <v>0</v>
      </c>
      <c r="J190" s="244">
        <f>IF(OR(H190=0,ISERROR(H190)),0,VLOOKUP($H190,'Standard data'!$C$204:$G$220,3,FALSE)/1000*$D188)</f>
        <v>0</v>
      </c>
      <c r="K190" s="139"/>
      <c r="L190" s="152"/>
      <c r="M190" s="147"/>
      <c r="N190" s="148"/>
      <c r="O190" s="149"/>
      <c r="X190" s="9"/>
      <c r="Y190" s="9"/>
      <c r="AG190" s="18"/>
      <c r="AH190" s="26"/>
      <c r="AI190" s="24"/>
      <c r="AJ190" s="24"/>
      <c r="AK190" s="18"/>
      <c r="AN190" s="9"/>
      <c r="AO190" s="33"/>
      <c r="AP190" s="34"/>
      <c r="AQ190" s="34"/>
      <c r="AR190" s="9"/>
    </row>
    <row r="191" spans="2:44" s="9" customFormat="1" ht="15">
      <c r="B191" s="211" t="s">
        <v>442</v>
      </c>
      <c r="C191" s="38"/>
      <c r="D191" s="211">
        <v>2</v>
      </c>
      <c r="E191" s="1"/>
      <c r="F191" s="1"/>
      <c r="G191" s="1"/>
      <c r="H191" s="244" t="s">
        <v>445</v>
      </c>
      <c r="I191" s="244">
        <f>SUM(I185:I190)</f>
        <v>9.3149999999999995</v>
      </c>
      <c r="J191" s="244">
        <f>SUM(J185:J190)</f>
        <v>1.4249999999999998</v>
      </c>
      <c r="K191" s="146"/>
      <c r="L191" s="152"/>
      <c r="M191" s="147"/>
      <c r="N191" s="148"/>
      <c r="O191" s="149"/>
      <c r="AH191" s="26"/>
      <c r="AI191" s="24"/>
      <c r="AJ191" s="24"/>
      <c r="AO191" s="33"/>
      <c r="AP191" s="34"/>
      <c r="AQ191" s="34"/>
    </row>
    <row r="192" spans="2:44" s="9" customFormat="1" ht="30">
      <c r="B192" s="211" t="s">
        <v>443</v>
      </c>
      <c r="C192" s="38"/>
      <c r="D192" s="211">
        <v>2</v>
      </c>
      <c r="E192" s="1"/>
      <c r="F192" s="1"/>
      <c r="G192" s="1"/>
      <c r="H192" s="244" t="s">
        <v>125</v>
      </c>
      <c r="I192" s="244" t="str">
        <f>B190</f>
        <v>Self mixed feed</v>
      </c>
      <c r="J192" s="244"/>
      <c r="K192" s="147"/>
      <c r="L192" s="147"/>
      <c r="M192" s="147"/>
      <c r="N192" s="147"/>
      <c r="O192" s="147"/>
      <c r="AH192" s="26"/>
      <c r="AI192" s="24"/>
      <c r="AJ192" s="24"/>
      <c r="AO192" s="33"/>
      <c r="AP192" s="34"/>
      <c r="AQ192" s="34"/>
    </row>
    <row r="193" spans="2:44" s="9" customFormat="1" ht="30">
      <c r="B193" s="211" t="s">
        <v>444</v>
      </c>
      <c r="C193" s="38"/>
      <c r="D193" s="211">
        <v>2</v>
      </c>
      <c r="E193" s="1"/>
      <c r="F193" s="1"/>
      <c r="G193" s="1"/>
      <c r="H193" s="244"/>
      <c r="I193" s="244"/>
      <c r="J193" s="244" t="s">
        <v>18</v>
      </c>
      <c r="K193" s="141"/>
      <c r="L193" s="147"/>
      <c r="M193" s="147"/>
      <c r="N193" s="147"/>
      <c r="O193" s="147"/>
      <c r="AH193" s="26"/>
      <c r="AI193" s="24"/>
      <c r="AJ193" s="24"/>
      <c r="AO193" s="33"/>
      <c r="AP193" s="34"/>
      <c r="AQ193" s="34"/>
    </row>
    <row r="194" spans="2:44" s="9" customFormat="1" ht="15">
      <c r="B194" s="244" t="s">
        <v>445</v>
      </c>
      <c r="C194" s="244"/>
      <c r="D194" s="244">
        <f>SUM(D191:D193)</f>
        <v>6</v>
      </c>
      <c r="E194" s="1"/>
      <c r="F194" s="1"/>
      <c r="G194" s="1"/>
      <c r="H194" s="244" t="str">
        <f>B191</f>
        <v xml:space="preserve">Cereals </v>
      </c>
      <c r="I194" s="244"/>
      <c r="J194" s="244">
        <f>'Standard data'!$D$319*$D191</f>
        <v>2.0646648000000001</v>
      </c>
      <c r="K194" s="147"/>
      <c r="L194" s="147"/>
      <c r="M194" s="147"/>
      <c r="N194" s="147"/>
      <c r="O194" s="147"/>
      <c r="AH194" s="26"/>
      <c r="AI194" s="24"/>
      <c r="AJ194" s="24"/>
      <c r="AO194" s="33"/>
      <c r="AP194" s="34"/>
      <c r="AQ194" s="34"/>
    </row>
    <row r="195" spans="2:44" s="9" customFormat="1" ht="15">
      <c r="B195" s="211" t="s">
        <v>45</v>
      </c>
      <c r="C195" s="137"/>
      <c r="D195" s="211">
        <v>2</v>
      </c>
      <c r="E195" s="1"/>
      <c r="F195" s="1"/>
      <c r="G195" s="1"/>
      <c r="H195" s="244" t="str">
        <f>B192</f>
        <v>Proteins (pulses, soy, distilled grains,…)</v>
      </c>
      <c r="I195" s="244"/>
      <c r="J195" s="244">
        <f>'Standard data'!$G$319*$D192</f>
        <v>5.3632387999999995</v>
      </c>
      <c r="K195" s="147"/>
      <c r="L195" s="147"/>
      <c r="M195" s="147"/>
      <c r="N195" s="147"/>
      <c r="O195" s="147"/>
      <c r="AH195" s="26"/>
      <c r="AI195" s="24"/>
      <c r="AJ195" s="24"/>
      <c r="AO195" s="33"/>
      <c r="AP195" s="34"/>
      <c r="AQ195" s="34"/>
    </row>
    <row r="196" spans="2:44" s="9" customFormat="1" ht="15">
      <c r="E196" s="1"/>
      <c r="F196" s="1"/>
      <c r="G196" s="1"/>
      <c r="H196" s="244" t="str">
        <f>B193</f>
        <v>Energy (molasses, starch, co-products,…)</v>
      </c>
      <c r="I196" s="244"/>
      <c r="J196" s="244">
        <f>'Standard data'!$J$319*$D193</f>
        <v>0.47795159999999998</v>
      </c>
      <c r="K196" s="147"/>
      <c r="L196" s="147"/>
      <c r="M196" s="147"/>
      <c r="N196" s="147"/>
      <c r="O196" s="147"/>
      <c r="AH196" s="26"/>
      <c r="AI196" s="24"/>
      <c r="AJ196" s="24"/>
      <c r="AO196" s="33"/>
      <c r="AP196" s="34"/>
      <c r="AQ196" s="34"/>
    </row>
    <row r="197" spans="2:44" s="9" customFormat="1" ht="15">
      <c r="E197" s="1"/>
      <c r="F197" s="1"/>
      <c r="G197" s="1"/>
      <c r="H197" s="244" t="s">
        <v>445</v>
      </c>
      <c r="I197" s="244"/>
      <c r="J197" s="244">
        <f>SUM(J194:J196)</f>
        <v>7.9058551999999995</v>
      </c>
      <c r="K197" s="146"/>
      <c r="L197" s="147"/>
      <c r="M197" s="147"/>
      <c r="N197" s="147"/>
      <c r="O197" s="147"/>
      <c r="AH197" s="26"/>
      <c r="AI197" s="24"/>
      <c r="AJ197" s="24"/>
      <c r="AO197" s="33"/>
      <c r="AP197" s="34"/>
      <c r="AQ197" s="34"/>
    </row>
    <row r="198" spans="2:44" s="9" customFormat="1" ht="15">
      <c r="E198" s="1"/>
      <c r="F198" s="1"/>
      <c r="G198" s="1"/>
      <c r="H198" s="244"/>
      <c r="I198" s="244"/>
      <c r="J198" s="244"/>
      <c r="K198" s="147"/>
      <c r="L198" s="147"/>
      <c r="M198" s="147"/>
      <c r="N198" s="147"/>
      <c r="O198" s="147"/>
      <c r="AH198" s="26"/>
      <c r="AI198" s="24"/>
      <c r="AJ198" s="24"/>
      <c r="AO198" s="33"/>
      <c r="AP198" s="34"/>
      <c r="AQ198" s="34"/>
    </row>
    <row r="199" spans="2:44" ht="15">
      <c r="H199" s="244" t="str">
        <f>B195</f>
        <v>Milk powder</v>
      </c>
      <c r="I199" s="244">
        <f>VLOOKUP($H199,'Standard data'!$C$110:$G$133,4,FALSE)/1000*D195</f>
        <v>8.6599999999999996E-2</v>
      </c>
      <c r="J199" s="244">
        <f>VLOOKUP($H199,'Standard data'!$C$110:$G$133,3,FALSE)/1000*$D195/1000</f>
        <v>2.2000000000000001E-4</v>
      </c>
      <c r="K199" s="139"/>
      <c r="L199" s="143"/>
      <c r="M199" s="143"/>
      <c r="N199" s="144"/>
      <c r="O199" s="145"/>
      <c r="P199" s="18"/>
      <c r="X199" s="9"/>
      <c r="Y199" s="9"/>
      <c r="AG199" s="18"/>
      <c r="AH199" s="26"/>
      <c r="AI199" s="24"/>
      <c r="AJ199" s="24"/>
      <c r="AK199" s="18"/>
      <c r="AN199" s="9"/>
      <c r="AO199" s="33"/>
      <c r="AP199" s="34"/>
      <c r="AQ199" s="34"/>
      <c r="AR199" s="9"/>
    </row>
    <row r="200" spans="2:44" s="9" customFormat="1">
      <c r="E200" s="1"/>
      <c r="F200" s="1"/>
      <c r="G200" s="1"/>
      <c r="H200" s="153"/>
      <c r="I200" s="154"/>
      <c r="J200" s="154"/>
      <c r="K200" s="147"/>
      <c r="L200" s="147"/>
      <c r="M200" s="147"/>
      <c r="N200" s="147"/>
      <c r="O200" s="147"/>
      <c r="AH200" s="26"/>
      <c r="AI200" s="24"/>
      <c r="AJ200" s="24"/>
      <c r="AO200" s="33"/>
      <c r="AP200" s="34"/>
      <c r="AQ200" s="34"/>
    </row>
    <row r="201" spans="2:44" s="9" customFormat="1">
      <c r="C201" s="44"/>
      <c r="D201" s="45"/>
      <c r="H201" s="147"/>
      <c r="I201" s="147"/>
      <c r="J201" s="147"/>
      <c r="K201" s="147"/>
      <c r="L201" s="153"/>
      <c r="M201" s="154"/>
      <c r="N201" s="154"/>
      <c r="O201" s="147"/>
      <c r="AH201" s="26"/>
      <c r="AI201" s="24"/>
      <c r="AJ201" s="24"/>
      <c r="AO201" s="33"/>
      <c r="AP201" s="34"/>
      <c r="AQ201" s="34"/>
    </row>
    <row r="202" spans="2:44" s="9" customFormat="1">
      <c r="D202" s="44"/>
      <c r="E202" s="45"/>
      <c r="H202" s="147"/>
      <c r="I202" s="147"/>
      <c r="J202" s="147"/>
      <c r="K202" s="147"/>
      <c r="L202" s="147"/>
      <c r="M202" s="153"/>
      <c r="N202" s="154"/>
      <c r="O202" s="154"/>
      <c r="AI202" s="26"/>
      <c r="AJ202" s="24"/>
      <c r="AK202" s="24"/>
      <c r="AP202" s="33"/>
      <c r="AQ202" s="34"/>
      <c r="AR202" s="34"/>
    </row>
    <row r="203" spans="2:44" s="9" customFormat="1" ht="15.75">
      <c r="B203" s="245" t="s">
        <v>71</v>
      </c>
      <c r="D203" s="44"/>
      <c r="E203" s="45"/>
      <c r="H203" s="147"/>
      <c r="I203" s="147"/>
      <c r="J203" s="147"/>
      <c r="K203" s="147"/>
      <c r="L203" s="147"/>
      <c r="M203" s="153"/>
      <c r="N203" s="154"/>
      <c r="O203" s="154"/>
      <c r="AI203" s="26"/>
      <c r="AJ203" s="24"/>
      <c r="AK203" s="24"/>
      <c r="AP203" s="33"/>
      <c r="AQ203" s="34"/>
      <c r="AR203" s="34"/>
    </row>
    <row r="204" spans="2:44" ht="15">
      <c r="B204" s="28" t="s">
        <v>14</v>
      </c>
      <c r="C204" s="132" t="s">
        <v>628</v>
      </c>
      <c r="D204" s="132" t="s">
        <v>629</v>
      </c>
      <c r="E204" s="244" t="s">
        <v>445</v>
      </c>
      <c r="H204" s="244" t="s">
        <v>71</v>
      </c>
      <c r="I204" s="244" t="str">
        <f>B204</f>
        <v>Forage</v>
      </c>
      <c r="J204" s="244"/>
      <c r="K204" s="139"/>
      <c r="L204" s="244" t="s">
        <v>16</v>
      </c>
      <c r="M204" s="244"/>
      <c r="N204" s="244"/>
      <c r="O204" s="141"/>
    </row>
    <row r="205" spans="2:44" ht="15">
      <c r="B205" s="211" t="s">
        <v>22</v>
      </c>
      <c r="C205" s="211"/>
      <c r="D205" s="211"/>
      <c r="E205" s="244">
        <f t="shared" ref="E205:E211" si="20">D205+C205</f>
        <v>0</v>
      </c>
      <c r="H205" s="244"/>
      <c r="I205" s="244" t="s">
        <v>17</v>
      </c>
      <c r="J205" s="244" t="s">
        <v>18</v>
      </c>
      <c r="K205" s="139"/>
      <c r="L205" s="244" t="s">
        <v>19</v>
      </c>
      <c r="M205" s="244" t="s">
        <v>20</v>
      </c>
      <c r="N205" s="244" t="s">
        <v>21</v>
      </c>
      <c r="O205" s="139"/>
    </row>
    <row r="206" spans="2:44" ht="15">
      <c r="B206" s="211" t="s">
        <v>22</v>
      </c>
      <c r="C206" s="211"/>
      <c r="D206" s="211"/>
      <c r="E206" s="244">
        <f t="shared" si="20"/>
        <v>0</v>
      </c>
      <c r="H206" s="244" t="str">
        <f t="shared" ref="H206:H212" si="21">B205</f>
        <v>Grazing (grasslands)</v>
      </c>
      <c r="I206" s="244">
        <f>IF(OR(H206=0,ISERROR(H206)),0,VLOOKUP($H206,'Standard data'!$C$80:$G$103,4,FALSE)*D205)</f>
        <v>0</v>
      </c>
      <c r="J206" s="244">
        <f>IF(OR(H206=0,ISERROR(H206)),0,VLOOKUP($H206,'Standard data'!$C$80:$G$103,3,FALSE)/1000*D205)</f>
        <v>0</v>
      </c>
      <c r="K206" s="139"/>
      <c r="L206" s="244" t="str">
        <f>H206</f>
        <v>Grazing (grasslands)</v>
      </c>
      <c r="M206" s="244">
        <f t="shared" ref="M206:M212" si="22">E205</f>
        <v>0</v>
      </c>
      <c r="N206" s="244">
        <f>IF(OR(H206=0,ISERROR(H206)),0,VLOOKUP($B205,'Standard data'!$C$80:$H$103,6,FALSE))</f>
        <v>0.6</v>
      </c>
      <c r="O206" s="139"/>
    </row>
    <row r="207" spans="2:44" ht="15">
      <c r="B207" s="211" t="s">
        <v>22</v>
      </c>
      <c r="C207" s="211"/>
      <c r="D207" s="211">
        <v>1</v>
      </c>
      <c r="E207" s="244">
        <f t="shared" si="20"/>
        <v>1</v>
      </c>
      <c r="H207" s="244" t="str">
        <f t="shared" si="21"/>
        <v>Grazing (grasslands)</v>
      </c>
      <c r="I207" s="244">
        <f>IF(OR(H207=0,ISERROR(H207)),0,VLOOKUP($H207,'Standard data'!$C$80:$G$103,4,FALSE)*D206)</f>
        <v>0</v>
      </c>
      <c r="J207" s="244">
        <f>IF(OR(H207=0,ISERROR(H207)),0,VLOOKUP($H207,'Standard data'!$C$80:$G$103,3,FALSE)/1000*D206)</f>
        <v>0</v>
      </c>
      <c r="K207" s="139"/>
      <c r="L207" s="244" t="str">
        <f t="shared" ref="L207:L212" si="23">H207</f>
        <v>Grazing (grasslands)</v>
      </c>
      <c r="M207" s="244">
        <f t="shared" si="22"/>
        <v>0</v>
      </c>
      <c r="N207" s="244">
        <f>IF(OR(H207=0,ISERROR(H207)),0,VLOOKUP($B206,'Standard data'!$C$80:$H$103,6,FALSE))</f>
        <v>0.6</v>
      </c>
      <c r="O207" s="139"/>
    </row>
    <row r="208" spans="2:44" ht="15">
      <c r="B208" s="211" t="s">
        <v>22</v>
      </c>
      <c r="C208" s="211"/>
      <c r="D208" s="211">
        <v>1</v>
      </c>
      <c r="E208" s="244">
        <f t="shared" si="20"/>
        <v>1</v>
      </c>
      <c r="H208" s="244" t="str">
        <f t="shared" si="21"/>
        <v>Grazing (grasslands)</v>
      </c>
      <c r="I208" s="244">
        <f>IF(OR(H208=0,ISERROR(H208)),0,VLOOKUP($H208,'Standard data'!$C$80:$G$103,4,FALSE)*D207)</f>
        <v>0</v>
      </c>
      <c r="J208" s="244">
        <f>IF(OR(H208=0,ISERROR(H208)),0,VLOOKUP($H208,'Standard data'!$C$80:$G$103,3,FALSE)/1000*D207)</f>
        <v>8.6999999999999994E-2</v>
      </c>
      <c r="K208" s="139"/>
      <c r="L208" s="244" t="str">
        <f t="shared" si="23"/>
        <v>Grazing (grasslands)</v>
      </c>
      <c r="M208" s="244">
        <f t="shared" si="22"/>
        <v>1</v>
      </c>
      <c r="N208" s="244">
        <f>IF(OR(H208=0,ISERROR(H208)),0,VLOOKUP($B207,'Standard data'!$C$80:$H$103,6,FALSE))</f>
        <v>0.6</v>
      </c>
      <c r="O208" s="139"/>
    </row>
    <row r="209" spans="2:44" ht="15">
      <c r="B209" s="211" t="s">
        <v>22</v>
      </c>
      <c r="C209" s="211"/>
      <c r="D209" s="211">
        <v>1</v>
      </c>
      <c r="E209" s="244">
        <f t="shared" si="20"/>
        <v>1</v>
      </c>
      <c r="H209" s="244" t="str">
        <f t="shared" si="21"/>
        <v>Grazing (grasslands)</v>
      </c>
      <c r="I209" s="244">
        <f>IF(OR(H209=0,ISERROR(H209)),0,VLOOKUP($H209,'Standard data'!$C$80:$G$103,4,FALSE)*D208)</f>
        <v>0</v>
      </c>
      <c r="J209" s="244">
        <f>IF(OR(H209=0,ISERROR(H209)),0,VLOOKUP($H209,'Standard data'!$C$80:$G$103,3,FALSE)/1000*D208)</f>
        <v>8.6999999999999994E-2</v>
      </c>
      <c r="K209" s="139"/>
      <c r="L209" s="244" t="str">
        <f t="shared" si="23"/>
        <v>Grazing (grasslands)</v>
      </c>
      <c r="M209" s="244">
        <f t="shared" si="22"/>
        <v>1</v>
      </c>
      <c r="N209" s="244">
        <f>IF(OR(H209=0,ISERROR(H209)),0,VLOOKUP($B208,'Standard data'!$C$80:$H$103,6,FALSE))</f>
        <v>0.6</v>
      </c>
      <c r="O209" s="139"/>
    </row>
    <row r="210" spans="2:44" ht="15">
      <c r="B210" s="211" t="s">
        <v>22</v>
      </c>
      <c r="C210" s="211"/>
      <c r="D210" s="211"/>
      <c r="E210" s="244">
        <f t="shared" si="20"/>
        <v>0</v>
      </c>
      <c r="H210" s="244" t="str">
        <f t="shared" si="21"/>
        <v>Grazing (grasslands)</v>
      </c>
      <c r="I210" s="244">
        <f>IF(OR(H210=0,ISERROR(H210)),0,VLOOKUP($H210,'Standard data'!$C$80:$G$103,4,FALSE)*D209)</f>
        <v>0</v>
      </c>
      <c r="J210" s="244">
        <f>IF(OR(H210=0,ISERROR(H210)),0,VLOOKUP($H210,'Standard data'!$C$80:$G$103,3,FALSE)/1000*D209)</f>
        <v>8.6999999999999994E-2</v>
      </c>
      <c r="K210" s="139"/>
      <c r="L210" s="244" t="str">
        <f t="shared" si="23"/>
        <v>Grazing (grasslands)</v>
      </c>
      <c r="M210" s="244">
        <f t="shared" si="22"/>
        <v>1</v>
      </c>
      <c r="N210" s="244">
        <f>IF(OR(H210=0,ISERROR(H210)),0,VLOOKUP($B209,'Standard data'!$C$80:$H$103,6,FALSE))</f>
        <v>0.6</v>
      </c>
      <c r="O210" s="139"/>
    </row>
    <row r="211" spans="2:44" ht="15">
      <c r="B211" s="211" t="s">
        <v>22</v>
      </c>
      <c r="C211" s="211"/>
      <c r="D211" s="211"/>
      <c r="E211" s="244">
        <f t="shared" si="20"/>
        <v>0</v>
      </c>
      <c r="H211" s="244" t="str">
        <f t="shared" si="21"/>
        <v>Grazing (grasslands)</v>
      </c>
      <c r="I211" s="244">
        <f>IF(OR(H211=0,ISERROR(H211)),0,VLOOKUP($H211,'Standard data'!$C$80:$G$103,4,FALSE)*D210)</f>
        <v>0</v>
      </c>
      <c r="J211" s="244">
        <f>IF(OR(H211=0,ISERROR(H211)),0,VLOOKUP($H211,'Standard data'!$C$80:$G$103,3,FALSE)/1000*D210)</f>
        <v>0</v>
      </c>
      <c r="K211" s="139"/>
      <c r="L211" s="244" t="str">
        <f t="shared" si="23"/>
        <v>Grazing (grasslands)</v>
      </c>
      <c r="M211" s="244">
        <f t="shared" si="22"/>
        <v>0</v>
      </c>
      <c r="N211" s="244">
        <f>IF(OR(H211=0,ISERROR(H211)),0,VLOOKUP($B210,'Standard data'!$C$80:$H$103,6,FALSE))</f>
        <v>0.6</v>
      </c>
      <c r="O211" s="139"/>
    </row>
    <row r="212" spans="2:44" ht="15">
      <c r="B212" s="244" t="s">
        <v>445</v>
      </c>
      <c r="C212" s="244">
        <f>SUM(C205:C211)</f>
        <v>0</v>
      </c>
      <c r="D212" s="244">
        <f>SUM(D205:D211)</f>
        <v>3</v>
      </c>
      <c r="E212" s="244">
        <f>SUM(E205:E211)</f>
        <v>3</v>
      </c>
      <c r="H212" s="244" t="str">
        <f t="shared" si="21"/>
        <v>Grazing (grasslands)</v>
      </c>
      <c r="I212" s="244">
        <f>IF(OR(H212=0,ISERROR(H212)),0,VLOOKUP($H212,'Standard data'!$C$80:$G$103,4,FALSE)*D211)</f>
        <v>0</v>
      </c>
      <c r="J212" s="244">
        <f>IF(OR(H212=0,ISERROR(H212)),0,VLOOKUP($H212,'Standard data'!$C$80:$G$103,3,FALSE)/1000*D211)</f>
        <v>0</v>
      </c>
      <c r="K212" s="139"/>
      <c r="L212" s="244" t="str">
        <f t="shared" si="23"/>
        <v>Grazing (grasslands)</v>
      </c>
      <c r="M212" s="244">
        <f t="shared" si="22"/>
        <v>0</v>
      </c>
      <c r="N212" s="244">
        <f>IF(OR(H212=0,ISERROR(H212)),0,VLOOKUP($B211,'Standard data'!$C$80:$H$103,6,FALSE))</f>
        <v>0.6</v>
      </c>
      <c r="O212" s="139"/>
    </row>
    <row r="213" spans="2:44" ht="15">
      <c r="H213" s="244" t="s">
        <v>445</v>
      </c>
      <c r="I213" s="244">
        <f>SUM(I206:I212)</f>
        <v>0</v>
      </c>
      <c r="J213" s="244">
        <f>SUM(J206:J212)</f>
        <v>0.26100000000000001</v>
      </c>
      <c r="K213" s="139"/>
      <c r="L213" s="244" t="str">
        <f>I216</f>
        <v>FEED - Simple</v>
      </c>
      <c r="M213" s="244">
        <f>C222+D222</f>
        <v>3</v>
      </c>
      <c r="N213" s="244">
        <f>'Standard data'!$G$277</f>
        <v>0.88</v>
      </c>
      <c r="O213" s="139"/>
      <c r="W213" s="1">
        <v>0.88</v>
      </c>
    </row>
    <row r="214" spans="2:44" ht="15">
      <c r="H214" s="139"/>
      <c r="I214" s="139"/>
      <c r="J214" s="139"/>
      <c r="K214" s="139"/>
      <c r="L214" s="244" t="str">
        <f>I224</f>
        <v>Complex feed</v>
      </c>
      <c r="M214" s="244">
        <f>D229</f>
        <v>3</v>
      </c>
      <c r="N214" s="244">
        <f>G231</f>
        <v>0.88</v>
      </c>
      <c r="O214" s="139"/>
      <c r="W214" s="1">
        <v>0</v>
      </c>
    </row>
    <row r="215" spans="2:44" ht="15">
      <c r="H215" s="139"/>
      <c r="I215" s="139"/>
      <c r="J215" s="139"/>
      <c r="K215" s="139"/>
      <c r="L215" s="244" t="str">
        <f>I232</f>
        <v>Self mixed feed</v>
      </c>
      <c r="M215" s="244">
        <f>D234</f>
        <v>6</v>
      </c>
      <c r="N215" s="244">
        <f>'Standard data'!$G$277</f>
        <v>0.88</v>
      </c>
      <c r="O215" s="139"/>
      <c r="W215" s="1">
        <v>0.88</v>
      </c>
      <c r="AN215" s="9"/>
      <c r="AO215" s="9"/>
      <c r="AP215" s="9"/>
      <c r="AQ215" s="9"/>
      <c r="AR215" s="9"/>
    </row>
    <row r="216" spans="2:44" ht="15">
      <c r="B216" s="28" t="s">
        <v>453</v>
      </c>
      <c r="C216" s="132" t="s">
        <v>636</v>
      </c>
      <c r="D216" s="132" t="s">
        <v>635</v>
      </c>
      <c r="H216" s="244" t="s">
        <v>71</v>
      </c>
      <c r="I216" s="244" t="str">
        <f>B216</f>
        <v>FEED - Simple</v>
      </c>
      <c r="J216" s="244"/>
      <c r="K216" s="139"/>
      <c r="L216" s="244" t="str">
        <f>H204</f>
        <v>PIGS</v>
      </c>
      <c r="M216" s="244" t="s">
        <v>29</v>
      </c>
      <c r="N216" s="244">
        <f>IF(SUM(M206:M215)=0,0,SUMPRODUCT(M206:M215,N206:N215)/SUM(M206:M215))</f>
        <v>0.82399999999999995</v>
      </c>
      <c r="O216" s="142"/>
      <c r="T216" s="18"/>
      <c r="X216" s="9"/>
      <c r="Y216" s="9"/>
      <c r="AG216" s="18"/>
      <c r="AH216" s="26"/>
      <c r="AI216" s="24"/>
      <c r="AJ216" s="24"/>
      <c r="AK216" s="18"/>
      <c r="AN216" s="9"/>
      <c r="AO216" s="9"/>
      <c r="AP216" s="9"/>
      <c r="AQ216" s="9"/>
      <c r="AR216" s="9"/>
    </row>
    <row r="217" spans="2:44" s="18" customFormat="1" ht="15">
      <c r="B217" s="211" t="s">
        <v>112</v>
      </c>
      <c r="C217" s="211"/>
      <c r="D217" s="211"/>
      <c r="E217" s="1"/>
      <c r="F217" s="1"/>
      <c r="H217" s="244"/>
      <c r="I217" s="244" t="s">
        <v>17</v>
      </c>
      <c r="J217" s="244" t="s">
        <v>18</v>
      </c>
      <c r="K217" s="141"/>
      <c r="L217" s="244" t="str">
        <f>H204</f>
        <v>PIGS</v>
      </c>
      <c r="M217" s="244" t="s">
        <v>30</v>
      </c>
      <c r="N217" s="244">
        <v>6.0000000000000001E-3</v>
      </c>
      <c r="O217" s="142"/>
      <c r="X217" s="9"/>
      <c r="Y217" s="9"/>
      <c r="AH217" s="26"/>
      <c r="AI217" s="24"/>
      <c r="AJ217" s="24"/>
      <c r="AN217" s="9"/>
      <c r="AO217" s="9"/>
      <c r="AP217" s="9"/>
      <c r="AQ217" s="9"/>
      <c r="AR217" s="9"/>
    </row>
    <row r="218" spans="2:44" ht="15">
      <c r="B218" s="211" t="s">
        <v>112</v>
      </c>
      <c r="C218" s="211"/>
      <c r="D218" s="211">
        <v>1</v>
      </c>
      <c r="H218" s="244" t="str">
        <f>B217</f>
        <v>Wheat</v>
      </c>
      <c r="I218" s="244">
        <f>IF(OR(H218=0,ISERROR(H218)),0,VLOOKUP($H218,'Standard data'!$C$110:$G$133,4,FALSE)*D217)</f>
        <v>0</v>
      </c>
      <c r="J218" s="244">
        <f>IF(OR(H218=0,ISERROR(H218)),0,VLOOKUP($H218,'Standard data'!$C$110:$G$133,3,FALSE)/1000*$D217)</f>
        <v>0</v>
      </c>
      <c r="K218" s="139"/>
      <c r="L218" s="143"/>
      <c r="M218" s="143"/>
      <c r="N218" s="144"/>
      <c r="O218" s="145"/>
      <c r="T218" s="18"/>
      <c r="X218" s="9"/>
      <c r="Y218" s="9"/>
      <c r="AG218" s="18"/>
      <c r="AH218" s="26"/>
      <c r="AI218" s="24"/>
      <c r="AJ218" s="24"/>
      <c r="AK218" s="18"/>
      <c r="AN218" s="9"/>
      <c r="AO218" s="9"/>
      <c r="AP218" s="9"/>
      <c r="AQ218" s="9"/>
      <c r="AR218" s="9"/>
    </row>
    <row r="219" spans="2:44" ht="15">
      <c r="B219" s="211" t="s">
        <v>112</v>
      </c>
      <c r="C219" s="211"/>
      <c r="D219" s="211">
        <v>1</v>
      </c>
      <c r="H219" s="244" t="str">
        <f>B218</f>
        <v>Wheat</v>
      </c>
      <c r="I219" s="244">
        <f>IF(OR(H219=0,ISERROR(H219)),0,VLOOKUP($H219,'Standard data'!$C$110:$G$133,4,FALSE)*D218)</f>
        <v>2.5630000000000002</v>
      </c>
      <c r="J219" s="244">
        <f>IF(OR(H219=0,ISERROR(H219)),0,VLOOKUP($H219,'Standard data'!$C$110:$G$133,3,FALSE)/1000*$D218)</f>
        <v>0.35299999999999998</v>
      </c>
      <c r="K219" s="139"/>
      <c r="L219" s="143"/>
      <c r="M219" s="143"/>
      <c r="N219" s="144"/>
      <c r="O219" s="145"/>
      <c r="T219" s="18"/>
      <c r="X219" s="9"/>
      <c r="Y219" s="9"/>
      <c r="AG219" s="18"/>
      <c r="AH219" s="26"/>
      <c r="AI219" s="24"/>
      <c r="AJ219" s="24"/>
      <c r="AK219" s="18"/>
      <c r="AN219" s="9"/>
      <c r="AO219" s="9"/>
      <c r="AP219" s="9"/>
      <c r="AQ219" s="9"/>
      <c r="AR219" s="9"/>
    </row>
    <row r="220" spans="2:44" ht="15">
      <c r="B220" s="211" t="s">
        <v>112</v>
      </c>
      <c r="C220" s="211"/>
      <c r="D220" s="211">
        <v>1</v>
      </c>
      <c r="H220" s="244" t="str">
        <f>B219</f>
        <v>Wheat</v>
      </c>
      <c r="I220" s="244">
        <f>IF(OR(H220=0,ISERROR(H220)),0,VLOOKUP($H220,'Standard data'!$C$110:$G$133,4,FALSE)*D219)</f>
        <v>2.5630000000000002</v>
      </c>
      <c r="J220" s="244">
        <f>IF(OR(H220=0,ISERROR(H220)),0,VLOOKUP($H220,'Standard data'!$C$110:$G$133,3,FALSE)/1000*$D219)</f>
        <v>0.35299999999999998</v>
      </c>
      <c r="K220" s="139"/>
      <c r="L220" s="143"/>
      <c r="M220" s="143"/>
      <c r="N220" s="144"/>
      <c r="O220" s="145"/>
      <c r="T220" s="18"/>
      <c r="X220" s="9"/>
      <c r="Y220" s="9"/>
      <c r="AG220" s="18"/>
      <c r="AH220" s="26"/>
      <c r="AI220" s="24"/>
      <c r="AJ220" s="24"/>
      <c r="AK220" s="18"/>
      <c r="AN220" s="9"/>
      <c r="AO220" s="9"/>
      <c r="AP220" s="9"/>
      <c r="AQ220" s="9"/>
      <c r="AR220" s="9"/>
    </row>
    <row r="221" spans="2:44" ht="15">
      <c r="B221" s="211" t="s">
        <v>112</v>
      </c>
      <c r="C221" s="211"/>
      <c r="D221" s="211"/>
      <c r="H221" s="244" t="str">
        <f>B220</f>
        <v>Wheat</v>
      </c>
      <c r="I221" s="244">
        <f>IF(OR(H221=0,ISERROR(H221)),0,VLOOKUP($H221,'Standard data'!$C$110:$G$133,4,FALSE)*D220)</f>
        <v>2.5630000000000002</v>
      </c>
      <c r="J221" s="244">
        <f>IF(OR(H221=0,ISERROR(H221)),0,VLOOKUP($H221,'Standard data'!$C$110:$G$133,3,FALSE)/1000*$D220)</f>
        <v>0.35299999999999998</v>
      </c>
      <c r="K221" s="139"/>
      <c r="L221" s="143"/>
      <c r="M221" s="143"/>
      <c r="N221" s="144"/>
      <c r="O221" s="145"/>
      <c r="T221" s="18"/>
      <c r="X221" s="9"/>
      <c r="Y221" s="9"/>
      <c r="AG221" s="18"/>
      <c r="AH221" s="26"/>
      <c r="AI221" s="24"/>
      <c r="AJ221" s="24"/>
      <c r="AK221" s="18"/>
      <c r="AN221" s="9"/>
      <c r="AO221" s="9"/>
      <c r="AP221" s="9"/>
      <c r="AQ221" s="9"/>
      <c r="AR221" s="9"/>
    </row>
    <row r="222" spans="2:44" ht="15">
      <c r="B222" s="244" t="s">
        <v>445</v>
      </c>
      <c r="C222" s="244">
        <f>SUM(C217:C221)</f>
        <v>0</v>
      </c>
      <c r="D222" s="244">
        <f>SUM(D217:D221)</f>
        <v>3</v>
      </c>
      <c r="H222" s="244" t="str">
        <f>B221</f>
        <v>Wheat</v>
      </c>
      <c r="I222" s="244">
        <f>IF(OR(H222=0,ISERROR(H222)),0,VLOOKUP($H222,'Standard data'!$C$110:$G$133,4,FALSE)*D221)</f>
        <v>0</v>
      </c>
      <c r="J222" s="244">
        <f>IF(OR(H222=0,ISERROR(H222)),0,VLOOKUP($H222,'Standard data'!$C$110:$G$133,3,FALSE)/1000*$D221)</f>
        <v>0</v>
      </c>
      <c r="K222" s="139"/>
      <c r="L222" s="143"/>
      <c r="M222" s="143"/>
      <c r="N222" s="144"/>
      <c r="O222" s="145"/>
      <c r="T222" s="18"/>
      <c r="X222" s="9"/>
      <c r="Y222" s="9"/>
      <c r="AG222" s="18"/>
      <c r="AH222" s="26"/>
      <c r="AI222" s="24"/>
      <c r="AJ222" s="24"/>
      <c r="AK222" s="18"/>
      <c r="AN222" s="9"/>
      <c r="AO222" s="9"/>
      <c r="AP222" s="9"/>
      <c r="AQ222" s="9"/>
      <c r="AR222" s="9"/>
    </row>
    <row r="223" spans="2:44" ht="15">
      <c r="B223" s="28" t="s">
        <v>446</v>
      </c>
      <c r="C223" s="23"/>
      <c r="D223" s="132" t="s">
        <v>15</v>
      </c>
      <c r="H223" s="244" t="s">
        <v>445</v>
      </c>
      <c r="I223" s="244">
        <f>SUM(I218:I222)</f>
        <v>7.6890000000000001</v>
      </c>
      <c r="J223" s="244">
        <f>SUM(J218:J222)</f>
        <v>1.0589999999999999</v>
      </c>
      <c r="K223" s="146"/>
      <c r="L223" s="143"/>
      <c r="M223" s="143"/>
      <c r="N223" s="144"/>
      <c r="O223" s="145"/>
      <c r="T223" s="18"/>
      <c r="X223" s="9"/>
      <c r="Y223" s="9"/>
      <c r="AG223" s="18"/>
      <c r="AH223" s="26"/>
      <c r="AI223" s="24"/>
      <c r="AJ223" s="24"/>
      <c r="AK223" s="18"/>
      <c r="AN223" s="9"/>
      <c r="AO223" s="33"/>
      <c r="AP223" s="34"/>
      <c r="AQ223" s="34"/>
      <c r="AR223" s="9"/>
    </row>
    <row r="224" spans="2:44" ht="15">
      <c r="B224" s="211" t="s">
        <v>129</v>
      </c>
      <c r="C224" s="38"/>
      <c r="D224" s="211"/>
      <c r="H224" s="244" t="s">
        <v>71</v>
      </c>
      <c r="I224" s="244" t="str">
        <f>B223</f>
        <v>Complex feed</v>
      </c>
      <c r="J224" s="244"/>
      <c r="K224" s="139"/>
      <c r="L224" s="147"/>
      <c r="M224" s="147"/>
      <c r="N224" s="148"/>
      <c r="O224" s="149"/>
      <c r="X224" s="9"/>
      <c r="Y224" s="9"/>
      <c r="AG224" s="18"/>
      <c r="AH224" s="26"/>
      <c r="AI224" s="24"/>
      <c r="AJ224" s="24"/>
      <c r="AK224" s="18"/>
      <c r="AN224" s="9"/>
      <c r="AO224" s="33"/>
      <c r="AP224" s="34"/>
      <c r="AQ224" s="34"/>
      <c r="AR224" s="9"/>
    </row>
    <row r="225" spans="2:44" s="18" customFormat="1" ht="15">
      <c r="B225" s="211" t="s">
        <v>129</v>
      </c>
      <c r="C225" s="38"/>
      <c r="D225" s="211">
        <v>1</v>
      </c>
      <c r="E225" s="1"/>
      <c r="F225" s="1"/>
      <c r="G225" s="244" t="s">
        <v>449</v>
      </c>
      <c r="H225" s="244"/>
      <c r="I225" s="244" t="s">
        <v>17</v>
      </c>
      <c r="J225" s="244" t="s">
        <v>18</v>
      </c>
      <c r="K225" s="141"/>
      <c r="L225" s="147"/>
      <c r="M225" s="147"/>
      <c r="N225" s="150"/>
      <c r="O225" s="151"/>
      <c r="X225" s="9"/>
      <c r="Y225" s="9"/>
      <c r="AH225" s="26"/>
      <c r="AI225" s="24"/>
      <c r="AJ225" s="24"/>
      <c r="AN225" s="9"/>
      <c r="AO225" s="9"/>
      <c r="AP225" s="9"/>
      <c r="AQ225" s="9"/>
      <c r="AR225" s="9"/>
    </row>
    <row r="226" spans="2:44" ht="15">
      <c r="B226" s="211" t="s">
        <v>129</v>
      </c>
      <c r="C226" s="38"/>
      <c r="D226" s="211">
        <v>1</v>
      </c>
      <c r="G226" s="244">
        <f>'Standard data'!$G$277</f>
        <v>0.88</v>
      </c>
      <c r="H226" s="244" t="str">
        <f>B224</f>
        <v>Pregnant sow, pellet form</v>
      </c>
      <c r="I226" s="244">
        <f>IF(OR(H226=0,ISERROR(H226)),0,VLOOKUP($H226,'Standard data'!$C$165:$G$183,4,FALSE)*D224)</f>
        <v>0</v>
      </c>
      <c r="J226" s="244">
        <f>IF(OR(H226=0,ISERROR(H226)),0,VLOOKUP($H226,'Standard data'!$C$165:$G$183,3,FALSE)/1000*$D224)</f>
        <v>0</v>
      </c>
      <c r="K226" s="139"/>
      <c r="L226" s="152"/>
      <c r="M226" s="147"/>
      <c r="N226" s="148"/>
      <c r="O226" s="149"/>
      <c r="X226" s="9"/>
      <c r="Y226" s="9"/>
      <c r="AG226" s="18"/>
      <c r="AH226" s="26"/>
      <c r="AI226" s="24"/>
      <c r="AJ226" s="24"/>
      <c r="AK226" s="18"/>
      <c r="AN226" s="9"/>
      <c r="AO226" s="33"/>
      <c r="AP226" s="34"/>
      <c r="AQ226" s="34"/>
      <c r="AR226" s="9"/>
    </row>
    <row r="227" spans="2:44" ht="15">
      <c r="B227" s="211" t="s">
        <v>129</v>
      </c>
      <c r="C227" s="38"/>
      <c r="D227" s="211">
        <v>1</v>
      </c>
      <c r="G227" s="244">
        <f>'Standard data'!$G$277</f>
        <v>0.88</v>
      </c>
      <c r="H227" s="244" t="str">
        <f>B225</f>
        <v>Pregnant sow, pellet form</v>
      </c>
      <c r="I227" s="244">
        <f>IF(OR(H227=0,ISERROR(H227)),0,VLOOKUP($H227,'Standard data'!$C$165:$G$183,4,FALSE)*D225)</f>
        <v>1.34</v>
      </c>
      <c r="J227" s="244">
        <f>IF(OR(H227=0,ISERROR(H227)),0,VLOOKUP($H227,'Standard data'!$C$165:$G$183,3,FALSE)/1000*$D225)</f>
        <v>0.249</v>
      </c>
      <c r="K227" s="139"/>
      <c r="L227" s="152"/>
      <c r="M227" s="147"/>
      <c r="N227" s="148"/>
      <c r="O227" s="149"/>
      <c r="X227" s="9"/>
      <c r="Y227" s="9"/>
      <c r="AG227" s="18"/>
      <c r="AH227" s="39"/>
      <c r="AI227" s="40"/>
      <c r="AJ227" s="40"/>
      <c r="AK227" s="18"/>
      <c r="AN227" s="9"/>
      <c r="AO227" s="33"/>
      <c r="AP227" s="34"/>
      <c r="AQ227" s="34"/>
      <c r="AR227" s="9"/>
    </row>
    <row r="228" spans="2:44" ht="15">
      <c r="B228" s="211" t="s">
        <v>129</v>
      </c>
      <c r="C228" s="38"/>
      <c r="D228" s="211"/>
      <c r="G228" s="244">
        <f>'Standard data'!$G$277</f>
        <v>0.88</v>
      </c>
      <c r="H228" s="244" t="str">
        <f>B226</f>
        <v>Pregnant sow, pellet form</v>
      </c>
      <c r="I228" s="244">
        <f>IF(OR(H228=0,ISERROR(H228)),0,VLOOKUP($H228,'Standard data'!$C$165:$G$183,4,FALSE)*D226)</f>
        <v>1.34</v>
      </c>
      <c r="J228" s="244">
        <f>IF(OR(H228=0,ISERROR(H228)),0,VLOOKUP($H228,'Standard data'!$C$165:$G$183,3,FALSE)/1000*$D226)</f>
        <v>0.249</v>
      </c>
      <c r="K228" s="139"/>
      <c r="L228" s="152"/>
      <c r="M228" s="147"/>
      <c r="N228" s="148"/>
      <c r="O228" s="149"/>
      <c r="X228" s="9"/>
      <c r="Y228" s="9"/>
      <c r="AG228" s="18"/>
      <c r="AH228" s="26"/>
      <c r="AI228" s="24"/>
      <c r="AJ228" s="24"/>
      <c r="AK228" s="18"/>
      <c r="AN228" s="9"/>
      <c r="AO228" s="33"/>
      <c r="AP228" s="34"/>
      <c r="AQ228" s="34"/>
      <c r="AR228" s="9"/>
    </row>
    <row r="229" spans="2:44" ht="15">
      <c r="B229" s="244" t="s">
        <v>445</v>
      </c>
      <c r="C229" s="244"/>
      <c r="D229" s="244">
        <f>SUM(D224:D228)</f>
        <v>3</v>
      </c>
      <c r="G229" s="244">
        <f>'Standard data'!$G$277</f>
        <v>0.88</v>
      </c>
      <c r="H229" s="244" t="str">
        <f>B227</f>
        <v>Pregnant sow, pellet form</v>
      </c>
      <c r="I229" s="244">
        <f>IF(OR(H229=0,ISERROR(H229)),0,VLOOKUP($H229,'Standard data'!$C$165:$G$183,4,FALSE)*D227)</f>
        <v>1.34</v>
      </c>
      <c r="J229" s="244">
        <f>IF(OR(H229=0,ISERROR(H229)),0,VLOOKUP($H229,'Standard data'!$C$165:$G$183,3,FALSE)/1000*$D227)</f>
        <v>0.249</v>
      </c>
      <c r="K229" s="139"/>
      <c r="L229" s="152"/>
      <c r="M229" s="147"/>
      <c r="N229" s="148"/>
      <c r="O229" s="149"/>
      <c r="X229" s="9"/>
      <c r="Y229" s="9"/>
      <c r="AG229" s="18"/>
      <c r="AH229" s="26"/>
      <c r="AI229" s="24"/>
      <c r="AJ229" s="24"/>
      <c r="AK229" s="18"/>
      <c r="AN229" s="9"/>
      <c r="AO229" s="33"/>
      <c r="AP229" s="34"/>
      <c r="AQ229" s="34"/>
      <c r="AR229" s="9"/>
    </row>
    <row r="230" spans="2:44" ht="15">
      <c r="B230" s="28" t="s">
        <v>448</v>
      </c>
      <c r="C230" s="23"/>
      <c r="D230" s="132" t="s">
        <v>15</v>
      </c>
      <c r="G230" s="244">
        <f>'Standard data'!$G$277</f>
        <v>0.88</v>
      </c>
      <c r="H230" s="244" t="str">
        <f>B228</f>
        <v>Pregnant sow, pellet form</v>
      </c>
      <c r="I230" s="244">
        <f>IF(OR(H230=0,ISERROR(H230)),0,VLOOKUP($H230,'Standard data'!$C$165:$G$183,4,FALSE)*D228)</f>
        <v>0</v>
      </c>
      <c r="J230" s="244">
        <f>IF(OR(H230=0,ISERROR(H230)),0,VLOOKUP($H230,'Standard data'!$C$165:$G$183,3,FALSE)/1000*$D228)</f>
        <v>0</v>
      </c>
      <c r="K230" s="139"/>
      <c r="L230" s="152"/>
      <c r="M230" s="147"/>
      <c r="N230" s="148"/>
      <c r="O230" s="149"/>
      <c r="X230" s="9"/>
      <c r="Y230" s="9"/>
      <c r="AG230" s="18"/>
      <c r="AH230" s="26"/>
      <c r="AI230" s="24"/>
      <c r="AJ230" s="24"/>
      <c r="AK230" s="18"/>
      <c r="AN230" s="9"/>
      <c r="AO230" s="33"/>
      <c r="AP230" s="34"/>
      <c r="AQ230" s="34"/>
      <c r="AR230" s="9"/>
    </row>
    <row r="231" spans="2:44" s="9" customFormat="1" ht="15">
      <c r="B231" s="211" t="s">
        <v>442</v>
      </c>
      <c r="C231" s="38"/>
      <c r="D231" s="211">
        <v>2</v>
      </c>
      <c r="E231" s="1"/>
      <c r="F231" s="1"/>
      <c r="G231" s="244">
        <f>IF(D229=0,0,SUMPRODUCT(D224:D228,G226:G230)/D229)</f>
        <v>0.88</v>
      </c>
      <c r="H231" s="244" t="s">
        <v>445</v>
      </c>
      <c r="I231" s="244">
        <f>SUM(I225:I230)</f>
        <v>4.0200000000000005</v>
      </c>
      <c r="J231" s="244">
        <f>SUM(J225:J230)</f>
        <v>0.747</v>
      </c>
      <c r="K231" s="146"/>
      <c r="L231" s="152"/>
      <c r="M231" s="147"/>
      <c r="N231" s="148"/>
      <c r="O231" s="149"/>
      <c r="AH231" s="26"/>
      <c r="AI231" s="24"/>
      <c r="AJ231" s="24"/>
      <c r="AO231" s="33"/>
      <c r="AP231" s="34"/>
      <c r="AQ231" s="34"/>
    </row>
    <row r="232" spans="2:44" s="9" customFormat="1" ht="30">
      <c r="B232" s="211" t="s">
        <v>443</v>
      </c>
      <c r="C232" s="38"/>
      <c r="D232" s="211">
        <v>2</v>
      </c>
      <c r="E232" s="1"/>
      <c r="F232" s="1"/>
      <c r="G232" s="1"/>
      <c r="H232" s="244" t="s">
        <v>71</v>
      </c>
      <c r="I232" s="244" t="str">
        <f>B230</f>
        <v>Self mixed feed</v>
      </c>
      <c r="J232" s="244"/>
      <c r="K232" s="147"/>
      <c r="L232" s="147"/>
      <c r="M232" s="147"/>
      <c r="N232" s="147"/>
      <c r="O232" s="147"/>
      <c r="AH232" s="26"/>
      <c r="AI232" s="24"/>
      <c r="AJ232" s="24"/>
      <c r="AO232" s="33"/>
      <c r="AP232" s="34"/>
      <c r="AQ232" s="34"/>
    </row>
    <row r="233" spans="2:44" s="9" customFormat="1" ht="30">
      <c r="B233" s="211" t="s">
        <v>444</v>
      </c>
      <c r="C233" s="38"/>
      <c r="D233" s="211">
        <v>2</v>
      </c>
      <c r="E233" s="1"/>
      <c r="F233" s="1"/>
      <c r="H233" s="244"/>
      <c r="I233" s="244"/>
      <c r="J233" s="244" t="s">
        <v>18</v>
      </c>
      <c r="K233" s="141"/>
      <c r="L233" s="147"/>
      <c r="M233" s="147"/>
      <c r="N233" s="147"/>
      <c r="O233" s="147"/>
      <c r="AH233" s="26"/>
      <c r="AI233" s="24"/>
      <c r="AJ233" s="24"/>
      <c r="AO233" s="33"/>
      <c r="AP233" s="34"/>
      <c r="AQ233" s="34"/>
    </row>
    <row r="234" spans="2:44" s="9" customFormat="1" ht="15">
      <c r="D234" s="9">
        <f>SUM(D231:D233)</f>
        <v>6</v>
      </c>
      <c r="E234" s="1"/>
      <c r="F234" s="1"/>
      <c r="G234" s="1"/>
      <c r="H234" s="244" t="str">
        <f>B231</f>
        <v xml:space="preserve">Cereals </v>
      </c>
      <c r="I234" s="244"/>
      <c r="J234" s="244">
        <f>'Standard data'!$D$319*$D231</f>
        <v>2.0646648000000001</v>
      </c>
      <c r="K234" s="147"/>
      <c r="L234" s="147"/>
      <c r="M234" s="147"/>
      <c r="N234" s="147"/>
      <c r="O234" s="147"/>
      <c r="AH234" s="26"/>
      <c r="AI234" s="24"/>
      <c r="AJ234" s="24"/>
      <c r="AO234" s="33"/>
      <c r="AP234" s="34"/>
      <c r="AQ234" s="34"/>
    </row>
    <row r="235" spans="2:44" s="9" customFormat="1" ht="15">
      <c r="E235" s="1"/>
      <c r="F235" s="1"/>
      <c r="G235" s="1"/>
      <c r="H235" s="244" t="str">
        <f>B232</f>
        <v>Proteins (pulses, soy, distilled grains,…)</v>
      </c>
      <c r="I235" s="244"/>
      <c r="J235" s="244">
        <f>'Standard data'!$G$319*$D232</f>
        <v>5.3632387999999995</v>
      </c>
      <c r="K235" s="147"/>
      <c r="L235" s="147"/>
      <c r="M235" s="147"/>
      <c r="N235" s="147"/>
      <c r="O235" s="147"/>
      <c r="AH235" s="26"/>
      <c r="AI235" s="24"/>
      <c r="AJ235" s="24"/>
      <c r="AO235" s="33"/>
      <c r="AP235" s="34"/>
      <c r="AQ235" s="34"/>
    </row>
    <row r="236" spans="2:44" s="9" customFormat="1" ht="15">
      <c r="E236" s="1"/>
      <c r="F236" s="1"/>
      <c r="G236" s="1"/>
      <c r="H236" s="244" t="str">
        <f>B233</f>
        <v>Energy (molasses, starch, co-products,…)</v>
      </c>
      <c r="I236" s="244"/>
      <c r="J236" s="244">
        <f>'Standard data'!$J$319*$D233</f>
        <v>0.47795159999999998</v>
      </c>
      <c r="K236" s="147"/>
      <c r="L236" s="147"/>
      <c r="M236" s="147"/>
      <c r="N236" s="147"/>
      <c r="O236" s="147"/>
      <c r="AH236" s="26"/>
      <c r="AI236" s="24"/>
      <c r="AJ236" s="24"/>
      <c r="AO236" s="33"/>
      <c r="AP236" s="34"/>
      <c r="AQ236" s="34"/>
    </row>
    <row r="237" spans="2:44" s="9" customFormat="1" ht="15">
      <c r="E237" s="1"/>
      <c r="F237" s="1"/>
      <c r="H237" s="244" t="s">
        <v>445</v>
      </c>
      <c r="I237" s="244"/>
      <c r="J237" s="244">
        <f>SUM(J234:J236)</f>
        <v>7.9058551999999995</v>
      </c>
      <c r="K237" s="146"/>
      <c r="L237" s="147"/>
      <c r="M237" s="147"/>
      <c r="N237" s="147"/>
      <c r="O237" s="147"/>
      <c r="AH237" s="26"/>
      <c r="AI237" s="24"/>
      <c r="AJ237" s="24"/>
      <c r="AO237" s="33"/>
      <c r="AP237" s="34"/>
      <c r="AQ237" s="34"/>
    </row>
    <row r="238" spans="2:44" s="9" customFormat="1">
      <c r="F238" s="1"/>
      <c r="G238" s="43"/>
      <c r="H238" s="139"/>
      <c r="I238" s="139"/>
      <c r="J238" s="139"/>
      <c r="K238" s="147"/>
      <c r="L238" s="147"/>
      <c r="M238" s="147"/>
      <c r="N238" s="147"/>
      <c r="O238" s="147"/>
      <c r="AH238" s="26"/>
      <c r="AI238" s="24"/>
      <c r="AJ238" s="24"/>
      <c r="AO238" s="33"/>
      <c r="AP238" s="34"/>
      <c r="AQ238" s="34"/>
    </row>
    <row r="239" spans="2:44">
      <c r="H239" s="139"/>
      <c r="I239" s="139"/>
      <c r="J239" s="139"/>
      <c r="K239" s="139"/>
      <c r="L239" s="143"/>
      <c r="M239" s="143"/>
      <c r="N239" s="144"/>
      <c r="O239" s="145"/>
      <c r="T239" s="18"/>
      <c r="X239" s="9"/>
      <c r="Y239" s="9"/>
      <c r="AG239" s="18"/>
      <c r="AH239" s="26"/>
      <c r="AI239" s="24"/>
      <c r="AJ239" s="24"/>
      <c r="AK239" s="18"/>
      <c r="AN239" s="9"/>
      <c r="AO239" s="33"/>
      <c r="AP239" s="34"/>
      <c r="AQ239" s="34"/>
      <c r="AR239" s="9"/>
    </row>
    <row r="240" spans="2:44" s="9" customFormat="1">
      <c r="C240" s="44"/>
      <c r="D240" s="45"/>
      <c r="F240" s="1"/>
      <c r="H240" s="147"/>
      <c r="I240" s="147"/>
      <c r="J240" s="147"/>
      <c r="K240" s="147"/>
      <c r="L240" s="153"/>
      <c r="M240" s="154"/>
      <c r="N240" s="154"/>
      <c r="O240" s="147"/>
      <c r="AH240" s="26"/>
      <c r="AI240" s="24"/>
      <c r="AJ240" s="24"/>
      <c r="AO240" s="33"/>
      <c r="AP240" s="34"/>
      <c r="AQ240" s="34"/>
    </row>
    <row r="241" spans="2:44" s="9" customFormat="1">
      <c r="D241" s="44"/>
      <c r="E241" s="45"/>
      <c r="H241" s="147"/>
      <c r="I241" s="147"/>
      <c r="J241" s="147"/>
      <c r="K241" s="147"/>
      <c r="L241" s="147"/>
      <c r="M241" s="153"/>
      <c r="N241" s="154"/>
      <c r="O241" s="154"/>
      <c r="AI241" s="26"/>
      <c r="AJ241" s="24"/>
      <c r="AK241" s="24"/>
      <c r="AP241" s="33"/>
      <c r="AQ241" s="34"/>
      <c r="AR241" s="34"/>
    </row>
    <row r="242" spans="2:44" s="9" customFormat="1">
      <c r="D242" s="44"/>
      <c r="E242" s="45"/>
      <c r="H242" s="147"/>
      <c r="I242" s="147"/>
      <c r="J242" s="147"/>
      <c r="K242" s="147"/>
      <c r="L242" s="147"/>
      <c r="M242" s="153"/>
      <c r="N242" s="154"/>
      <c r="O242" s="154"/>
      <c r="AI242" s="26"/>
      <c r="AJ242" s="24"/>
      <c r="AK242" s="24"/>
      <c r="AP242" s="33"/>
      <c r="AQ242" s="34"/>
      <c r="AR242" s="34"/>
    </row>
    <row r="243" spans="2:44" s="9" customFormat="1" ht="15.75">
      <c r="B243" s="245" t="s">
        <v>698</v>
      </c>
      <c r="D243" s="44"/>
      <c r="E243" s="45"/>
      <c r="H243" s="147"/>
      <c r="I243" s="147"/>
      <c r="J243" s="147"/>
      <c r="K243" s="147"/>
      <c r="L243" s="147"/>
      <c r="M243" s="153"/>
      <c r="N243" s="154"/>
      <c r="O243" s="154"/>
      <c r="AI243" s="26"/>
      <c r="AJ243" s="24"/>
      <c r="AK243" s="24"/>
      <c r="AP243" s="33"/>
      <c r="AQ243" s="34"/>
      <c r="AR243" s="34"/>
    </row>
    <row r="244" spans="2:44" ht="15.75">
      <c r="B244" s="245" t="s">
        <v>14</v>
      </c>
      <c r="C244" s="132" t="s">
        <v>628</v>
      </c>
      <c r="D244" s="132" t="s">
        <v>629</v>
      </c>
      <c r="E244" s="244" t="s">
        <v>445</v>
      </c>
      <c r="H244" s="244" t="s">
        <v>134</v>
      </c>
      <c r="I244" s="244" t="str">
        <f>B244</f>
        <v>Forage</v>
      </c>
      <c r="J244" s="244"/>
      <c r="K244" s="139"/>
      <c r="L244" s="244" t="s">
        <v>16</v>
      </c>
      <c r="M244" s="244"/>
      <c r="N244" s="244"/>
      <c r="O244" s="139"/>
      <c r="S244" s="19"/>
    </row>
    <row r="245" spans="2:44" ht="15">
      <c r="B245" s="81"/>
      <c r="C245" s="138"/>
      <c r="D245" s="138"/>
      <c r="E245" s="244"/>
      <c r="H245" s="244"/>
      <c r="I245" s="244" t="s">
        <v>17</v>
      </c>
      <c r="J245" s="244" t="s">
        <v>18</v>
      </c>
      <c r="K245" s="139"/>
      <c r="L245" s="244" t="s">
        <v>19</v>
      </c>
      <c r="M245" s="244" t="s">
        <v>20</v>
      </c>
      <c r="N245" s="244" t="s">
        <v>21</v>
      </c>
      <c r="O245" s="139"/>
    </row>
    <row r="246" spans="2:44" ht="15">
      <c r="B246" s="211" t="s">
        <v>22</v>
      </c>
      <c r="C246" s="211"/>
      <c r="D246" s="211"/>
      <c r="E246" s="244">
        <f t="shared" ref="E246:E252" si="24">D246+C246</f>
        <v>0</v>
      </c>
      <c r="H246" s="244" t="str">
        <f t="shared" ref="H246:H252" si="25">B246</f>
        <v>Grazing (grasslands)</v>
      </c>
      <c r="I246" s="244">
        <f>IF(OR(H246=0,ISERROR(H246)),0,VLOOKUP($H246,'Standard data'!$C$80:$G$103,4,FALSE)*D246)</f>
        <v>0</v>
      </c>
      <c r="J246" s="244">
        <f>IF(OR(H246=0,ISERROR(H246)),0,VLOOKUP($H246,'Standard data'!$C$80:$G$103,3,FALSE)/1000*D246)</f>
        <v>0</v>
      </c>
      <c r="K246" s="139"/>
      <c r="L246" s="244" t="str">
        <f>H246</f>
        <v>Grazing (grasslands)</v>
      </c>
      <c r="M246" s="244">
        <f t="shared" ref="M246:M252" si="26">E246</f>
        <v>0</v>
      </c>
      <c r="N246" s="244">
        <f>IF(OR(H246=0,ISERROR(H246)),0,VLOOKUP($B246,'Standard data'!$C$80:$H$103,6,FALSE))</f>
        <v>0.6</v>
      </c>
      <c r="O246" s="139"/>
    </row>
    <row r="247" spans="2:44" ht="15">
      <c r="B247" s="211" t="s">
        <v>22</v>
      </c>
      <c r="C247" s="211"/>
      <c r="D247" s="211"/>
      <c r="E247" s="244">
        <f t="shared" si="24"/>
        <v>0</v>
      </c>
      <c r="H247" s="244" t="str">
        <f t="shared" si="25"/>
        <v>Grazing (grasslands)</v>
      </c>
      <c r="I247" s="244">
        <f>IF(OR(H247=0,ISERROR(H247)),0,VLOOKUP($H247,'Standard data'!$C$80:$G$103,4,FALSE)*D247)</f>
        <v>0</v>
      </c>
      <c r="J247" s="244">
        <f>IF(OR(H247=0,ISERROR(H247)),0,VLOOKUP($H247,'Standard data'!$C$80:$G$103,3,FALSE)/1000*D247)</f>
        <v>0</v>
      </c>
      <c r="K247" s="139"/>
      <c r="L247" s="244" t="str">
        <f t="shared" ref="L247:L252" si="27">H247</f>
        <v>Grazing (grasslands)</v>
      </c>
      <c r="M247" s="244">
        <f t="shared" si="26"/>
        <v>0</v>
      </c>
      <c r="N247" s="244">
        <f>IF(OR(H247=0,ISERROR(H247)),0,VLOOKUP($B247,'Standard data'!$C$80:$H$103,6,FALSE))</f>
        <v>0.6</v>
      </c>
      <c r="O247" s="139"/>
    </row>
    <row r="248" spans="2:44" ht="15">
      <c r="B248" s="211" t="s">
        <v>22</v>
      </c>
      <c r="C248" s="211"/>
      <c r="D248" s="211">
        <v>1</v>
      </c>
      <c r="E248" s="244">
        <f t="shared" si="24"/>
        <v>1</v>
      </c>
      <c r="H248" s="244" t="str">
        <f t="shared" si="25"/>
        <v>Grazing (grasslands)</v>
      </c>
      <c r="I248" s="244">
        <f>IF(OR(H248=0,ISERROR(H248)),0,VLOOKUP($H248,'Standard data'!$C$80:$G$103,4,FALSE)*D248)</f>
        <v>0</v>
      </c>
      <c r="J248" s="244">
        <f>IF(OR(H248=0,ISERROR(H248)),0,VLOOKUP($H248,'Standard data'!$C$80:$G$103,3,FALSE)/1000*D248)</f>
        <v>8.6999999999999994E-2</v>
      </c>
      <c r="K248" s="139"/>
      <c r="L248" s="244" t="str">
        <f t="shared" si="27"/>
        <v>Grazing (grasslands)</v>
      </c>
      <c r="M248" s="244">
        <f t="shared" si="26"/>
        <v>1</v>
      </c>
      <c r="N248" s="244">
        <f>IF(OR(H248=0,ISERROR(H248)),0,VLOOKUP($B248,'Standard data'!$C$80:$H$103,6,FALSE))</f>
        <v>0.6</v>
      </c>
      <c r="O248" s="139"/>
    </row>
    <row r="249" spans="2:44" ht="15">
      <c r="B249" s="211" t="s">
        <v>22</v>
      </c>
      <c r="C249" s="211"/>
      <c r="D249" s="211">
        <v>1</v>
      </c>
      <c r="E249" s="244">
        <f t="shared" si="24"/>
        <v>1</v>
      </c>
      <c r="H249" s="244" t="str">
        <f t="shared" si="25"/>
        <v>Grazing (grasslands)</v>
      </c>
      <c r="I249" s="244">
        <f>IF(OR(H249=0,ISERROR(H249)),0,VLOOKUP($H249,'Standard data'!$C$80:$G$103,4,FALSE)*D249)</f>
        <v>0</v>
      </c>
      <c r="J249" s="244">
        <f>IF(OR(H249=0,ISERROR(H249)),0,VLOOKUP($H249,'Standard data'!$C$80:$G$103,3,FALSE)/1000*D249)</f>
        <v>8.6999999999999994E-2</v>
      </c>
      <c r="K249" s="139"/>
      <c r="L249" s="244" t="str">
        <f t="shared" si="27"/>
        <v>Grazing (grasslands)</v>
      </c>
      <c r="M249" s="244">
        <f t="shared" si="26"/>
        <v>1</v>
      </c>
      <c r="N249" s="244">
        <f>IF(OR(H249=0,ISERROR(H249)),0,VLOOKUP($B249,'Standard data'!$C$80:$H$103,6,FALSE))</f>
        <v>0.6</v>
      </c>
      <c r="O249" s="139"/>
    </row>
    <row r="250" spans="2:44" ht="15">
      <c r="B250" s="211" t="s">
        <v>22</v>
      </c>
      <c r="C250" s="211"/>
      <c r="D250" s="211">
        <v>1</v>
      </c>
      <c r="E250" s="244">
        <f t="shared" si="24"/>
        <v>1</v>
      </c>
      <c r="H250" s="244" t="str">
        <f t="shared" si="25"/>
        <v>Grazing (grasslands)</v>
      </c>
      <c r="I250" s="244">
        <f>IF(OR(H250=0,ISERROR(H250)),0,VLOOKUP($H250,'Standard data'!$C$80:$G$103,4,FALSE)*D250)</f>
        <v>0</v>
      </c>
      <c r="J250" s="244">
        <f>IF(OR(H250=0,ISERROR(H250)),0,VLOOKUP($H250,'Standard data'!$C$80:$G$103,3,FALSE)/1000*D250)</f>
        <v>8.6999999999999994E-2</v>
      </c>
      <c r="K250" s="139"/>
      <c r="L250" s="244" t="str">
        <f t="shared" si="27"/>
        <v>Grazing (grasslands)</v>
      </c>
      <c r="M250" s="244">
        <f t="shared" si="26"/>
        <v>1</v>
      </c>
      <c r="N250" s="244">
        <f>IF(OR(H250=0,ISERROR(H250)),0,VLOOKUP($B250,'Standard data'!$C$80:$H$103,6,FALSE))</f>
        <v>0.6</v>
      </c>
      <c r="O250" s="139"/>
    </row>
    <row r="251" spans="2:44" ht="15">
      <c r="B251" s="211" t="s">
        <v>22</v>
      </c>
      <c r="C251" s="211"/>
      <c r="D251" s="211"/>
      <c r="E251" s="244">
        <f t="shared" si="24"/>
        <v>0</v>
      </c>
      <c r="H251" s="244" t="str">
        <f t="shared" si="25"/>
        <v>Grazing (grasslands)</v>
      </c>
      <c r="I251" s="244">
        <f>IF(OR(H251=0,ISERROR(H251)),0,VLOOKUP($H251,'Standard data'!$C$80:$G$103,4,FALSE)*D251)</f>
        <v>0</v>
      </c>
      <c r="J251" s="244">
        <f>IF(OR(H251=0,ISERROR(H251)),0,VLOOKUP($H251,'Standard data'!$C$80:$G$103,3,FALSE)/1000*D251)</f>
        <v>0</v>
      </c>
      <c r="K251" s="139"/>
      <c r="L251" s="244" t="str">
        <f t="shared" si="27"/>
        <v>Grazing (grasslands)</v>
      </c>
      <c r="M251" s="244">
        <f t="shared" si="26"/>
        <v>0</v>
      </c>
      <c r="N251" s="244">
        <f>IF(OR(H251=0,ISERROR(H251)),0,VLOOKUP($B251,'Standard data'!$C$80:$H$103,6,FALSE))</f>
        <v>0.6</v>
      </c>
      <c r="O251" s="139"/>
    </row>
    <row r="252" spans="2:44" ht="15">
      <c r="B252" s="211" t="s">
        <v>22</v>
      </c>
      <c r="C252" s="211"/>
      <c r="D252" s="211"/>
      <c r="E252" s="244">
        <f t="shared" si="24"/>
        <v>0</v>
      </c>
      <c r="H252" s="244" t="str">
        <f t="shared" si="25"/>
        <v>Grazing (grasslands)</v>
      </c>
      <c r="I252" s="244">
        <f>IF(OR(H252=0,ISERROR(H252)),0,VLOOKUP($H252,'Standard data'!$C$80:$G$103,4,FALSE)*D252)</f>
        <v>0</v>
      </c>
      <c r="J252" s="244">
        <f>IF(OR(H252=0,ISERROR(H252)),0,VLOOKUP($H252,'Standard data'!$C$80:$G$103,3,FALSE)/1000*D252)</f>
        <v>0</v>
      </c>
      <c r="K252" s="139"/>
      <c r="L252" s="244" t="str">
        <f t="shared" si="27"/>
        <v>Grazing (grasslands)</v>
      </c>
      <c r="M252" s="244">
        <f t="shared" si="26"/>
        <v>0</v>
      </c>
      <c r="N252" s="244">
        <f>IF(OR(H252=0,ISERROR(H252)),0,VLOOKUP($B252,'Standard data'!$C$80:$H$103,6,FALSE))</f>
        <v>0.6</v>
      </c>
      <c r="O252" s="139"/>
    </row>
    <row r="253" spans="2:44" ht="15">
      <c r="B253" s="244" t="s">
        <v>445</v>
      </c>
      <c r="C253" s="244">
        <f>SUM(C246:C252)</f>
        <v>0</v>
      </c>
      <c r="D253" s="244">
        <f>SUM(D246:D252)</f>
        <v>3</v>
      </c>
      <c r="E253" s="244">
        <f>SUM(E246:E252)</f>
        <v>3</v>
      </c>
      <c r="H253" s="244" t="s">
        <v>445</v>
      </c>
      <c r="I253" s="244">
        <f>SUM(I246:I252)</f>
        <v>0</v>
      </c>
      <c r="J253" s="244">
        <f>SUM(J246:J252)</f>
        <v>0.26100000000000001</v>
      </c>
      <c r="K253" s="139"/>
      <c r="L253" s="244" t="str">
        <f>I256</f>
        <v>FEED - Simple</v>
      </c>
      <c r="M253" s="244">
        <f>C262+D262</f>
        <v>3</v>
      </c>
      <c r="N253" s="244">
        <f>'Standard data'!$G$306</f>
        <v>0.9</v>
      </c>
      <c r="O253" s="139"/>
      <c r="W253" s="1">
        <v>0.75</v>
      </c>
    </row>
    <row r="254" spans="2:44" ht="15">
      <c r="B254" s="18"/>
      <c r="C254" s="18"/>
      <c r="D254" s="18"/>
      <c r="E254" s="18"/>
      <c r="H254" s="147"/>
      <c r="I254" s="147"/>
      <c r="J254" s="147"/>
      <c r="K254" s="139"/>
      <c r="L254" s="244" t="str">
        <f>I264</f>
        <v>Complex feedstuffs</v>
      </c>
      <c r="M254" s="244">
        <f>D269</f>
        <v>3</v>
      </c>
      <c r="N254" s="244">
        <f>G271</f>
        <v>0.9</v>
      </c>
      <c r="O254" s="139"/>
      <c r="W254" s="1">
        <v>0</v>
      </c>
    </row>
    <row r="255" spans="2:44" ht="15">
      <c r="B255" s="18"/>
      <c r="C255" s="18"/>
      <c r="D255" s="18"/>
      <c r="E255" s="18"/>
      <c r="H255" s="139"/>
      <c r="I255" s="139"/>
      <c r="J255" s="139"/>
      <c r="K255" s="139"/>
      <c r="L255" s="244" t="str">
        <f>I272</f>
        <v>Personal mixt feedstuffs</v>
      </c>
      <c r="M255" s="244">
        <f>D274</f>
        <v>6</v>
      </c>
      <c r="N255" s="244">
        <f>'Standard data'!$G$306</f>
        <v>0.9</v>
      </c>
      <c r="O255" s="139"/>
      <c r="W255" s="1">
        <v>0.9</v>
      </c>
      <c r="AN255" s="9"/>
      <c r="AO255" s="9"/>
      <c r="AP255" s="9"/>
      <c r="AQ255" s="9"/>
      <c r="AR255" s="9"/>
    </row>
    <row r="256" spans="2:44" ht="15">
      <c r="B256" s="28" t="s">
        <v>453</v>
      </c>
      <c r="C256" s="132" t="s">
        <v>636</v>
      </c>
      <c r="D256" s="132" t="s">
        <v>635</v>
      </c>
      <c r="E256" s="18"/>
      <c r="H256" s="244" t="s">
        <v>134</v>
      </c>
      <c r="I256" s="244" t="str">
        <f>B256</f>
        <v>FEED - Simple</v>
      </c>
      <c r="J256" s="244"/>
      <c r="K256" s="139"/>
      <c r="L256" s="244" t="str">
        <f>H244</f>
        <v>POULTRIES</v>
      </c>
      <c r="M256" s="244" t="s">
        <v>29</v>
      </c>
      <c r="N256" s="244">
        <f>IF(SUM(M246:M255)=0,0,SUMPRODUCT(M246:M255,N246:N255)/SUM(M246:M255))</f>
        <v>0.84000000000000008</v>
      </c>
      <c r="O256" s="139"/>
      <c r="S256" s="25"/>
      <c r="T256" s="18"/>
      <c r="X256" s="9"/>
      <c r="Y256" s="9"/>
      <c r="AG256" s="18"/>
      <c r="AH256" s="26"/>
      <c r="AI256" s="24"/>
      <c r="AJ256" s="24"/>
      <c r="AK256" s="18"/>
      <c r="AN256" s="9"/>
      <c r="AO256" s="9"/>
      <c r="AP256" s="9"/>
      <c r="AQ256" s="9"/>
      <c r="AR256" s="9"/>
    </row>
    <row r="257" spans="2:44" s="18" customFormat="1" ht="15">
      <c r="B257" s="211" t="s">
        <v>112</v>
      </c>
      <c r="C257" s="211"/>
      <c r="D257" s="211"/>
      <c r="F257" s="1"/>
      <c r="H257" s="244"/>
      <c r="I257" s="244" t="s">
        <v>17</v>
      </c>
      <c r="J257" s="244" t="s">
        <v>18</v>
      </c>
      <c r="K257" s="141"/>
      <c r="L257" s="244" t="str">
        <f>H244</f>
        <v>POULTRIES</v>
      </c>
      <c r="M257" s="244" t="s">
        <v>30</v>
      </c>
      <c r="N257" s="244">
        <v>6.0000000000000001E-3</v>
      </c>
      <c r="O257" s="143"/>
      <c r="S257" s="25"/>
      <c r="X257" s="9"/>
      <c r="Y257" s="9"/>
      <c r="AH257" s="26"/>
      <c r="AI257" s="24"/>
      <c r="AJ257" s="24"/>
      <c r="AN257" s="9"/>
      <c r="AO257" s="9"/>
      <c r="AP257" s="9"/>
      <c r="AQ257" s="9"/>
      <c r="AR257" s="9"/>
    </row>
    <row r="258" spans="2:44" ht="15">
      <c r="B258" s="211" t="s">
        <v>112</v>
      </c>
      <c r="C258" s="211"/>
      <c r="D258" s="211">
        <v>1</v>
      </c>
      <c r="E258" s="18"/>
      <c r="H258" s="244" t="str">
        <f>B257</f>
        <v>Wheat</v>
      </c>
      <c r="I258" s="244">
        <f>IF(OR(H258=0,ISERROR(H258)),0,VLOOKUP($H258,'Standard data'!$C$110:$G$133,4,FALSE)*D257)</f>
        <v>0</v>
      </c>
      <c r="J258" s="244">
        <f>IF(OR(H258=0,ISERROR(H258)),0,VLOOKUP($H258,'Standard data'!$C$110:$G$133,3,FALSE)/1000*$D257)</f>
        <v>0</v>
      </c>
      <c r="K258" s="139"/>
      <c r="L258" s="143"/>
      <c r="M258" s="143"/>
      <c r="N258" s="144"/>
      <c r="O258" s="139"/>
      <c r="S258" s="31"/>
      <c r="T258" s="18"/>
      <c r="X258" s="9"/>
      <c r="Y258" s="9"/>
      <c r="AG258" s="18"/>
      <c r="AH258" s="26"/>
      <c r="AI258" s="24"/>
      <c r="AJ258" s="24"/>
      <c r="AK258" s="18"/>
      <c r="AN258" s="9"/>
      <c r="AO258" s="9"/>
      <c r="AP258" s="9"/>
      <c r="AQ258" s="9"/>
      <c r="AR258" s="9"/>
    </row>
    <row r="259" spans="2:44" ht="15">
      <c r="B259" s="211" t="s">
        <v>112</v>
      </c>
      <c r="C259" s="211"/>
      <c r="D259" s="211">
        <v>1</v>
      </c>
      <c r="E259" s="18"/>
      <c r="H259" s="244" t="str">
        <f>B258</f>
        <v>Wheat</v>
      </c>
      <c r="I259" s="244">
        <f>IF(OR(H259=0,ISERROR(H259)),0,VLOOKUP($H259,'Standard data'!$C$110:$G$133,4,FALSE)*D258)</f>
        <v>2.5630000000000002</v>
      </c>
      <c r="J259" s="244">
        <f>IF(OR(H259=0,ISERROR(H259)),0,VLOOKUP($H259,'Standard data'!$C$110:$G$133,3,FALSE)/1000*$D258)</f>
        <v>0.35299999999999998</v>
      </c>
      <c r="K259" s="139"/>
      <c r="L259" s="143"/>
      <c r="M259" s="143"/>
      <c r="N259" s="144"/>
      <c r="O259" s="139"/>
      <c r="S259" s="31"/>
      <c r="T259" s="18"/>
      <c r="X259" s="9"/>
      <c r="Y259" s="9"/>
      <c r="AG259" s="18"/>
      <c r="AH259" s="26"/>
      <c r="AI259" s="24"/>
      <c r="AJ259" s="24"/>
      <c r="AK259" s="18"/>
      <c r="AN259" s="9"/>
      <c r="AO259" s="9"/>
      <c r="AP259" s="9"/>
      <c r="AQ259" s="9"/>
      <c r="AR259" s="9"/>
    </row>
    <row r="260" spans="2:44" ht="15">
      <c r="B260" s="211" t="s">
        <v>112</v>
      </c>
      <c r="C260" s="211"/>
      <c r="D260" s="211">
        <v>1</v>
      </c>
      <c r="E260" s="18"/>
      <c r="H260" s="244" t="str">
        <f>B259</f>
        <v>Wheat</v>
      </c>
      <c r="I260" s="244">
        <f>IF(OR(H260=0,ISERROR(H260)),0,VLOOKUP($H260,'Standard data'!$C$110:$G$133,4,FALSE)*D259)</f>
        <v>2.5630000000000002</v>
      </c>
      <c r="J260" s="244">
        <f>IF(OR(H260=0,ISERROR(H260)),0,VLOOKUP($H260,'Standard data'!$C$110:$G$133,3,FALSE)/1000*$D259)</f>
        <v>0.35299999999999998</v>
      </c>
      <c r="K260" s="139"/>
      <c r="L260" s="143"/>
      <c r="M260" s="143"/>
      <c r="N260" s="144"/>
      <c r="O260" s="139"/>
      <c r="S260" s="31"/>
      <c r="T260" s="18"/>
      <c r="X260" s="9"/>
      <c r="Y260" s="9"/>
      <c r="AG260" s="18"/>
      <c r="AH260" s="26"/>
      <c r="AI260" s="24"/>
      <c r="AJ260" s="24"/>
      <c r="AK260" s="18"/>
      <c r="AN260" s="9"/>
      <c r="AO260" s="9"/>
      <c r="AP260" s="9"/>
      <c r="AQ260" s="9"/>
      <c r="AR260" s="9"/>
    </row>
    <row r="261" spans="2:44" ht="15">
      <c r="B261" s="211" t="s">
        <v>112</v>
      </c>
      <c r="C261" s="211"/>
      <c r="D261" s="211"/>
      <c r="E261" s="18"/>
      <c r="H261" s="244" t="str">
        <f>B260</f>
        <v>Wheat</v>
      </c>
      <c r="I261" s="244">
        <f>IF(OR(H261=0,ISERROR(H261)),0,VLOOKUP($H261,'Standard data'!$C$110:$G$133,4,FALSE)*D260)</f>
        <v>2.5630000000000002</v>
      </c>
      <c r="J261" s="244">
        <f>IF(OR(H261=0,ISERROR(H261)),0,VLOOKUP($H261,'Standard data'!$C$110:$G$133,3,FALSE)/1000*$D260)</f>
        <v>0.35299999999999998</v>
      </c>
      <c r="K261" s="139"/>
      <c r="L261" s="143"/>
      <c r="M261" s="143"/>
      <c r="N261" s="144"/>
      <c r="O261" s="139"/>
      <c r="S261" s="31"/>
      <c r="T261" s="18"/>
      <c r="X261" s="9"/>
      <c r="Y261" s="9"/>
      <c r="AG261" s="18"/>
      <c r="AH261" s="26"/>
      <c r="AI261" s="24"/>
      <c r="AJ261" s="24"/>
      <c r="AK261" s="18"/>
      <c r="AN261" s="9"/>
      <c r="AO261" s="9"/>
      <c r="AP261" s="9"/>
      <c r="AQ261" s="9"/>
      <c r="AR261" s="9"/>
    </row>
    <row r="262" spans="2:44" ht="15">
      <c r="B262" s="244" t="s">
        <v>445</v>
      </c>
      <c r="C262" s="244">
        <f>SUM(C257:C261)</f>
        <v>0</v>
      </c>
      <c r="D262" s="244">
        <f>SUM(D257:D261)</f>
        <v>3</v>
      </c>
      <c r="E262" s="18"/>
      <c r="H262" s="244" t="str">
        <f>B261</f>
        <v>Wheat</v>
      </c>
      <c r="I262" s="244">
        <f>IF(OR(H262=0,ISERROR(H262)),0,VLOOKUP($H262,'Standard data'!$C$110:$G$133,4,FALSE)*D261)</f>
        <v>0</v>
      </c>
      <c r="J262" s="244">
        <f>IF(OR(H262=0,ISERROR(H262)),0,VLOOKUP($H262,'Standard data'!$C$110:$G$133,3,FALSE)/1000*$D261)</f>
        <v>0</v>
      </c>
      <c r="K262" s="139"/>
      <c r="L262" s="143"/>
      <c r="M262" s="143"/>
      <c r="N262" s="144"/>
      <c r="O262" s="139"/>
      <c r="S262" s="31"/>
      <c r="T262" s="18"/>
      <c r="X262" s="9"/>
      <c r="Y262" s="9"/>
      <c r="AG262" s="18"/>
      <c r="AH262" s="26"/>
      <c r="AI262" s="24"/>
      <c r="AJ262" s="24"/>
      <c r="AK262" s="18"/>
      <c r="AN262" s="9"/>
      <c r="AO262" s="9"/>
      <c r="AP262" s="9"/>
      <c r="AQ262" s="9"/>
      <c r="AR262" s="9"/>
    </row>
    <row r="263" spans="2:44" ht="15">
      <c r="B263" s="28" t="s">
        <v>37</v>
      </c>
      <c r="C263" s="23"/>
      <c r="D263" s="132"/>
      <c r="E263" s="18"/>
      <c r="H263" s="244" t="s">
        <v>445</v>
      </c>
      <c r="I263" s="244">
        <f>SUM(I258:I262)</f>
        <v>7.6890000000000001</v>
      </c>
      <c r="J263" s="244">
        <f>SUM(J258:J262)</f>
        <v>1.0589999999999999</v>
      </c>
      <c r="K263" s="146"/>
      <c r="L263" s="143"/>
      <c r="M263" s="143"/>
      <c r="N263" s="144"/>
      <c r="O263" s="139"/>
      <c r="S263" s="31"/>
      <c r="T263" s="18"/>
      <c r="X263" s="9"/>
      <c r="Y263" s="9"/>
      <c r="AG263" s="18"/>
      <c r="AH263" s="26"/>
      <c r="AI263" s="24"/>
      <c r="AJ263" s="24"/>
      <c r="AK263" s="18"/>
      <c r="AN263" s="9"/>
      <c r="AO263" s="33"/>
      <c r="AP263" s="34"/>
      <c r="AQ263" s="34"/>
      <c r="AR263" s="9"/>
    </row>
    <row r="264" spans="2:44" ht="15">
      <c r="B264" s="211" t="s">
        <v>136</v>
      </c>
      <c r="C264" s="27"/>
      <c r="D264" s="211"/>
      <c r="E264" s="18"/>
      <c r="H264" s="244" t="s">
        <v>134</v>
      </c>
      <c r="I264" s="244" t="str">
        <f>B263</f>
        <v>Complex feedstuffs</v>
      </c>
      <c r="J264" s="244"/>
      <c r="K264" s="139"/>
      <c r="L264" s="147"/>
      <c r="M264" s="147"/>
      <c r="N264" s="148"/>
      <c r="O264" s="139"/>
      <c r="S264" s="35"/>
      <c r="X264" s="9"/>
      <c r="Y264" s="9"/>
      <c r="AG264" s="18"/>
      <c r="AH264" s="26"/>
      <c r="AI264" s="24"/>
      <c r="AJ264" s="24"/>
      <c r="AK264" s="18"/>
      <c r="AN264" s="9"/>
      <c r="AO264" s="33"/>
      <c r="AP264" s="34"/>
      <c r="AQ264" s="34"/>
      <c r="AR264" s="9"/>
    </row>
    <row r="265" spans="2:44" s="18" customFormat="1" ht="15">
      <c r="B265" s="211" t="s">
        <v>136</v>
      </c>
      <c r="C265" s="27"/>
      <c r="D265" s="211">
        <v>1</v>
      </c>
      <c r="F265" s="1"/>
      <c r="G265" s="244" t="s">
        <v>449</v>
      </c>
      <c r="H265" s="244"/>
      <c r="I265" s="244" t="s">
        <v>17</v>
      </c>
      <c r="J265" s="244" t="s">
        <v>18</v>
      </c>
      <c r="K265" s="141"/>
      <c r="L265" s="147"/>
      <c r="M265" s="147"/>
      <c r="N265" s="150"/>
      <c r="O265" s="143"/>
      <c r="S265" s="37"/>
      <c r="X265" s="9"/>
      <c r="Y265" s="9"/>
      <c r="AH265" s="26"/>
      <c r="AI265" s="24"/>
      <c r="AJ265" s="24"/>
      <c r="AN265" s="9"/>
      <c r="AO265" s="9"/>
      <c r="AP265" s="9"/>
      <c r="AQ265" s="9"/>
      <c r="AR265" s="9"/>
    </row>
    <row r="266" spans="2:44" ht="15">
      <c r="B266" s="211" t="s">
        <v>136</v>
      </c>
      <c r="C266" s="27"/>
      <c r="D266" s="211">
        <v>1</v>
      </c>
      <c r="E266" s="18"/>
      <c r="G266" s="244">
        <f>'Standard data'!$G$306</f>
        <v>0.9</v>
      </c>
      <c r="H266" s="244" t="str">
        <f>B264</f>
        <v>Wheat-based, pellet form</v>
      </c>
      <c r="I266" s="244">
        <f>IF(OR(H266=0,ISERROR(H266)),0,VLOOKUP($H266,'Standard data'!$C$187:$G$200,4,FALSE)*D264)</f>
        <v>0</v>
      </c>
      <c r="J266" s="244">
        <f>IF(OR(H266=0,ISERROR(H266)),0,VLOOKUP($H266,'Standard data'!$C$187:$G$200,3,FALSE)/1000*$D264)</f>
        <v>0</v>
      </c>
      <c r="K266" s="139"/>
      <c r="L266" s="152"/>
      <c r="M266" s="147"/>
      <c r="N266" s="148"/>
      <c r="O266" s="139"/>
      <c r="S266" s="35"/>
      <c r="X266" s="9"/>
      <c r="Y266" s="9"/>
      <c r="AG266" s="18"/>
      <c r="AH266" s="26"/>
      <c r="AI266" s="24"/>
      <c r="AJ266" s="24"/>
      <c r="AK266" s="18"/>
      <c r="AN266" s="9"/>
      <c r="AO266" s="33"/>
      <c r="AP266" s="34"/>
      <c r="AQ266" s="34"/>
      <c r="AR266" s="9"/>
    </row>
    <row r="267" spans="2:44" ht="15">
      <c r="B267" s="211" t="s">
        <v>136</v>
      </c>
      <c r="C267" s="27"/>
      <c r="D267" s="211">
        <v>1</v>
      </c>
      <c r="E267" s="18"/>
      <c r="G267" s="244">
        <f>'Standard data'!$G$306</f>
        <v>0.9</v>
      </c>
      <c r="H267" s="244" t="str">
        <f>B265</f>
        <v>Wheat-based, pellet form</v>
      </c>
      <c r="I267" s="244">
        <f>IF(OR(H267=0,ISERROR(H267)),0,VLOOKUP($H267,'Standard data'!$C$187:$G$200,4,FALSE)*D265)</f>
        <v>3.2549999999999999</v>
      </c>
      <c r="J267" s="244">
        <f>IF(OR(H267=0,ISERROR(H267)),0,VLOOKUP($H267,'Standard data'!$C$187:$G$200,3,FALSE)/1000*$D265)</f>
        <v>0.22559999999999999</v>
      </c>
      <c r="K267" s="139"/>
      <c r="L267" s="152"/>
      <c r="M267" s="147"/>
      <c r="N267" s="148"/>
      <c r="O267" s="139"/>
      <c r="S267" s="35"/>
      <c r="X267" s="9"/>
      <c r="Y267" s="9"/>
      <c r="AG267" s="18"/>
      <c r="AH267" s="39"/>
      <c r="AI267" s="40"/>
      <c r="AJ267" s="40"/>
      <c r="AK267" s="18"/>
      <c r="AN267" s="9"/>
      <c r="AO267" s="33"/>
      <c r="AP267" s="34"/>
      <c r="AQ267" s="34"/>
      <c r="AR267" s="9"/>
    </row>
    <row r="268" spans="2:44" ht="15">
      <c r="B268" s="211" t="s">
        <v>136</v>
      </c>
      <c r="C268" s="27"/>
      <c r="D268" s="211"/>
      <c r="E268" s="18"/>
      <c r="G268" s="244">
        <f>'Standard data'!$G$306</f>
        <v>0.9</v>
      </c>
      <c r="H268" s="244" t="str">
        <f>B266</f>
        <v>Wheat-based, pellet form</v>
      </c>
      <c r="I268" s="244">
        <f>IF(OR(H268=0,ISERROR(H268)),0,VLOOKUP($H268,'Standard data'!$C$187:$G$200,4,FALSE)*D266)</f>
        <v>3.2549999999999999</v>
      </c>
      <c r="J268" s="244">
        <f>IF(OR(H268=0,ISERROR(H268)),0,VLOOKUP($H268,'Standard data'!$C$187:$G$200,3,FALSE)/1000*$D266)</f>
        <v>0.22559999999999999</v>
      </c>
      <c r="K268" s="139"/>
      <c r="L268" s="152"/>
      <c r="M268" s="147"/>
      <c r="N268" s="148"/>
      <c r="O268" s="139"/>
      <c r="S268" s="35"/>
      <c r="X268" s="9"/>
      <c r="Y268" s="9"/>
      <c r="AG268" s="18"/>
      <c r="AH268" s="26"/>
      <c r="AI268" s="24"/>
      <c r="AJ268" s="24"/>
      <c r="AK268" s="18"/>
      <c r="AN268" s="9"/>
      <c r="AO268" s="33"/>
      <c r="AP268" s="34"/>
      <c r="AQ268" s="34"/>
      <c r="AR268" s="9"/>
    </row>
    <row r="269" spans="2:44" ht="15">
      <c r="B269" s="244" t="s">
        <v>445</v>
      </c>
      <c r="C269" s="244"/>
      <c r="D269" s="244">
        <f>SUM(D264:D268)</f>
        <v>3</v>
      </c>
      <c r="E269" s="18"/>
      <c r="G269" s="244">
        <f>'Standard data'!$G$306</f>
        <v>0.9</v>
      </c>
      <c r="H269" s="244" t="str">
        <f>B267</f>
        <v>Wheat-based, pellet form</v>
      </c>
      <c r="I269" s="244">
        <f>IF(OR(H269=0,ISERROR(H269)),0,VLOOKUP($H269,'Standard data'!$C$187:$G$200,4,FALSE)*D267)</f>
        <v>3.2549999999999999</v>
      </c>
      <c r="J269" s="244">
        <f>IF(OR(H269=0,ISERROR(H269)),0,VLOOKUP($H269,'Standard data'!$C$187:$G$200,3,FALSE)/1000*$D267)</f>
        <v>0.22559999999999999</v>
      </c>
      <c r="K269" s="139"/>
      <c r="L269" s="152"/>
      <c r="M269" s="147"/>
      <c r="N269" s="148"/>
      <c r="O269" s="139"/>
      <c r="S269" s="35"/>
      <c r="X269" s="9"/>
      <c r="Y269" s="9"/>
      <c r="AG269" s="18"/>
      <c r="AH269" s="26"/>
      <c r="AI269" s="24"/>
      <c r="AJ269" s="24"/>
      <c r="AK269" s="18"/>
      <c r="AN269" s="9"/>
      <c r="AO269" s="33"/>
      <c r="AP269" s="34"/>
      <c r="AQ269" s="34"/>
      <c r="AR269" s="9"/>
    </row>
    <row r="270" spans="2:44" ht="15">
      <c r="B270" s="28" t="s">
        <v>43</v>
      </c>
      <c r="C270" s="23"/>
      <c r="D270" s="132"/>
      <c r="E270" s="18"/>
      <c r="G270" s="244">
        <f>'Standard data'!$G$306</f>
        <v>0.9</v>
      </c>
      <c r="H270" s="244" t="str">
        <f>B268</f>
        <v>Wheat-based, pellet form</v>
      </c>
      <c r="I270" s="244">
        <f>IF(OR(H270=0,ISERROR(H270)),0,VLOOKUP($H270,'Standard data'!$C$187:$G$200,4,FALSE)*D268)</f>
        <v>0</v>
      </c>
      <c r="J270" s="244">
        <f>IF(OR(H270=0,ISERROR(H270)),0,VLOOKUP($H270,'Standard data'!$C$187:$G$200,3,FALSE)/1000*$D268)</f>
        <v>0</v>
      </c>
      <c r="K270" s="139"/>
      <c r="L270" s="152"/>
      <c r="M270" s="147"/>
      <c r="N270" s="148"/>
      <c r="O270" s="139"/>
      <c r="S270" s="35"/>
      <c r="X270" s="9"/>
      <c r="Y270" s="9"/>
      <c r="AG270" s="18"/>
      <c r="AH270" s="26"/>
      <c r="AI270" s="24"/>
      <c r="AJ270" s="24"/>
      <c r="AK270" s="18"/>
      <c r="AN270" s="9"/>
      <c r="AO270" s="33"/>
      <c r="AP270" s="34"/>
      <c r="AQ270" s="34"/>
      <c r="AR270" s="9"/>
    </row>
    <row r="271" spans="2:44" s="9" customFormat="1" ht="15">
      <c r="B271" s="211" t="s">
        <v>442</v>
      </c>
      <c r="C271" s="27"/>
      <c r="D271" s="211">
        <v>2</v>
      </c>
      <c r="E271" s="18"/>
      <c r="F271" s="1"/>
      <c r="G271" s="244">
        <f>IF(D269=0,0,SUMPRODUCT(D264:D268,G266:G270)/D269)</f>
        <v>0.9</v>
      </c>
      <c r="H271" s="244" t="s">
        <v>445</v>
      </c>
      <c r="I271" s="244">
        <f>SUM(I265:I270)</f>
        <v>9.7650000000000006</v>
      </c>
      <c r="J271" s="244">
        <f>SUM(J265:J270)</f>
        <v>0.67679999999999996</v>
      </c>
      <c r="K271" s="146"/>
      <c r="L271" s="152"/>
      <c r="M271" s="147"/>
      <c r="N271" s="148"/>
      <c r="O271" s="147"/>
      <c r="S271" s="35"/>
      <c r="AH271" s="26"/>
      <c r="AI271" s="24"/>
      <c r="AJ271" s="24"/>
      <c r="AO271" s="33"/>
      <c r="AP271" s="34"/>
      <c r="AQ271" s="34"/>
    </row>
    <row r="272" spans="2:44" s="9" customFormat="1" ht="30">
      <c r="B272" s="211" t="s">
        <v>443</v>
      </c>
      <c r="C272" s="27"/>
      <c r="D272" s="211">
        <v>2</v>
      </c>
      <c r="E272" s="18"/>
      <c r="F272" s="1"/>
      <c r="G272" s="1"/>
      <c r="H272" s="244" t="s">
        <v>134</v>
      </c>
      <c r="I272" s="244" t="str">
        <f>B270</f>
        <v>Personal mixt feedstuffs</v>
      </c>
      <c r="J272" s="244"/>
      <c r="K272" s="147"/>
      <c r="L272" s="147"/>
      <c r="M272" s="147"/>
      <c r="N272" s="147"/>
      <c r="O272" s="147"/>
      <c r="AH272" s="26"/>
      <c r="AI272" s="24"/>
      <c r="AJ272" s="24"/>
      <c r="AO272" s="33"/>
      <c r="AP272" s="34"/>
      <c r="AQ272" s="34"/>
    </row>
    <row r="273" spans="2:44" s="9" customFormat="1" ht="30">
      <c r="B273" s="211" t="s">
        <v>444</v>
      </c>
      <c r="C273" s="27"/>
      <c r="D273" s="211">
        <v>2</v>
      </c>
      <c r="E273" s="18"/>
      <c r="F273" s="1"/>
      <c r="H273" s="244"/>
      <c r="I273" s="244"/>
      <c r="J273" s="244" t="s">
        <v>18</v>
      </c>
      <c r="K273" s="141"/>
      <c r="L273" s="147"/>
      <c r="M273" s="147"/>
      <c r="N273" s="147"/>
      <c r="O273" s="147"/>
      <c r="AH273" s="26"/>
      <c r="AI273" s="24"/>
      <c r="AJ273" s="24"/>
      <c r="AO273" s="33"/>
      <c r="AP273" s="34"/>
      <c r="AQ273" s="34"/>
    </row>
    <row r="274" spans="2:44" s="9" customFormat="1" ht="15">
      <c r="B274" s="244" t="s">
        <v>445</v>
      </c>
      <c r="C274" s="244"/>
      <c r="D274" s="244">
        <f>SUM(D271:D273)</f>
        <v>6</v>
      </c>
      <c r="E274" s="18"/>
      <c r="F274" s="1"/>
      <c r="G274" s="1"/>
      <c r="H274" s="244" t="str">
        <f>B271</f>
        <v xml:space="preserve">Cereals </v>
      </c>
      <c r="I274" s="244"/>
      <c r="J274" s="244">
        <f>'Standard data'!$D$319*$D271</f>
        <v>2.0646648000000001</v>
      </c>
      <c r="K274" s="147"/>
      <c r="L274" s="147"/>
      <c r="M274" s="147"/>
      <c r="N274" s="147"/>
      <c r="O274" s="147"/>
      <c r="AH274" s="26"/>
      <c r="AI274" s="24"/>
      <c r="AJ274" s="24"/>
      <c r="AO274" s="33"/>
      <c r="AP274" s="34"/>
      <c r="AQ274" s="34"/>
    </row>
    <row r="275" spans="2:44" s="9" customFormat="1" ht="15">
      <c r="E275" s="18"/>
      <c r="F275" s="1"/>
      <c r="G275" s="1"/>
      <c r="H275" s="244" t="str">
        <f>B272</f>
        <v>Proteins (pulses, soy, distilled grains,…)</v>
      </c>
      <c r="I275" s="244"/>
      <c r="J275" s="244">
        <f>'Standard data'!$G$319*$D272</f>
        <v>5.3632387999999995</v>
      </c>
      <c r="K275" s="147"/>
      <c r="L275" s="147"/>
      <c r="M275" s="147"/>
      <c r="N275" s="147"/>
      <c r="O275" s="147"/>
      <c r="AH275" s="26"/>
      <c r="AI275" s="24"/>
      <c r="AJ275" s="24"/>
      <c r="AO275" s="33"/>
      <c r="AP275" s="34"/>
      <c r="AQ275" s="34"/>
    </row>
    <row r="276" spans="2:44" s="9" customFormat="1" ht="15">
      <c r="E276" s="18"/>
      <c r="F276" s="1"/>
      <c r="G276" s="1"/>
      <c r="H276" s="244" t="str">
        <f>B273</f>
        <v>Energy (molasses, starch, co-products,…)</v>
      </c>
      <c r="I276" s="244"/>
      <c r="J276" s="244">
        <f>'Standard data'!$J$319*$D273</f>
        <v>0.47795159999999998</v>
      </c>
      <c r="K276" s="147"/>
      <c r="L276" s="147"/>
      <c r="M276" s="147"/>
      <c r="N276" s="147"/>
      <c r="O276" s="147"/>
      <c r="AH276" s="26"/>
      <c r="AI276" s="24"/>
      <c r="AJ276" s="24"/>
      <c r="AO276" s="33"/>
      <c r="AP276" s="34"/>
      <c r="AQ276" s="34"/>
    </row>
    <row r="277" spans="2:44" s="9" customFormat="1" ht="15">
      <c r="E277" s="18"/>
      <c r="H277" s="244" t="s">
        <v>445</v>
      </c>
      <c r="I277" s="244"/>
      <c r="J277" s="244">
        <f>SUM(J274:J276)</f>
        <v>7.9058551999999995</v>
      </c>
      <c r="K277" s="146"/>
      <c r="L277" s="147"/>
      <c r="M277" s="147"/>
      <c r="N277" s="147"/>
      <c r="O277" s="147"/>
      <c r="AH277" s="26"/>
      <c r="AI277" s="24"/>
      <c r="AJ277" s="24"/>
      <c r="AO277" s="33"/>
      <c r="AP277" s="34"/>
      <c r="AQ277" s="34"/>
    </row>
    <row r="278" spans="2:44" s="9" customFormat="1">
      <c r="F278" s="1"/>
      <c r="G278" s="43"/>
      <c r="H278" s="147"/>
      <c r="I278" s="147"/>
      <c r="J278" s="147"/>
      <c r="K278" s="147"/>
      <c r="L278" s="147"/>
      <c r="M278" s="147"/>
      <c r="N278" s="147"/>
      <c r="O278" s="147"/>
      <c r="AH278" s="26"/>
      <c r="AI278" s="24"/>
      <c r="AJ278" s="24"/>
      <c r="AO278" s="33"/>
      <c r="AP278" s="34"/>
      <c r="AQ278" s="34"/>
    </row>
    <row r="279" spans="2:44">
      <c r="B279" s="9"/>
      <c r="C279" s="9"/>
      <c r="D279" s="44"/>
      <c r="E279" s="45"/>
      <c r="H279" s="139"/>
      <c r="I279" s="139"/>
      <c r="J279" s="139"/>
      <c r="K279" s="139"/>
      <c r="L279" s="147"/>
      <c r="M279" s="147"/>
      <c r="N279" s="147"/>
      <c r="O279" s="139"/>
      <c r="P279" s="29"/>
      <c r="Q279" s="18"/>
      <c r="R279" s="30"/>
      <c r="S279" s="31"/>
      <c r="T279" s="18"/>
      <c r="X279" s="9"/>
      <c r="Y279" s="9"/>
      <c r="AG279" s="18"/>
      <c r="AH279" s="26"/>
      <c r="AI279" s="24"/>
      <c r="AJ279" s="24"/>
      <c r="AK279" s="18"/>
      <c r="AN279" s="9"/>
      <c r="AO279" s="33"/>
      <c r="AP279" s="34"/>
      <c r="AQ279" s="34"/>
      <c r="AR279" s="9"/>
    </row>
    <row r="280" spans="2:44" s="9" customFormat="1">
      <c r="D280" s="44"/>
      <c r="E280" s="45"/>
      <c r="F280" s="1"/>
      <c r="H280" s="147"/>
      <c r="I280" s="147"/>
      <c r="J280" s="147"/>
      <c r="K280" s="147"/>
      <c r="L280" s="147"/>
      <c r="M280" s="147"/>
      <c r="N280" s="147"/>
      <c r="O280" s="147"/>
      <c r="AI280" s="26"/>
      <c r="AJ280" s="24"/>
      <c r="AK280" s="24"/>
      <c r="AP280" s="33"/>
      <c r="AQ280" s="34"/>
      <c r="AR280" s="34"/>
    </row>
    <row r="281" spans="2:44" s="9" customFormat="1">
      <c r="D281" s="44"/>
      <c r="E281" s="45"/>
      <c r="H281" s="147"/>
      <c r="I281" s="147"/>
      <c r="J281" s="147"/>
      <c r="K281" s="147"/>
      <c r="L281" s="147"/>
      <c r="M281" s="153"/>
      <c r="N281" s="154"/>
      <c r="O281" s="154"/>
      <c r="AI281" s="26"/>
      <c r="AJ281" s="24"/>
      <c r="AK281" s="24"/>
      <c r="AP281" s="33"/>
      <c r="AQ281" s="34"/>
      <c r="AR281" s="34"/>
    </row>
    <row r="282" spans="2:44" s="9" customFormat="1">
      <c r="D282" s="44"/>
      <c r="E282" s="45"/>
      <c r="F282" s="1"/>
      <c r="I282" s="24"/>
      <c r="M282" s="46"/>
      <c r="N282" s="47"/>
      <c r="O282" s="47"/>
      <c r="AI282" s="26"/>
      <c r="AJ282" s="24"/>
      <c r="AK282" s="24"/>
      <c r="AP282" s="33"/>
      <c r="AQ282" s="34"/>
      <c r="AR282" s="34"/>
    </row>
    <row r="283" spans="2:44" s="9" customFormat="1">
      <c r="D283" s="44"/>
      <c r="E283" s="45"/>
      <c r="I283" s="24"/>
      <c r="M283" s="46"/>
      <c r="N283" s="47"/>
      <c r="O283" s="47"/>
      <c r="AI283" s="26"/>
      <c r="AJ283" s="24"/>
      <c r="AK283" s="24"/>
      <c r="AP283" s="33"/>
      <c r="AQ283" s="34"/>
      <c r="AR283" s="34"/>
    </row>
    <row r="285" spans="2:44">
      <c r="B285" s="155" t="s">
        <v>450</v>
      </c>
    </row>
    <row r="286" spans="2:44" ht="45">
      <c r="B286" s="244" t="s">
        <v>140</v>
      </c>
      <c r="C286" s="244" t="str">
        <f>B3</f>
        <v>DAIRY CATTLE</v>
      </c>
      <c r="D286" s="244" t="str">
        <f>B43</f>
        <v>MEAT CATTLE</v>
      </c>
      <c r="E286" s="244" t="str">
        <f>B83</f>
        <v>SHEEP (milk and meat)</v>
      </c>
      <c r="F286" s="244" t="str">
        <f>B123</f>
        <v>GOAT (milk and meat)</v>
      </c>
      <c r="G286" s="244" t="str">
        <f>B163</f>
        <v>Other RUMINANTS</v>
      </c>
      <c r="H286" s="244" t="str">
        <f>B203</f>
        <v>PIGS</v>
      </c>
      <c r="I286" s="244" t="str">
        <f>B243</f>
        <v>POULTRIy</v>
      </c>
      <c r="J286" s="244" t="e">
        <f>#REF!</f>
        <v>#REF!</v>
      </c>
      <c r="K286" s="271" t="s">
        <v>141</v>
      </c>
    </row>
    <row r="287" spans="2:44" ht="15">
      <c r="B287" s="244" t="s">
        <v>142</v>
      </c>
      <c r="C287" s="244">
        <f>IF(ISERROR($J13),0,$J13)</f>
        <v>0.26100000000000001</v>
      </c>
      <c r="D287" s="244">
        <f>IF(ISERROR($J53),0,$J53)</f>
        <v>0.26100000000000001</v>
      </c>
      <c r="E287" s="244">
        <f>IF(ISERROR($J93),0,$J93)</f>
        <v>0.26100000000000001</v>
      </c>
      <c r="F287" s="244">
        <f>IF(ISERROR($J133),0,$J133)</f>
        <v>0.26100000000000001</v>
      </c>
      <c r="G287" s="244">
        <f>IF(ISERROR($J173),0,$J173)</f>
        <v>0.26100000000000001</v>
      </c>
      <c r="H287" s="244">
        <f>IF(ISERROR($J213),0,$J213)</f>
        <v>0.26100000000000001</v>
      </c>
      <c r="I287" s="244">
        <f>IF(ISERROR($J253),0,$J253)</f>
        <v>0.26100000000000001</v>
      </c>
      <c r="J287" s="244">
        <f>IF(ISERROR(#REF!),0,#REF!)</f>
        <v>0</v>
      </c>
      <c r="K287" s="271">
        <f>SUM(C287:J287)</f>
        <v>1.8270000000000004</v>
      </c>
    </row>
    <row r="288" spans="2:44" ht="15">
      <c r="B288" s="244" t="s">
        <v>143</v>
      </c>
      <c r="C288" s="244">
        <f>IF(ISERROR($J23),0,$J23)</f>
        <v>1.0589999999999999</v>
      </c>
      <c r="D288" s="244">
        <f>IF(ISERROR($J63),0,$J63)</f>
        <v>1.0589999999999999</v>
      </c>
      <c r="E288" s="244">
        <f>IF(ISERROR($J103),0,$J103)</f>
        <v>1.0589999999999999</v>
      </c>
      <c r="F288" s="244">
        <f>IF(ISERROR($J143),0,$J143)</f>
        <v>1.0589999999999999</v>
      </c>
      <c r="G288" s="244">
        <f>IF(ISERROR($J183),0,$J183)</f>
        <v>1.0589999999999999</v>
      </c>
      <c r="H288" s="244">
        <f>IF(ISERROR($J223),0,$J223)</f>
        <v>1.0589999999999999</v>
      </c>
      <c r="I288" s="244">
        <f>IF(ISERROR($J263),0,$J263)</f>
        <v>1.0589999999999999</v>
      </c>
      <c r="J288" s="244">
        <f>IF(ISERROR(#REF!),0,#REF!)</f>
        <v>0</v>
      </c>
      <c r="K288" s="271">
        <f>SUM(C288:J288)</f>
        <v>7.4130000000000003</v>
      </c>
    </row>
    <row r="289" spans="2:100" ht="15">
      <c r="B289" s="244" t="s">
        <v>37</v>
      </c>
      <c r="C289" s="244">
        <f>IF(ISERROR($J31),0,$J31)</f>
        <v>1.6680000000000001</v>
      </c>
      <c r="D289" s="244">
        <f>IF(ISERROR($J71),0,$J71)</f>
        <v>1.6680000000000001</v>
      </c>
      <c r="E289" s="244">
        <f>IF(ISERROR($J111),0,$J111)</f>
        <v>1.536</v>
      </c>
      <c r="F289" s="244">
        <f>IF(ISERROR($J151),0,$J151)</f>
        <v>2.2589999999999999</v>
      </c>
      <c r="G289" s="244">
        <f>IF(ISERROR($J191),0,$J191)</f>
        <v>1.4249999999999998</v>
      </c>
      <c r="H289" s="244">
        <f>IF(ISERROR($J231),0,$J231)</f>
        <v>0.747</v>
      </c>
      <c r="I289" s="244">
        <f>IF(ISERROR($J271),0,$J271)</f>
        <v>0.67679999999999996</v>
      </c>
      <c r="J289" s="244">
        <f>IF(ISERROR(#REF!),0,#REF!)</f>
        <v>0</v>
      </c>
      <c r="K289" s="271">
        <f>SUM(C289:J289)</f>
        <v>9.9798000000000009</v>
      </c>
    </row>
    <row r="290" spans="2:100" ht="15">
      <c r="B290" s="244" t="s">
        <v>144</v>
      </c>
      <c r="C290" s="244">
        <f>IF(ISERROR($J37),0,$J37)</f>
        <v>7.9058551999999995</v>
      </c>
      <c r="D290" s="244">
        <f>IF(ISERROR($J77),0,$J77)</f>
        <v>7.9058551999999995</v>
      </c>
      <c r="E290" s="244">
        <f>IF(ISERROR($J117),0,$J117)</f>
        <v>7.9058551999999995</v>
      </c>
      <c r="F290" s="244">
        <f>IF(ISERROR($J157),0,$J157)</f>
        <v>7.9058551999999995</v>
      </c>
      <c r="G290" s="244">
        <f>IF(ISERROR($J197),0,$J197)</f>
        <v>7.9058551999999995</v>
      </c>
      <c r="H290" s="244">
        <f>IF(ISERROR($J237),0,$J237)</f>
        <v>7.9058551999999995</v>
      </c>
      <c r="I290" s="244">
        <f>IF(ISERROR($J277),0,$J277)</f>
        <v>7.9058551999999995</v>
      </c>
      <c r="J290" s="244">
        <f>IF(ISERROR(#REF!),0,#REF!)</f>
        <v>0</v>
      </c>
      <c r="K290" s="271">
        <f>SUM(C290:J290)</f>
        <v>55.340986399999991</v>
      </c>
    </row>
    <row r="291" spans="2:100" ht="15.75" thickBot="1">
      <c r="B291" s="244" t="s">
        <v>45</v>
      </c>
      <c r="C291" s="244">
        <f>IF(ISERROR($J39),0,$J39)</f>
        <v>2.2000000000000001E-4</v>
      </c>
      <c r="D291" s="244">
        <f>IF(ISERROR($J79),0,$J79)</f>
        <v>2.2000000000000001E-4</v>
      </c>
      <c r="E291" s="244">
        <f>IF(ISERROR($J119),0,$J119)</f>
        <v>2.2000000000000001E-4</v>
      </c>
      <c r="F291" s="244">
        <f>IF(ISERROR($J159),0,$J159)</f>
        <v>2.2000000000000001E-4</v>
      </c>
      <c r="G291" s="244">
        <f>IF(ISERROR($J199),0,$J199)</f>
        <v>2.2000000000000001E-4</v>
      </c>
      <c r="H291" s="244"/>
      <c r="I291" s="244"/>
      <c r="J291" s="244"/>
      <c r="K291" s="316">
        <f>SUM(C291:J291)</f>
        <v>1.1000000000000001E-3</v>
      </c>
    </row>
    <row r="292" spans="2:100" ht="15.75" thickBot="1">
      <c r="B292" s="244" t="s">
        <v>145</v>
      </c>
      <c r="C292" s="271">
        <f>SUM(C287:C291)</f>
        <v>10.8940752</v>
      </c>
      <c r="D292" s="271">
        <f t="shared" ref="D292" si="28">SUM(D287:D291)</f>
        <v>10.8940752</v>
      </c>
      <c r="E292" s="271">
        <f t="shared" ref="E292:K292" si="29">SUM(E287:E291)</f>
        <v>10.7620752</v>
      </c>
      <c r="F292" s="271">
        <f t="shared" si="29"/>
        <v>11.485075199999999</v>
      </c>
      <c r="G292" s="271">
        <f t="shared" si="29"/>
        <v>10.651075199999999</v>
      </c>
      <c r="H292" s="271">
        <f t="shared" si="29"/>
        <v>9.9728551999999997</v>
      </c>
      <c r="I292" s="271">
        <f t="shared" si="29"/>
        <v>9.9026551999999999</v>
      </c>
      <c r="J292" s="315">
        <f t="shared" si="29"/>
        <v>0</v>
      </c>
      <c r="K292" s="317">
        <f t="shared" si="29"/>
        <v>74.561886399999977</v>
      </c>
    </row>
    <row r="298" spans="2:100">
      <c r="BX298" s="106"/>
      <c r="CP298" s="117"/>
      <c r="CV298" s="117"/>
    </row>
    <row r="299" spans="2:100">
      <c r="BG299" s="112"/>
      <c r="BX299" s="106"/>
      <c r="CP299" s="117"/>
      <c r="CV299" s="117"/>
    </row>
    <row r="300" spans="2:100">
      <c r="BG300" s="112"/>
      <c r="BX300" s="106"/>
      <c r="CP300" s="117"/>
      <c r="CV300" s="117"/>
    </row>
    <row r="301" spans="2:100">
      <c r="BG301" s="112"/>
      <c r="BX301" s="106"/>
      <c r="CP301" s="117"/>
      <c r="CV301" s="117"/>
    </row>
    <row r="302" spans="2:100">
      <c r="AV302" s="107"/>
      <c r="AW302" s="108"/>
      <c r="AX302" s="109"/>
      <c r="AY302" s="110"/>
      <c r="AZ302" s="111"/>
      <c r="BA302" s="112"/>
      <c r="BB302" s="110"/>
      <c r="BC302" s="111"/>
      <c r="BD302" s="112"/>
      <c r="BE302" s="110"/>
      <c r="BF302" s="111"/>
      <c r="BG302" s="112"/>
      <c r="BX302" s="106"/>
      <c r="CP302" s="117"/>
      <c r="CV302" s="117"/>
    </row>
    <row r="303" spans="2:100">
      <c r="AV303" s="107"/>
      <c r="AW303" s="108"/>
      <c r="AX303" s="109"/>
      <c r="AY303" s="110"/>
      <c r="AZ303" s="111"/>
      <c r="BA303" s="112"/>
      <c r="BB303" s="110"/>
      <c r="BC303" s="111"/>
      <c r="BD303" s="112"/>
      <c r="BE303" s="110"/>
      <c r="BF303" s="111"/>
      <c r="BG303" s="112"/>
      <c r="BX303" s="106"/>
      <c r="CP303" s="117"/>
      <c r="CV303" s="117"/>
    </row>
    <row r="304" spans="2:100">
      <c r="AV304" s="107"/>
      <c r="AW304" s="108"/>
      <c r="AX304" s="109"/>
      <c r="AY304" s="110"/>
      <c r="AZ304" s="111"/>
      <c r="BA304" s="112"/>
      <c r="BB304" s="110"/>
      <c r="BC304" s="111"/>
      <c r="BD304" s="112"/>
      <c r="BE304" s="110"/>
      <c r="BF304" s="111"/>
      <c r="BG304" s="112"/>
      <c r="BX304" s="106"/>
      <c r="CP304" s="117"/>
      <c r="CV304" s="117"/>
    </row>
    <row r="305" spans="48:100">
      <c r="AV305" s="107"/>
      <c r="AW305" s="108"/>
      <c r="AX305" s="109"/>
      <c r="AY305" s="110"/>
      <c r="AZ305" s="111"/>
      <c r="BA305" s="112"/>
      <c r="BB305" s="110"/>
      <c r="BC305" s="111"/>
      <c r="BD305" s="112"/>
      <c r="BE305" s="110"/>
      <c r="BF305" s="111"/>
      <c r="BG305" s="112"/>
      <c r="BX305" s="106"/>
      <c r="CP305" s="117"/>
      <c r="CV305" s="117"/>
    </row>
    <row r="306" spans="48:100">
      <c r="AV306" s="107"/>
      <c r="AW306" s="108"/>
      <c r="AX306" s="109"/>
      <c r="AY306" s="110"/>
      <c r="AZ306" s="111"/>
      <c r="BA306" s="112"/>
      <c r="BB306" s="110"/>
      <c r="BC306" s="111"/>
      <c r="BD306" s="112"/>
      <c r="BE306" s="110"/>
      <c r="BF306" s="111"/>
      <c r="BG306" s="112"/>
      <c r="BX306" s="106"/>
      <c r="CP306" s="117"/>
      <c r="CV306" s="117"/>
    </row>
    <row r="307" spans="48:100" ht="15.75">
      <c r="AV307" s="107"/>
      <c r="AW307" s="108"/>
      <c r="AX307" s="109"/>
      <c r="AY307" s="110"/>
      <c r="AZ307" s="111"/>
      <c r="BA307" s="112"/>
      <c r="BB307" s="110"/>
      <c r="BC307" s="111"/>
      <c r="BD307" s="112"/>
      <c r="BE307" s="110"/>
      <c r="BF307" s="111"/>
      <c r="BG307" s="112"/>
      <c r="BX307" s="106"/>
      <c r="CP307" s="117"/>
      <c r="CT307" s="118"/>
      <c r="CU307" s="118"/>
      <c r="CV307" s="119"/>
    </row>
    <row r="308" spans="48:100" ht="15.75">
      <c r="AV308" s="107"/>
      <c r="AW308" s="108"/>
      <c r="AX308" s="109"/>
      <c r="AY308" s="110"/>
      <c r="AZ308" s="111"/>
      <c r="BA308" s="112"/>
      <c r="BB308" s="110"/>
      <c r="BC308" s="111"/>
      <c r="BD308" s="112"/>
      <c r="BE308" s="110"/>
      <c r="BF308" s="111"/>
      <c r="BG308" s="112"/>
      <c r="BX308" s="106"/>
      <c r="CM308" s="20"/>
      <c r="CP308" s="117"/>
      <c r="CT308" s="118"/>
      <c r="CU308" s="118"/>
      <c r="CV308" s="119"/>
    </row>
    <row r="309" spans="48:100" ht="15.75">
      <c r="AV309" s="107"/>
      <c r="AW309" s="108"/>
      <c r="AX309" s="109"/>
      <c r="AY309" s="110"/>
      <c r="AZ309" s="111"/>
      <c r="BA309" s="112"/>
      <c r="BB309" s="110"/>
      <c r="BC309" s="111"/>
      <c r="BD309" s="112"/>
      <c r="BE309" s="110"/>
      <c r="BF309" s="111"/>
      <c r="BG309" s="112"/>
      <c r="CP309" s="117"/>
      <c r="CT309" s="118"/>
      <c r="CU309" s="118"/>
      <c r="CV309" s="119"/>
    </row>
    <row r="310" spans="48:100" ht="15.75">
      <c r="AV310" s="107"/>
      <c r="AW310" s="108"/>
      <c r="AX310" s="109"/>
      <c r="AY310" s="110"/>
      <c r="AZ310" s="111"/>
      <c r="BA310" s="112"/>
      <c r="BB310" s="110"/>
      <c r="BC310" s="111"/>
      <c r="BD310" s="112"/>
      <c r="BE310" s="110"/>
      <c r="BF310" s="111"/>
      <c r="BG310" s="112"/>
      <c r="CP310" s="117"/>
      <c r="CT310" s="118"/>
      <c r="CV310" s="117"/>
    </row>
    <row r="311" spans="48:100" ht="15.75">
      <c r="AV311" s="107"/>
      <c r="AW311" s="108"/>
      <c r="AX311" s="109"/>
      <c r="AY311" s="110"/>
      <c r="AZ311" s="111"/>
      <c r="BA311" s="112"/>
      <c r="BB311" s="110"/>
      <c r="BC311" s="111"/>
      <c r="BD311" s="112"/>
      <c r="BE311" s="110"/>
      <c r="BF311" s="111"/>
      <c r="BG311" s="112"/>
      <c r="CP311" s="117"/>
      <c r="CT311" s="118"/>
      <c r="CV311" s="117"/>
    </row>
    <row r="312" spans="48:100" ht="15.75">
      <c r="AV312" s="107"/>
      <c r="AW312" s="108"/>
      <c r="AX312" s="109"/>
      <c r="AY312" s="110"/>
      <c r="AZ312" s="111"/>
      <c r="BA312" s="112"/>
      <c r="BB312" s="110"/>
      <c r="BC312" s="111"/>
      <c r="BD312" s="112"/>
      <c r="BE312" s="110"/>
      <c r="BF312" s="111"/>
      <c r="BG312" s="112"/>
      <c r="CP312" s="117"/>
      <c r="CT312" s="118"/>
      <c r="CV312" s="117"/>
    </row>
    <row r="313" spans="48:100" ht="15.75">
      <c r="AV313" s="107"/>
      <c r="AW313" s="108"/>
      <c r="AX313" s="109"/>
      <c r="AY313" s="110"/>
      <c r="AZ313" s="111"/>
      <c r="BA313" s="112"/>
      <c r="BB313" s="110"/>
      <c r="BC313" s="111"/>
      <c r="BD313" s="112"/>
      <c r="BE313" s="110"/>
      <c r="BF313" s="111"/>
      <c r="BG313" s="112"/>
      <c r="CP313" s="117"/>
      <c r="CT313" s="118"/>
      <c r="CV313" s="117"/>
    </row>
    <row r="314" spans="48:100">
      <c r="AV314" s="107"/>
      <c r="AW314" s="108"/>
      <c r="AX314" s="109"/>
      <c r="AY314" s="110"/>
      <c r="AZ314" s="111"/>
      <c r="BA314" s="112"/>
      <c r="BB314" s="110"/>
      <c r="BC314" s="111"/>
      <c r="BD314" s="112"/>
      <c r="BE314" s="110"/>
      <c r="BF314" s="111"/>
      <c r="BG314" s="112"/>
      <c r="CS314" s="20"/>
    </row>
    <row r="315" spans="48:100">
      <c r="AV315" s="107"/>
      <c r="AW315" s="108"/>
      <c r="AX315" s="109"/>
      <c r="AY315" s="110"/>
      <c r="AZ315" s="111"/>
      <c r="BA315" s="112"/>
      <c r="BB315" s="110"/>
      <c r="BC315" s="111"/>
      <c r="BD315" s="112"/>
      <c r="BE315" s="110"/>
      <c r="BF315" s="111"/>
      <c r="BG315" s="112"/>
    </row>
    <row r="316" spans="48:100">
      <c r="AV316" s="107"/>
      <c r="AW316" s="108"/>
      <c r="AX316" s="109"/>
      <c r="AY316" s="110"/>
      <c r="AZ316" s="111"/>
      <c r="BA316" s="112"/>
      <c r="BB316" s="110"/>
      <c r="BC316" s="111"/>
      <c r="BD316" s="112"/>
      <c r="BE316" s="110"/>
      <c r="BF316" s="111"/>
      <c r="BG316" s="112"/>
    </row>
    <row r="317" spans="48:100">
      <c r="AV317" s="107"/>
      <c r="AW317" s="108"/>
      <c r="AX317" s="109"/>
      <c r="AY317" s="110"/>
      <c r="AZ317" s="111"/>
      <c r="BA317" s="112"/>
      <c r="BB317" s="110"/>
      <c r="BC317" s="111"/>
      <c r="BD317" s="112"/>
      <c r="BE317" s="110"/>
      <c r="BF317" s="111"/>
      <c r="BG317" s="112"/>
    </row>
    <row r="318" spans="48:100">
      <c r="AV318" s="107"/>
      <c r="AW318" s="108"/>
      <c r="AX318" s="109"/>
      <c r="AY318" s="110"/>
      <c r="AZ318" s="111"/>
      <c r="BA318" s="112"/>
      <c r="BB318" s="110"/>
      <c r="BC318" s="111"/>
      <c r="BD318" s="112"/>
      <c r="BE318" s="110"/>
      <c r="BF318" s="111"/>
      <c r="BG318" s="112"/>
    </row>
    <row r="319" spans="48:100">
      <c r="AV319" s="107"/>
      <c r="AW319" s="108"/>
      <c r="AX319" s="109"/>
      <c r="AY319" s="110"/>
      <c r="AZ319" s="111"/>
      <c r="BA319" s="112"/>
      <c r="BB319" s="110"/>
      <c r="BC319" s="111"/>
      <c r="BD319" s="112"/>
      <c r="BE319" s="110"/>
      <c r="BF319" s="111"/>
      <c r="BG319" s="112"/>
    </row>
    <row r="320" spans="48:100">
      <c r="AV320" s="107"/>
      <c r="AW320" s="108"/>
      <c r="AX320" s="109"/>
      <c r="AY320" s="110"/>
      <c r="AZ320" s="111"/>
      <c r="BA320" s="112"/>
      <c r="BB320" s="110"/>
      <c r="BC320" s="111"/>
      <c r="BD320" s="112"/>
      <c r="BE320" s="110"/>
      <c r="BF320" s="111"/>
      <c r="BG320" s="112"/>
    </row>
    <row r="321" spans="48:94">
      <c r="AV321" s="107"/>
      <c r="AW321" s="108"/>
      <c r="AX321" s="109"/>
      <c r="AY321" s="110"/>
      <c r="AZ321" s="111"/>
      <c r="BA321" s="112"/>
      <c r="BB321" s="110"/>
      <c r="BC321" s="111"/>
      <c r="BD321" s="112"/>
      <c r="BE321" s="110"/>
      <c r="BF321" s="111"/>
      <c r="BG321" s="112"/>
    </row>
    <row r="322" spans="48:94">
      <c r="AV322" s="107"/>
      <c r="AW322" s="108"/>
      <c r="AX322" s="109"/>
      <c r="AY322" s="110"/>
      <c r="AZ322" s="111"/>
      <c r="BA322" s="112"/>
      <c r="BB322" s="110"/>
      <c r="BC322" s="111"/>
      <c r="BD322" s="112"/>
      <c r="BE322" s="110"/>
      <c r="BF322" s="111"/>
      <c r="BG322" s="112"/>
    </row>
    <row r="323" spans="48:94">
      <c r="AV323" s="107"/>
      <c r="AW323" s="108"/>
      <c r="AX323" s="109"/>
      <c r="AY323" s="110"/>
      <c r="AZ323" s="111"/>
      <c r="BA323" s="112"/>
      <c r="BB323" s="110"/>
      <c r="BC323" s="111"/>
      <c r="BD323" s="112"/>
      <c r="BE323" s="110"/>
      <c r="BF323" s="111"/>
      <c r="BG323" s="112"/>
      <c r="CP323" s="117"/>
    </row>
    <row r="324" spans="48:94">
      <c r="AV324" s="107"/>
      <c r="AW324" s="108"/>
      <c r="AX324" s="109"/>
      <c r="AY324" s="110"/>
      <c r="AZ324" s="111"/>
      <c r="BA324" s="112"/>
      <c r="BB324" s="110"/>
      <c r="BC324" s="111"/>
      <c r="BD324" s="112"/>
      <c r="BE324" s="110"/>
      <c r="BF324" s="111"/>
      <c r="BG324" s="112"/>
      <c r="CP324" s="117"/>
    </row>
    <row r="325" spans="48:94">
      <c r="AV325" s="107"/>
      <c r="AW325" s="108"/>
      <c r="AX325" s="109"/>
      <c r="AY325" s="110"/>
      <c r="AZ325" s="111"/>
      <c r="BA325" s="112"/>
      <c r="BB325" s="110"/>
      <c r="BC325" s="111"/>
      <c r="BD325" s="112"/>
      <c r="BE325" s="110"/>
      <c r="BF325" s="111"/>
      <c r="BG325" s="112"/>
      <c r="CP325" s="117"/>
    </row>
    <row r="326" spans="48:94" ht="15.75">
      <c r="AV326" s="107"/>
      <c r="AW326" s="108"/>
      <c r="AX326" s="109"/>
      <c r="AY326" s="110"/>
      <c r="AZ326" s="111"/>
      <c r="BA326" s="112"/>
      <c r="BB326" s="110"/>
      <c r="BC326" s="111"/>
      <c r="BD326" s="112"/>
      <c r="BE326" s="110"/>
      <c r="BF326" s="111"/>
      <c r="BG326" s="112"/>
      <c r="CN326" s="118"/>
      <c r="CO326" s="118"/>
      <c r="CP326" s="119"/>
    </row>
    <row r="327" spans="48:94" ht="15.75">
      <c r="AV327" s="107"/>
      <c r="AW327" s="108"/>
      <c r="AX327" s="109"/>
      <c r="AY327" s="110"/>
      <c r="AZ327" s="111"/>
      <c r="BA327" s="112"/>
      <c r="BB327" s="110"/>
      <c r="BC327" s="111"/>
      <c r="BD327" s="112"/>
      <c r="BE327" s="110"/>
      <c r="BF327" s="111"/>
      <c r="BG327" s="112"/>
      <c r="CN327" s="118"/>
      <c r="CO327" s="118"/>
      <c r="CP327" s="119"/>
    </row>
    <row r="328" spans="48:94" ht="15.75">
      <c r="AV328" s="107"/>
      <c r="AW328" s="108"/>
      <c r="AX328" s="109"/>
      <c r="AY328" s="110"/>
      <c r="AZ328" s="111"/>
      <c r="BA328" s="112"/>
      <c r="BB328" s="110"/>
      <c r="BC328" s="111"/>
      <c r="BD328" s="112"/>
      <c r="BE328" s="110"/>
      <c r="BF328" s="111"/>
      <c r="BG328" s="112"/>
      <c r="CN328" s="118"/>
      <c r="CO328" s="118"/>
      <c r="CP328" s="119"/>
    </row>
    <row r="329" spans="48:94" ht="15.75">
      <c r="AV329" s="107"/>
      <c r="AW329" s="108"/>
      <c r="AX329" s="109"/>
      <c r="AY329" s="110"/>
      <c r="AZ329" s="111"/>
      <c r="BA329" s="112"/>
      <c r="BB329" s="110"/>
      <c r="BC329" s="111"/>
      <c r="BD329" s="112"/>
      <c r="BE329" s="110"/>
      <c r="BF329" s="111"/>
      <c r="BG329" s="112"/>
      <c r="CN329" s="118"/>
      <c r="CP329" s="117"/>
    </row>
    <row r="330" spans="48:94" ht="15.75">
      <c r="AV330" s="107"/>
      <c r="AW330" s="108"/>
      <c r="AX330" s="109"/>
      <c r="AY330" s="110"/>
      <c r="AZ330" s="111"/>
      <c r="BA330" s="112"/>
      <c r="BB330" s="110"/>
      <c r="BC330" s="111"/>
      <c r="BD330" s="112"/>
      <c r="BE330" s="110"/>
      <c r="BF330" s="111"/>
      <c r="BG330" s="112"/>
      <c r="CN330" s="118"/>
      <c r="CP330" s="117"/>
    </row>
    <row r="331" spans="48:94" ht="15.75">
      <c r="AV331" s="107"/>
      <c r="AW331" s="108"/>
      <c r="AX331" s="109"/>
      <c r="AY331" s="110"/>
      <c r="AZ331" s="111"/>
      <c r="BA331" s="112"/>
      <c r="BB331" s="110"/>
      <c r="BC331" s="111"/>
      <c r="BD331" s="112"/>
      <c r="BE331" s="110"/>
      <c r="BF331" s="111"/>
      <c r="BG331" s="112"/>
      <c r="CN331" s="118"/>
      <c r="CP331" s="117"/>
    </row>
    <row r="332" spans="48:94" ht="15.75">
      <c r="AV332" s="107"/>
      <c r="AW332" s="108"/>
      <c r="AX332" s="109"/>
      <c r="AY332" s="110"/>
      <c r="AZ332" s="111"/>
      <c r="BA332" s="112"/>
      <c r="BB332" s="110"/>
      <c r="BC332" s="111"/>
      <c r="BD332" s="112"/>
      <c r="BE332" s="110"/>
      <c r="BF332" s="111"/>
      <c r="BG332" s="112"/>
      <c r="CN332" s="118"/>
      <c r="CP332" s="117"/>
    </row>
    <row r="333" spans="48:94">
      <c r="AV333" s="107"/>
      <c r="AW333" s="108"/>
      <c r="AX333" s="109"/>
      <c r="AY333" s="110"/>
      <c r="AZ333" s="111"/>
      <c r="BA333" s="112"/>
      <c r="BB333" s="110"/>
      <c r="BC333" s="111"/>
      <c r="BD333" s="112"/>
      <c r="BE333" s="110"/>
      <c r="BF333" s="111"/>
      <c r="BG333" s="112"/>
    </row>
    <row r="334" spans="48:94">
      <c r="AV334" s="107"/>
      <c r="AW334" s="108"/>
      <c r="AX334" s="109"/>
      <c r="AY334" s="110"/>
      <c r="AZ334" s="111"/>
      <c r="BA334" s="112"/>
      <c r="BB334" s="110"/>
      <c r="BC334" s="111"/>
      <c r="BD334" s="112"/>
      <c r="BE334" s="110"/>
      <c r="BF334" s="111"/>
      <c r="BG334" s="112"/>
    </row>
    <row r="335" spans="48:94">
      <c r="AV335" s="107"/>
      <c r="AW335" s="108"/>
      <c r="AX335" s="109"/>
      <c r="AY335" s="110"/>
      <c r="AZ335" s="111"/>
      <c r="BA335" s="112"/>
      <c r="BB335" s="110"/>
      <c r="BC335" s="111"/>
      <c r="BD335" s="112"/>
      <c r="BE335" s="110"/>
      <c r="BF335" s="111"/>
      <c r="BG335" s="112"/>
    </row>
    <row r="336" spans="48:94">
      <c r="AV336" s="107"/>
      <c r="AW336" s="108"/>
      <c r="AX336" s="109"/>
      <c r="AY336" s="110"/>
      <c r="AZ336" s="111"/>
      <c r="BA336" s="112"/>
      <c r="BB336" s="110"/>
      <c r="BC336" s="111"/>
      <c r="BD336" s="112"/>
      <c r="BE336" s="110"/>
      <c r="BF336" s="111"/>
      <c r="BG336" s="112"/>
    </row>
    <row r="337" spans="48:59">
      <c r="AV337" s="107"/>
      <c r="AW337" s="108"/>
      <c r="AX337" s="109"/>
      <c r="AY337" s="110"/>
      <c r="AZ337" s="111"/>
      <c r="BA337" s="112"/>
      <c r="BB337" s="110"/>
      <c r="BC337" s="111"/>
      <c r="BD337" s="112"/>
      <c r="BE337" s="110"/>
      <c r="BF337" s="111"/>
      <c r="BG337" s="112"/>
    </row>
    <row r="338" spans="48:59">
      <c r="AV338" s="107"/>
      <c r="AW338" s="108"/>
      <c r="AX338" s="109"/>
      <c r="AY338" s="110"/>
      <c r="AZ338" s="111"/>
      <c r="BA338" s="112"/>
      <c r="BB338" s="110"/>
      <c r="BC338" s="111"/>
      <c r="BD338" s="112"/>
      <c r="BE338" s="110"/>
      <c r="BF338" s="111"/>
      <c r="BG338" s="112"/>
    </row>
    <row r="339" spans="48:59">
      <c r="AV339" s="107"/>
      <c r="AW339" s="108"/>
      <c r="AX339" s="109"/>
      <c r="AY339" s="110"/>
      <c r="AZ339" s="111"/>
      <c r="BA339" s="112"/>
      <c r="BB339" s="110"/>
      <c r="BC339" s="111"/>
      <c r="BD339" s="112"/>
      <c r="BE339" s="110"/>
      <c r="BF339" s="111"/>
      <c r="BG339" s="112"/>
    </row>
    <row r="340" spans="48:59">
      <c r="AV340" s="107"/>
      <c r="AW340" s="108"/>
      <c r="AX340" s="109"/>
      <c r="AY340" s="110"/>
      <c r="AZ340" s="111"/>
      <c r="BA340" s="112"/>
      <c r="BB340" s="110"/>
      <c r="BC340" s="111"/>
      <c r="BD340" s="112"/>
      <c r="BE340" s="110"/>
      <c r="BF340" s="111"/>
      <c r="BG340" s="112"/>
    </row>
    <row r="341" spans="48:59">
      <c r="AV341" s="107"/>
      <c r="AW341" s="108"/>
      <c r="AX341" s="109"/>
      <c r="AY341" s="110"/>
      <c r="AZ341" s="111"/>
      <c r="BA341" s="112"/>
      <c r="BB341" s="110"/>
      <c r="BC341" s="111"/>
      <c r="BD341" s="112"/>
      <c r="BE341" s="110"/>
      <c r="BF341" s="111"/>
      <c r="BG341" s="112"/>
    </row>
    <row r="342" spans="48:59">
      <c r="AV342" s="107"/>
      <c r="AW342" s="108"/>
      <c r="AX342" s="109"/>
      <c r="AY342" s="110"/>
      <c r="AZ342" s="111"/>
      <c r="BA342" s="112"/>
      <c r="BB342" s="110"/>
      <c r="BC342" s="111"/>
      <c r="BD342" s="112"/>
      <c r="BE342" s="110"/>
      <c r="BF342" s="111"/>
      <c r="BG342" s="112"/>
    </row>
    <row r="343" spans="48:59">
      <c r="AV343" s="107"/>
      <c r="AW343" s="108"/>
      <c r="AX343" s="109"/>
      <c r="AY343" s="110"/>
      <c r="AZ343" s="111"/>
      <c r="BA343" s="112"/>
      <c r="BB343" s="110"/>
      <c r="BC343" s="111"/>
      <c r="BD343" s="112"/>
      <c r="BE343" s="110"/>
      <c r="BF343" s="111"/>
      <c r="BG343" s="112"/>
    </row>
    <row r="344" spans="48:59">
      <c r="AV344" s="107"/>
      <c r="AW344" s="108"/>
      <c r="AX344" s="109"/>
      <c r="AY344" s="110"/>
      <c r="AZ344" s="111"/>
      <c r="BA344" s="112"/>
      <c r="BB344" s="110"/>
      <c r="BC344" s="111"/>
      <c r="BD344" s="112"/>
      <c r="BE344" s="110"/>
      <c r="BF344" s="111"/>
      <c r="BG344" s="112"/>
    </row>
    <row r="345" spans="48:59">
      <c r="AV345" s="107"/>
      <c r="AW345" s="108"/>
      <c r="AX345" s="109"/>
      <c r="AY345" s="110"/>
      <c r="AZ345" s="111"/>
      <c r="BA345" s="112"/>
      <c r="BB345" s="110"/>
      <c r="BC345" s="111"/>
      <c r="BD345" s="112"/>
      <c r="BE345" s="110"/>
      <c r="BF345" s="111"/>
      <c r="BG345" s="112"/>
    </row>
    <row r="346" spans="48:59">
      <c r="AV346" s="107"/>
      <c r="AW346" s="108"/>
      <c r="AX346" s="109"/>
      <c r="AY346" s="110"/>
      <c r="AZ346" s="111"/>
      <c r="BA346" s="112"/>
      <c r="BB346" s="110"/>
      <c r="BC346" s="111"/>
      <c r="BD346" s="112"/>
      <c r="BE346" s="110"/>
      <c r="BF346" s="111"/>
      <c r="BG346" s="112"/>
    </row>
    <row r="347" spans="48:59">
      <c r="AV347" s="107"/>
      <c r="AW347" s="108"/>
      <c r="AX347" s="109"/>
      <c r="AY347" s="110"/>
      <c r="AZ347" s="111"/>
      <c r="BA347" s="112"/>
      <c r="BB347" s="110"/>
      <c r="BC347" s="111"/>
      <c r="BD347" s="112"/>
      <c r="BE347" s="110"/>
      <c r="BF347" s="111"/>
      <c r="BG347" s="112"/>
    </row>
    <row r="348" spans="48:59">
      <c r="AV348" s="107"/>
      <c r="AW348" s="108"/>
      <c r="AX348" s="109"/>
      <c r="AY348" s="110"/>
      <c r="AZ348" s="111"/>
      <c r="BA348" s="112"/>
      <c r="BB348" s="110"/>
      <c r="BC348" s="111"/>
      <c r="BD348" s="112"/>
      <c r="BE348" s="110"/>
      <c r="BF348" s="111"/>
      <c r="BG348" s="112"/>
    </row>
    <row r="349" spans="48:59">
      <c r="AV349" s="107"/>
      <c r="AW349" s="108"/>
      <c r="AX349" s="109"/>
      <c r="AY349" s="110"/>
      <c r="AZ349" s="111"/>
      <c r="BA349" s="112"/>
      <c r="BB349" s="110"/>
      <c r="BC349" s="111"/>
      <c r="BD349" s="112"/>
      <c r="BE349" s="110"/>
      <c r="BF349" s="111"/>
      <c r="BG349" s="112"/>
    </row>
    <row r="350" spans="48:59">
      <c r="AV350" s="107"/>
      <c r="AW350" s="108"/>
      <c r="AX350" s="109"/>
      <c r="AY350" s="110"/>
      <c r="AZ350" s="111"/>
      <c r="BA350" s="112"/>
      <c r="BB350" s="110"/>
      <c r="BC350" s="111"/>
      <c r="BD350" s="112"/>
      <c r="BE350" s="110"/>
      <c r="BF350" s="111"/>
      <c r="BG350" s="112"/>
    </row>
    <row r="351" spans="48:59">
      <c r="AV351" s="107"/>
      <c r="AW351" s="108"/>
      <c r="AX351" s="109"/>
      <c r="AY351" s="110"/>
      <c r="AZ351" s="111"/>
      <c r="BA351" s="112"/>
      <c r="BB351" s="110"/>
      <c r="BC351" s="111"/>
      <c r="BD351" s="112"/>
      <c r="BE351" s="110"/>
      <c r="BF351" s="111"/>
      <c r="BG351" s="112"/>
    </row>
    <row r="352" spans="48:59">
      <c r="AV352" s="107"/>
      <c r="AW352" s="108"/>
      <c r="AX352" s="109"/>
      <c r="AY352" s="110"/>
      <c r="AZ352" s="111"/>
      <c r="BA352" s="112"/>
      <c r="BB352" s="110"/>
      <c r="BC352" s="111"/>
      <c r="BD352" s="112"/>
      <c r="BE352" s="110"/>
      <c r="BF352" s="111"/>
      <c r="BG352" s="112"/>
    </row>
    <row r="353" spans="48:59">
      <c r="AV353" s="107"/>
      <c r="AW353" s="108"/>
      <c r="AX353" s="109"/>
      <c r="AY353" s="110"/>
      <c r="AZ353" s="111"/>
      <c r="BA353" s="112"/>
      <c r="BB353" s="110"/>
      <c r="BC353" s="111"/>
      <c r="BD353" s="112"/>
      <c r="BE353" s="110"/>
      <c r="BF353" s="111"/>
      <c r="BG353" s="112"/>
    </row>
    <row r="354" spans="48:59">
      <c r="AV354" s="107"/>
      <c r="AW354" s="108"/>
      <c r="AX354" s="109"/>
      <c r="AY354" s="110"/>
      <c r="AZ354" s="111"/>
      <c r="BA354" s="112"/>
      <c r="BB354" s="110"/>
      <c r="BC354" s="111"/>
      <c r="BD354" s="112"/>
      <c r="BE354" s="110"/>
      <c r="BF354" s="111"/>
      <c r="BG354" s="112"/>
    </row>
    <row r="355" spans="48:59">
      <c r="AV355" s="107"/>
      <c r="AW355" s="108"/>
      <c r="AX355" s="109"/>
      <c r="AY355" s="110"/>
      <c r="AZ355" s="111"/>
      <c r="BA355" s="112"/>
      <c r="BB355" s="110"/>
      <c r="BC355" s="111"/>
      <c r="BD355" s="112"/>
      <c r="BE355" s="110"/>
      <c r="BF355" s="111"/>
      <c r="BG355" s="112"/>
    </row>
    <row r="356" spans="48:59">
      <c r="AV356" s="107"/>
      <c r="AW356" s="108"/>
      <c r="AX356" s="109"/>
      <c r="AY356" s="110"/>
      <c r="AZ356" s="111"/>
      <c r="BA356" s="112"/>
      <c r="BB356" s="110"/>
      <c r="BC356" s="111"/>
      <c r="BD356" s="112"/>
      <c r="BE356" s="110"/>
      <c r="BF356" s="111"/>
      <c r="BG356" s="112"/>
    </row>
    <row r="357" spans="48:59">
      <c r="AV357" s="107"/>
      <c r="AW357" s="108"/>
      <c r="AX357" s="109"/>
      <c r="AY357" s="110"/>
      <c r="AZ357" s="111"/>
      <c r="BA357" s="112"/>
      <c r="BB357" s="110"/>
      <c r="BC357" s="111"/>
      <c r="BD357" s="112"/>
      <c r="BE357" s="110"/>
      <c r="BF357" s="111"/>
      <c r="BG357" s="112"/>
    </row>
    <row r="358" spans="48:59">
      <c r="AV358" s="107"/>
      <c r="AW358" s="108"/>
      <c r="AX358" s="109"/>
      <c r="AY358" s="110"/>
      <c r="AZ358" s="111"/>
      <c r="BA358" s="112"/>
      <c r="BB358" s="110"/>
      <c r="BC358" s="111"/>
      <c r="BD358" s="112"/>
      <c r="BE358" s="110"/>
      <c r="BF358" s="111"/>
      <c r="BG358" s="112"/>
    </row>
    <row r="359" spans="48:59">
      <c r="AV359" s="107"/>
      <c r="AW359" s="108"/>
      <c r="AX359" s="109"/>
      <c r="AY359" s="110"/>
      <c r="AZ359" s="111"/>
      <c r="BA359" s="112"/>
      <c r="BB359" s="110"/>
      <c r="BC359" s="111"/>
      <c r="BD359" s="112"/>
      <c r="BE359" s="110"/>
      <c r="BF359" s="111"/>
      <c r="BG359" s="112"/>
    </row>
    <row r="360" spans="48:59">
      <c r="AV360" s="107"/>
      <c r="AW360" s="108"/>
      <c r="AX360" s="109"/>
      <c r="AY360" s="110"/>
      <c r="AZ360" s="111"/>
      <c r="BA360" s="112"/>
      <c r="BB360" s="110"/>
      <c r="BC360" s="111"/>
      <c r="BD360" s="112"/>
      <c r="BE360" s="110"/>
      <c r="BF360" s="111"/>
      <c r="BG360" s="112"/>
    </row>
    <row r="361" spans="48:59">
      <c r="AV361" s="107"/>
      <c r="AW361" s="108"/>
      <c r="AX361" s="109"/>
      <c r="AY361" s="110"/>
      <c r="AZ361" s="111"/>
      <c r="BA361" s="112"/>
      <c r="BB361" s="110"/>
      <c r="BC361" s="111"/>
      <c r="BD361" s="112"/>
      <c r="BE361" s="110"/>
      <c r="BF361" s="111"/>
      <c r="BG361" s="112"/>
    </row>
    <row r="362" spans="48:59">
      <c r="AV362" s="107"/>
      <c r="AW362" s="108"/>
      <c r="AX362" s="109"/>
      <c r="AY362" s="110"/>
      <c r="AZ362" s="111"/>
      <c r="BA362" s="112"/>
      <c r="BB362" s="110"/>
      <c r="BC362" s="111"/>
      <c r="BD362" s="112"/>
      <c r="BE362" s="110"/>
      <c r="BF362" s="111"/>
      <c r="BG362" s="112"/>
    </row>
    <row r="363" spans="48:59">
      <c r="AV363" s="107"/>
      <c r="AW363" s="108"/>
      <c r="AX363" s="109"/>
      <c r="AY363" s="110"/>
      <c r="AZ363" s="111"/>
      <c r="BA363" s="112"/>
      <c r="BB363" s="110"/>
      <c r="BC363" s="111"/>
      <c r="BD363" s="112"/>
      <c r="BE363" s="110"/>
      <c r="BF363" s="111"/>
      <c r="BG363" s="112"/>
    </row>
    <row r="364" spans="48:59">
      <c r="AV364" s="107"/>
      <c r="AW364" s="108"/>
      <c r="AX364" s="109"/>
      <c r="AY364" s="110"/>
      <c r="AZ364" s="111"/>
      <c r="BA364" s="112"/>
      <c r="BB364" s="110"/>
      <c r="BC364" s="111"/>
      <c r="BD364" s="112"/>
      <c r="BE364" s="110"/>
      <c r="BF364" s="111"/>
      <c r="BG364" s="112"/>
    </row>
    <row r="365" spans="48:59">
      <c r="AV365" s="107"/>
      <c r="AW365" s="108"/>
      <c r="AX365" s="109"/>
      <c r="AY365" s="110"/>
      <c r="AZ365" s="111"/>
      <c r="BA365" s="112"/>
      <c r="BB365" s="110"/>
      <c r="BC365" s="111"/>
      <c r="BD365" s="112"/>
      <c r="BE365" s="110"/>
      <c r="BF365" s="111"/>
      <c r="BG365" s="112"/>
    </row>
    <row r="366" spans="48:59">
      <c r="AV366" s="107"/>
      <c r="AW366" s="108"/>
      <c r="AX366" s="109"/>
      <c r="AY366" s="110"/>
      <c r="AZ366" s="111"/>
      <c r="BA366" s="112"/>
      <c r="BB366" s="110"/>
      <c r="BC366" s="111"/>
      <c r="BD366" s="112"/>
      <c r="BE366" s="110"/>
      <c r="BF366" s="111"/>
      <c r="BG366" s="112"/>
    </row>
    <row r="367" spans="48:59">
      <c r="AV367" s="107"/>
      <c r="AW367" s="108"/>
      <c r="AX367" s="109"/>
      <c r="AY367" s="110"/>
      <c r="AZ367" s="111"/>
      <c r="BA367" s="112"/>
      <c r="BB367" s="110"/>
      <c r="BC367" s="111"/>
      <c r="BD367" s="112"/>
      <c r="BE367" s="110"/>
      <c r="BF367" s="111"/>
      <c r="BG367" s="112"/>
    </row>
    <row r="368" spans="48:59">
      <c r="AV368" s="107"/>
      <c r="AW368" s="108"/>
      <c r="AX368" s="109"/>
      <c r="AY368" s="110"/>
      <c r="AZ368" s="111"/>
      <c r="BA368" s="112"/>
      <c r="BB368" s="110"/>
      <c r="BC368" s="111"/>
      <c r="BD368" s="112"/>
      <c r="BE368" s="110"/>
      <c r="BF368" s="111"/>
      <c r="BG368" s="112"/>
    </row>
    <row r="369" spans="48:59">
      <c r="AV369" s="107"/>
      <c r="AW369" s="108"/>
      <c r="AX369" s="109"/>
      <c r="AY369" s="110"/>
      <c r="AZ369" s="111"/>
      <c r="BA369" s="112"/>
      <c r="BB369" s="110"/>
      <c r="BC369" s="111"/>
      <c r="BD369" s="112"/>
      <c r="BE369" s="110"/>
      <c r="BF369" s="111"/>
      <c r="BG369" s="112"/>
    </row>
    <row r="370" spans="48:59">
      <c r="AV370" s="107"/>
      <c r="AW370" s="108"/>
      <c r="AX370" s="109"/>
      <c r="AY370" s="110"/>
      <c r="AZ370" s="111"/>
      <c r="BA370" s="112"/>
      <c r="BB370" s="110"/>
      <c r="BC370" s="111"/>
      <c r="BD370" s="112"/>
      <c r="BE370" s="110"/>
      <c r="BF370" s="111"/>
      <c r="BG370" s="112"/>
    </row>
    <row r="371" spans="48:59">
      <c r="AV371" s="107"/>
      <c r="AW371" s="108"/>
      <c r="AX371" s="109"/>
      <c r="AY371" s="110"/>
      <c r="AZ371" s="111"/>
      <c r="BA371" s="112"/>
      <c r="BB371" s="110"/>
      <c r="BC371" s="111"/>
      <c r="BD371" s="112"/>
      <c r="BE371" s="110"/>
      <c r="BF371" s="111"/>
      <c r="BG371" s="112"/>
    </row>
    <row r="372" spans="48:59">
      <c r="AV372" s="107"/>
      <c r="AW372" s="108"/>
      <c r="AX372" s="109"/>
      <c r="AY372" s="110"/>
      <c r="AZ372" s="111"/>
      <c r="BA372" s="112"/>
      <c r="BB372" s="110"/>
      <c r="BC372" s="111"/>
      <c r="BD372" s="112"/>
      <c r="BE372" s="110"/>
      <c r="BF372" s="111"/>
      <c r="BG372" s="112"/>
    </row>
    <row r="373" spans="48:59">
      <c r="AV373" s="107"/>
      <c r="AW373" s="108"/>
      <c r="AX373" s="109"/>
      <c r="AY373" s="110"/>
      <c r="AZ373" s="111"/>
      <c r="BA373" s="112"/>
      <c r="BB373" s="110"/>
      <c r="BC373" s="111"/>
      <c r="BD373" s="112"/>
      <c r="BE373" s="110"/>
      <c r="BF373" s="111"/>
      <c r="BG373" s="112"/>
    </row>
    <row r="374" spans="48:59">
      <c r="AV374" s="107"/>
      <c r="AW374" s="108"/>
      <c r="AX374" s="109"/>
      <c r="AY374" s="110"/>
      <c r="AZ374" s="111"/>
      <c r="BA374" s="112"/>
      <c r="BB374" s="110"/>
      <c r="BC374" s="111"/>
      <c r="BD374" s="112"/>
      <c r="BE374" s="110"/>
      <c r="BF374" s="111"/>
      <c r="BG374" s="112"/>
    </row>
    <row r="375" spans="48:59">
      <c r="AV375" s="107"/>
      <c r="AW375" s="108"/>
      <c r="AX375" s="109"/>
      <c r="AY375" s="110"/>
      <c r="AZ375" s="111"/>
      <c r="BA375" s="112"/>
      <c r="BB375" s="110"/>
      <c r="BC375" s="111"/>
      <c r="BD375" s="112"/>
      <c r="BE375" s="110"/>
      <c r="BF375" s="111"/>
      <c r="BG375" s="112"/>
    </row>
    <row r="376" spans="48:59">
      <c r="AV376" s="107"/>
      <c r="AW376" s="108"/>
      <c r="AX376" s="109"/>
      <c r="AY376" s="110"/>
      <c r="AZ376" s="111"/>
      <c r="BA376" s="112"/>
      <c r="BB376" s="110"/>
      <c r="BC376" s="111"/>
      <c r="BD376" s="112"/>
      <c r="BE376" s="110"/>
      <c r="BF376" s="111"/>
      <c r="BG376" s="112"/>
    </row>
    <row r="377" spans="48:59">
      <c r="AV377" s="107"/>
      <c r="AW377" s="108"/>
      <c r="AX377" s="109"/>
      <c r="AY377" s="110"/>
      <c r="AZ377" s="111"/>
      <c r="BA377" s="112"/>
      <c r="BB377" s="110"/>
      <c r="BC377" s="111"/>
      <c r="BD377" s="112"/>
      <c r="BE377" s="110"/>
      <c r="BF377" s="111"/>
      <c r="BG377" s="112"/>
    </row>
    <row r="378" spans="48:59">
      <c r="AV378" s="107"/>
      <c r="AW378" s="108"/>
      <c r="AX378" s="109"/>
      <c r="AY378" s="110"/>
      <c r="AZ378" s="111"/>
      <c r="BA378" s="112"/>
      <c r="BB378" s="110"/>
      <c r="BC378" s="111"/>
      <c r="BD378" s="112"/>
      <c r="BE378" s="110"/>
      <c r="BF378" s="111"/>
      <c r="BG378" s="112"/>
    </row>
    <row r="379" spans="48:59">
      <c r="AV379" s="107"/>
      <c r="AW379" s="108"/>
      <c r="AX379" s="109"/>
      <c r="AY379" s="110"/>
      <c r="AZ379" s="111"/>
      <c r="BA379" s="112"/>
      <c r="BB379" s="110"/>
      <c r="BC379" s="111"/>
      <c r="BD379" s="112"/>
      <c r="BE379" s="110"/>
      <c r="BF379" s="111"/>
      <c r="BG379" s="112"/>
    </row>
    <row r="380" spans="48:59">
      <c r="AV380" s="107"/>
      <c r="AW380" s="108"/>
      <c r="AX380" s="109"/>
      <c r="AY380" s="110"/>
      <c r="AZ380" s="111"/>
      <c r="BA380" s="112"/>
      <c r="BB380" s="110"/>
      <c r="BC380" s="111"/>
      <c r="BD380" s="112"/>
      <c r="BE380" s="110"/>
      <c r="BF380" s="111"/>
      <c r="BG380" s="112"/>
    </row>
    <row r="381" spans="48:59">
      <c r="AV381" s="107"/>
      <c r="AW381" s="108"/>
      <c r="AX381" s="109"/>
      <c r="AY381" s="110"/>
      <c r="AZ381" s="111"/>
      <c r="BA381" s="112"/>
      <c r="BB381" s="110"/>
      <c r="BC381" s="111"/>
      <c r="BD381" s="112"/>
      <c r="BE381" s="110"/>
      <c r="BF381" s="111"/>
      <c r="BG381" s="112"/>
    </row>
    <row r="382" spans="48:59">
      <c r="AV382" s="107"/>
      <c r="AW382" s="108"/>
      <c r="AX382" s="109"/>
      <c r="AY382" s="110"/>
      <c r="AZ382" s="111"/>
      <c r="BA382" s="112"/>
      <c r="BB382" s="110"/>
      <c r="BC382" s="111"/>
      <c r="BD382" s="112"/>
      <c r="BE382" s="110"/>
      <c r="BF382" s="111"/>
      <c r="BG382" s="112"/>
    </row>
    <row r="383" spans="48:59">
      <c r="AV383" s="107"/>
      <c r="AW383" s="108"/>
      <c r="AX383" s="109"/>
      <c r="AY383" s="110"/>
      <c r="AZ383" s="111"/>
      <c r="BA383" s="112"/>
      <c r="BB383" s="110"/>
      <c r="BC383" s="111"/>
      <c r="BD383" s="112"/>
      <c r="BE383" s="110"/>
      <c r="BF383" s="111"/>
      <c r="BG383" s="112"/>
    </row>
    <row r="384" spans="48:59">
      <c r="AV384" s="107"/>
      <c r="AW384" s="108"/>
      <c r="AX384" s="109"/>
      <c r="AY384" s="110"/>
      <c r="AZ384" s="111"/>
      <c r="BA384" s="112"/>
      <c r="BB384" s="110"/>
      <c r="BC384" s="111"/>
      <c r="BD384" s="112"/>
      <c r="BE384" s="110"/>
      <c r="BF384" s="111"/>
      <c r="BG384" s="112"/>
    </row>
    <row r="385" spans="48:59">
      <c r="AV385" s="107"/>
      <c r="AW385" s="108"/>
      <c r="AX385" s="109"/>
      <c r="AY385" s="110"/>
      <c r="AZ385" s="111"/>
      <c r="BA385" s="112"/>
      <c r="BB385" s="110"/>
      <c r="BC385" s="111"/>
      <c r="BD385" s="112"/>
      <c r="BE385" s="110"/>
      <c r="BF385" s="111"/>
      <c r="BG385" s="112"/>
    </row>
    <row r="386" spans="48:59">
      <c r="AV386" s="107"/>
      <c r="AW386" s="108"/>
      <c r="AX386" s="109"/>
      <c r="AY386" s="110"/>
      <c r="AZ386" s="111"/>
      <c r="BA386" s="112"/>
      <c r="BB386" s="110"/>
      <c r="BC386" s="111"/>
      <c r="BD386" s="112"/>
      <c r="BE386" s="110"/>
      <c r="BF386" s="111"/>
      <c r="BG386" s="112"/>
    </row>
    <row r="387" spans="48:59">
      <c r="AV387" s="107"/>
      <c r="AW387" s="108"/>
      <c r="AX387" s="109"/>
      <c r="AY387" s="110"/>
      <c r="AZ387" s="111"/>
      <c r="BA387" s="112"/>
      <c r="BB387" s="110"/>
      <c r="BC387" s="111"/>
      <c r="BD387" s="112"/>
      <c r="BE387" s="110"/>
      <c r="BF387" s="111"/>
      <c r="BG387" s="112"/>
    </row>
    <row r="388" spans="48:59">
      <c r="AV388" s="107"/>
      <c r="AW388" s="108"/>
      <c r="AX388" s="109"/>
      <c r="AY388" s="110"/>
      <c r="AZ388" s="111"/>
      <c r="BA388" s="112"/>
      <c r="BB388" s="110"/>
      <c r="BC388" s="111"/>
      <c r="BD388" s="112"/>
      <c r="BE388" s="110"/>
      <c r="BF388" s="111"/>
      <c r="BG388" s="112"/>
    </row>
    <row r="389" spans="48:59">
      <c r="AV389" s="107"/>
      <c r="AW389" s="108"/>
      <c r="AX389" s="109"/>
      <c r="AY389" s="110"/>
      <c r="AZ389" s="111"/>
      <c r="BA389" s="112"/>
      <c r="BB389" s="110"/>
      <c r="BC389" s="111"/>
      <c r="BD389" s="112"/>
      <c r="BE389" s="110"/>
      <c r="BF389" s="111"/>
      <c r="BG389" s="112"/>
    </row>
    <row r="390" spans="48:59">
      <c r="AV390" s="107"/>
      <c r="AW390" s="108"/>
      <c r="AX390" s="109"/>
      <c r="AY390" s="110"/>
      <c r="AZ390" s="111"/>
      <c r="BA390" s="112"/>
      <c r="BB390" s="110"/>
      <c r="BC390" s="111"/>
      <c r="BD390" s="112"/>
      <c r="BE390" s="110"/>
      <c r="BF390" s="111"/>
      <c r="BG390" s="112"/>
    </row>
    <row r="391" spans="48:59">
      <c r="AV391" s="107"/>
      <c r="AW391" s="108"/>
      <c r="AX391" s="109"/>
      <c r="AY391" s="110"/>
      <c r="AZ391" s="111"/>
      <c r="BA391" s="112"/>
      <c r="BB391" s="110"/>
      <c r="BC391" s="111"/>
      <c r="BD391" s="112"/>
      <c r="BE391" s="110"/>
      <c r="BF391" s="111"/>
      <c r="BG391" s="112"/>
    </row>
    <row r="392" spans="48:59">
      <c r="AV392" s="107"/>
      <c r="AW392" s="108"/>
      <c r="AX392" s="109"/>
      <c r="AY392" s="110"/>
      <c r="AZ392" s="111"/>
      <c r="BA392" s="112"/>
      <c r="BB392" s="110"/>
      <c r="BC392" s="111"/>
      <c r="BD392" s="112"/>
      <c r="BE392" s="110"/>
      <c r="BF392" s="111"/>
      <c r="BG392" s="112"/>
    </row>
    <row r="393" spans="48:59">
      <c r="AV393" s="107"/>
      <c r="AW393" s="108"/>
      <c r="AX393" s="109"/>
      <c r="AY393" s="110"/>
      <c r="AZ393" s="111"/>
      <c r="BA393" s="112"/>
      <c r="BB393" s="110"/>
      <c r="BC393" s="111"/>
      <c r="BD393" s="112"/>
      <c r="BE393" s="110"/>
      <c r="BF393" s="111"/>
      <c r="BG393" s="112"/>
    </row>
    <row r="394" spans="48:59">
      <c r="AV394" s="107"/>
      <c r="AW394" s="108"/>
      <c r="AX394" s="109"/>
      <c r="AY394" s="110"/>
      <c r="AZ394" s="111"/>
      <c r="BA394" s="112"/>
      <c r="BB394" s="110"/>
      <c r="BC394" s="111"/>
      <c r="BD394" s="112"/>
      <c r="BE394" s="110"/>
      <c r="BF394" s="111"/>
      <c r="BG394" s="112"/>
    </row>
    <row r="395" spans="48:59">
      <c r="AV395" s="107"/>
      <c r="AW395" s="108"/>
      <c r="AX395" s="109"/>
      <c r="AY395" s="110"/>
      <c r="AZ395" s="111"/>
      <c r="BA395" s="112"/>
      <c r="BB395" s="110"/>
      <c r="BC395" s="111"/>
      <c r="BD395" s="112"/>
      <c r="BE395" s="110"/>
      <c r="BF395" s="111"/>
      <c r="BG395" s="112"/>
    </row>
    <row r="396" spans="48:59">
      <c r="AV396" s="107"/>
      <c r="AW396" s="108"/>
      <c r="AX396" s="109"/>
      <c r="AY396" s="110"/>
      <c r="AZ396" s="111"/>
      <c r="BA396" s="112"/>
      <c r="BB396" s="110"/>
      <c r="BC396" s="111"/>
      <c r="BD396" s="112"/>
      <c r="BE396" s="110"/>
      <c r="BF396" s="111"/>
      <c r="BG396" s="112"/>
    </row>
    <row r="397" spans="48:59">
      <c r="AV397" s="107"/>
      <c r="AW397" s="108"/>
      <c r="AX397" s="109"/>
      <c r="AY397" s="110"/>
      <c r="AZ397" s="111"/>
      <c r="BA397" s="112"/>
      <c r="BB397" s="110"/>
      <c r="BC397" s="111"/>
      <c r="BD397" s="112"/>
      <c r="BE397" s="110"/>
      <c r="BF397" s="111"/>
      <c r="BG397" s="112"/>
    </row>
    <row r="398" spans="48:59">
      <c r="AV398" s="107"/>
      <c r="AW398" s="108"/>
      <c r="AX398" s="109"/>
      <c r="AY398" s="110"/>
      <c r="AZ398" s="111"/>
      <c r="BA398" s="112"/>
      <c r="BB398" s="110"/>
      <c r="BC398" s="111"/>
      <c r="BD398" s="112"/>
      <c r="BE398" s="110"/>
      <c r="BF398" s="111"/>
      <c r="BG398" s="112"/>
    </row>
    <row r="399" spans="48:59">
      <c r="AV399" s="107"/>
      <c r="AW399" s="108"/>
      <c r="AX399" s="109"/>
      <c r="AY399" s="110"/>
      <c r="AZ399" s="111"/>
      <c r="BA399" s="112"/>
      <c r="BB399" s="110"/>
      <c r="BC399" s="111"/>
      <c r="BD399" s="112"/>
      <c r="BE399" s="110"/>
      <c r="BF399" s="111"/>
      <c r="BG399" s="112"/>
    </row>
    <row r="400" spans="48:59">
      <c r="AV400" s="107"/>
      <c r="AW400" s="108"/>
      <c r="AX400" s="109"/>
      <c r="AY400" s="110"/>
      <c r="AZ400" s="111"/>
      <c r="BA400" s="112"/>
      <c r="BB400" s="110"/>
      <c r="BC400" s="111"/>
      <c r="BD400" s="112"/>
      <c r="BE400" s="110"/>
      <c r="BF400" s="111"/>
      <c r="BG400" s="112"/>
    </row>
    <row r="401" spans="48:59">
      <c r="AV401" s="107"/>
      <c r="AW401" s="108"/>
      <c r="AX401" s="109"/>
      <c r="AY401" s="110"/>
      <c r="AZ401" s="111"/>
      <c r="BA401" s="112"/>
      <c r="BB401" s="110"/>
      <c r="BC401" s="111"/>
      <c r="BD401" s="112"/>
      <c r="BE401" s="110"/>
      <c r="BF401" s="111"/>
      <c r="BG401" s="112"/>
    </row>
    <row r="402" spans="48:59">
      <c r="AV402" s="107"/>
      <c r="AW402" s="108"/>
      <c r="AX402" s="109"/>
      <c r="AY402" s="110"/>
      <c r="AZ402" s="111"/>
      <c r="BA402" s="112"/>
      <c r="BB402" s="110"/>
      <c r="BC402" s="111"/>
      <c r="BD402" s="112"/>
      <c r="BE402" s="110"/>
      <c r="BF402" s="111"/>
      <c r="BG402" s="112"/>
    </row>
    <row r="403" spans="48:59">
      <c r="AV403" s="107"/>
      <c r="AW403" s="108"/>
      <c r="AX403" s="109"/>
      <c r="AY403" s="110"/>
      <c r="AZ403" s="111"/>
      <c r="BA403" s="112"/>
      <c r="BB403" s="110"/>
      <c r="BC403" s="111"/>
      <c r="BD403" s="112"/>
      <c r="BE403" s="110"/>
      <c r="BF403" s="111"/>
      <c r="BG403" s="112"/>
    </row>
    <row r="404" spans="48:59">
      <c r="AV404" s="107"/>
      <c r="AW404" s="108"/>
      <c r="AX404" s="109"/>
      <c r="AY404" s="110"/>
      <c r="AZ404" s="111"/>
      <c r="BA404" s="112"/>
      <c r="BB404" s="110"/>
      <c r="BC404" s="111"/>
      <c r="BD404" s="112"/>
      <c r="BE404" s="110"/>
      <c r="BF404" s="111"/>
      <c r="BG404" s="112"/>
    </row>
    <row r="405" spans="48:59">
      <c r="AV405" s="107"/>
      <c r="AW405" s="108"/>
      <c r="AX405" s="109"/>
      <c r="AY405" s="110"/>
      <c r="AZ405" s="111"/>
      <c r="BA405" s="112"/>
      <c r="BB405" s="110"/>
      <c r="BC405" s="111"/>
      <c r="BD405" s="112"/>
      <c r="BE405" s="110"/>
      <c r="BF405" s="111"/>
      <c r="BG405" s="112"/>
    </row>
    <row r="406" spans="48:59">
      <c r="AV406" s="107"/>
      <c r="AW406" s="108"/>
      <c r="AX406" s="109"/>
      <c r="AY406" s="110"/>
      <c r="AZ406" s="111"/>
      <c r="BA406" s="112"/>
      <c r="BB406" s="110"/>
      <c r="BC406" s="111"/>
      <c r="BD406" s="112"/>
      <c r="BE406" s="110"/>
      <c r="BF406" s="111"/>
      <c r="BG406" s="112"/>
    </row>
    <row r="407" spans="48:59">
      <c r="AV407" s="107"/>
      <c r="AW407" s="108"/>
      <c r="AX407" s="109"/>
      <c r="AY407" s="110"/>
      <c r="AZ407" s="111"/>
      <c r="BA407" s="112"/>
      <c r="BB407" s="110"/>
      <c r="BC407" s="111"/>
      <c r="BD407" s="112"/>
      <c r="BE407" s="110"/>
      <c r="BF407" s="111"/>
      <c r="BG407" s="112"/>
    </row>
    <row r="408" spans="48:59">
      <c r="AV408" s="107"/>
      <c r="AW408" s="108"/>
      <c r="AX408" s="109"/>
      <c r="AY408" s="110"/>
      <c r="AZ408" s="111"/>
      <c r="BA408" s="112"/>
      <c r="BB408" s="110"/>
      <c r="BC408" s="111"/>
      <c r="BD408" s="112"/>
      <c r="BE408" s="110"/>
      <c r="BF408" s="111"/>
      <c r="BG408" s="112"/>
    </row>
    <row r="409" spans="48:59">
      <c r="AV409" s="107"/>
      <c r="AW409" s="108"/>
      <c r="AX409" s="109"/>
      <c r="AY409" s="110"/>
      <c r="AZ409" s="111"/>
      <c r="BA409" s="112"/>
      <c r="BB409" s="110"/>
      <c r="BC409" s="111"/>
      <c r="BD409" s="112"/>
      <c r="BE409" s="110"/>
      <c r="BF409" s="111"/>
      <c r="BG409" s="112"/>
    </row>
    <row r="410" spans="48:59">
      <c r="AV410" s="107"/>
      <c r="AW410" s="108"/>
      <c r="AX410" s="109"/>
      <c r="AY410" s="110"/>
      <c r="AZ410" s="111"/>
      <c r="BA410" s="112"/>
      <c r="BB410" s="110"/>
      <c r="BC410" s="111"/>
      <c r="BD410" s="112"/>
      <c r="BE410" s="110"/>
      <c r="BF410" s="111"/>
      <c r="BG410" s="112"/>
    </row>
    <row r="411" spans="48:59">
      <c r="AV411" s="107"/>
      <c r="AW411" s="108"/>
      <c r="AX411" s="109"/>
      <c r="AY411" s="110"/>
      <c r="AZ411" s="111"/>
      <c r="BA411" s="112"/>
      <c r="BB411" s="110"/>
      <c r="BC411" s="111"/>
      <c r="BD411" s="112"/>
      <c r="BE411" s="110"/>
      <c r="BF411" s="111"/>
      <c r="BG411" s="112"/>
    </row>
    <row r="412" spans="48:59">
      <c r="AV412" s="107"/>
      <c r="AW412" s="108"/>
      <c r="AX412" s="109"/>
      <c r="AY412" s="110"/>
      <c r="AZ412" s="111"/>
      <c r="BA412" s="112"/>
      <c r="BB412" s="110"/>
      <c r="BC412" s="111"/>
      <c r="BD412" s="112"/>
      <c r="BE412" s="110"/>
      <c r="BF412" s="111"/>
      <c r="BG412" s="112"/>
    </row>
    <row r="413" spans="48:59">
      <c r="AV413" s="107"/>
      <c r="AW413" s="108"/>
      <c r="AX413" s="109"/>
      <c r="AY413" s="110"/>
      <c r="AZ413" s="111"/>
      <c r="BA413" s="112"/>
      <c r="BB413" s="110"/>
      <c r="BC413" s="111"/>
      <c r="BD413" s="112"/>
      <c r="BE413" s="110"/>
      <c r="BF413" s="111"/>
      <c r="BG413" s="112"/>
    </row>
    <row r="414" spans="48:59">
      <c r="AV414" s="107"/>
      <c r="AW414" s="108"/>
      <c r="AX414" s="109"/>
      <c r="AY414" s="110"/>
      <c r="AZ414" s="111"/>
      <c r="BA414" s="112"/>
      <c r="BB414" s="110"/>
      <c r="BC414" s="111"/>
      <c r="BD414" s="112"/>
      <c r="BE414" s="110"/>
      <c r="BF414" s="111"/>
      <c r="BG414" s="112"/>
    </row>
    <row r="415" spans="48:59">
      <c r="AV415" s="107"/>
      <c r="AW415" s="108"/>
      <c r="AX415" s="109"/>
      <c r="AY415" s="110"/>
      <c r="AZ415" s="111"/>
      <c r="BA415" s="112"/>
      <c r="BB415" s="110"/>
      <c r="BC415" s="111"/>
      <c r="BD415" s="112"/>
      <c r="BE415" s="110"/>
      <c r="BF415" s="111"/>
      <c r="BG415" s="112"/>
    </row>
    <row r="416" spans="48:59">
      <c r="AV416" s="107"/>
      <c r="AW416" s="108"/>
      <c r="AX416" s="109"/>
      <c r="AY416" s="110"/>
      <c r="AZ416" s="111"/>
      <c r="BA416" s="112"/>
      <c r="BB416" s="110"/>
      <c r="BC416" s="111"/>
      <c r="BD416" s="112"/>
      <c r="BE416" s="110"/>
      <c r="BF416" s="111"/>
      <c r="BG416" s="112"/>
    </row>
    <row r="417" spans="48:59">
      <c r="AV417" s="107"/>
      <c r="AW417" s="108"/>
      <c r="AX417" s="109"/>
      <c r="AY417" s="110"/>
      <c r="AZ417" s="111"/>
      <c r="BA417" s="112"/>
      <c r="BB417" s="110"/>
      <c r="BC417" s="111"/>
      <c r="BD417" s="112"/>
      <c r="BE417" s="110"/>
      <c r="BF417" s="111"/>
      <c r="BG417" s="112"/>
    </row>
    <row r="418" spans="48:59">
      <c r="AV418" s="107"/>
      <c r="AW418" s="108"/>
      <c r="AX418" s="109"/>
      <c r="AY418" s="110"/>
      <c r="AZ418" s="111"/>
      <c r="BA418" s="112"/>
      <c r="BB418" s="110"/>
      <c r="BC418" s="111"/>
      <c r="BD418" s="112"/>
      <c r="BE418" s="110"/>
      <c r="BF418" s="111"/>
      <c r="BG418" s="112"/>
    </row>
    <row r="419" spans="48:59">
      <c r="AV419" s="107"/>
      <c r="AW419" s="108"/>
      <c r="AX419" s="109"/>
      <c r="AY419" s="110"/>
      <c r="AZ419" s="111"/>
      <c r="BA419" s="112"/>
      <c r="BB419" s="110"/>
      <c r="BC419" s="111"/>
      <c r="BD419" s="112"/>
      <c r="BE419" s="110"/>
      <c r="BF419" s="111"/>
      <c r="BG419" s="112"/>
    </row>
    <row r="420" spans="48:59">
      <c r="AV420" s="107"/>
      <c r="AW420" s="108"/>
      <c r="AX420" s="109"/>
      <c r="AY420" s="110"/>
      <c r="AZ420" s="111"/>
      <c r="BA420" s="112"/>
      <c r="BB420" s="110"/>
      <c r="BC420" s="111"/>
      <c r="BD420" s="112"/>
      <c r="BE420" s="110"/>
      <c r="BF420" s="111"/>
      <c r="BG420" s="112"/>
    </row>
    <row r="421" spans="48:59">
      <c r="AV421" s="107"/>
      <c r="AW421" s="108"/>
      <c r="AX421" s="109"/>
      <c r="AY421" s="110"/>
      <c r="AZ421" s="111"/>
      <c r="BA421" s="112"/>
      <c r="BB421" s="110"/>
      <c r="BC421" s="111"/>
      <c r="BD421" s="112"/>
      <c r="BE421" s="110"/>
      <c r="BF421" s="111"/>
      <c r="BG421" s="112"/>
    </row>
    <row r="422" spans="48:59">
      <c r="AV422" s="107"/>
      <c r="AW422" s="108"/>
      <c r="AX422" s="109"/>
      <c r="AY422" s="110"/>
      <c r="AZ422" s="111"/>
      <c r="BA422" s="112"/>
      <c r="BB422" s="110"/>
      <c r="BC422" s="111"/>
      <c r="BD422" s="112"/>
      <c r="BE422" s="110"/>
      <c r="BF422" s="111"/>
      <c r="BG422" s="112"/>
    </row>
    <row r="423" spans="48:59">
      <c r="AV423" s="107"/>
      <c r="AW423" s="108"/>
      <c r="AX423" s="109"/>
      <c r="AY423" s="110"/>
      <c r="AZ423" s="111"/>
      <c r="BA423" s="112"/>
      <c r="BB423" s="110"/>
      <c r="BC423" s="111"/>
      <c r="BD423" s="112"/>
      <c r="BE423" s="110"/>
      <c r="BF423" s="111"/>
      <c r="BG423" s="112"/>
    </row>
    <row r="424" spans="48:59">
      <c r="AV424" s="107"/>
      <c r="AW424" s="108"/>
      <c r="AX424" s="109"/>
      <c r="AY424" s="110"/>
      <c r="AZ424" s="111"/>
      <c r="BA424" s="112"/>
      <c r="BB424" s="110"/>
      <c r="BC424" s="111"/>
      <c r="BD424" s="112"/>
      <c r="BE424" s="110"/>
      <c r="BF424" s="111"/>
      <c r="BG424" s="112"/>
    </row>
    <row r="425" spans="48:59">
      <c r="AV425" s="107"/>
      <c r="AW425" s="108"/>
      <c r="AX425" s="109"/>
      <c r="AY425" s="110"/>
      <c r="AZ425" s="111"/>
      <c r="BA425" s="112"/>
      <c r="BB425" s="110"/>
      <c r="BC425" s="111"/>
      <c r="BD425" s="112"/>
      <c r="BE425" s="110"/>
      <c r="BF425" s="111"/>
      <c r="BG425" s="112"/>
    </row>
    <row r="426" spans="48:59">
      <c r="AV426" s="107"/>
      <c r="AW426" s="108"/>
      <c r="AX426" s="109"/>
      <c r="AY426" s="110"/>
      <c r="AZ426" s="111"/>
      <c r="BA426" s="112"/>
      <c r="BB426" s="110"/>
      <c r="BC426" s="111"/>
      <c r="BD426" s="112"/>
      <c r="BE426" s="110"/>
      <c r="BF426" s="111"/>
      <c r="BG426" s="112"/>
    </row>
    <row r="427" spans="48:59">
      <c r="AV427" s="107"/>
      <c r="AW427" s="108"/>
      <c r="AX427" s="109"/>
      <c r="AY427" s="110"/>
      <c r="AZ427" s="111"/>
      <c r="BA427" s="112"/>
      <c r="BB427" s="110"/>
      <c r="BC427" s="111"/>
      <c r="BD427" s="112"/>
      <c r="BE427" s="110"/>
      <c r="BF427" s="111"/>
      <c r="BG427" s="112"/>
    </row>
    <row r="428" spans="48:59">
      <c r="AV428" s="107"/>
      <c r="AW428" s="108"/>
      <c r="AX428" s="109"/>
      <c r="AY428" s="110"/>
      <c r="AZ428" s="111"/>
      <c r="BA428" s="112"/>
      <c r="BB428" s="110"/>
      <c r="BC428" s="111"/>
      <c r="BD428" s="112"/>
      <c r="BE428" s="110"/>
      <c r="BF428" s="111"/>
      <c r="BG428" s="112"/>
    </row>
    <row r="429" spans="48:59">
      <c r="AV429" s="107"/>
      <c r="AW429" s="108"/>
      <c r="AX429" s="109"/>
      <c r="AY429" s="110"/>
      <c r="AZ429" s="111"/>
      <c r="BA429" s="112"/>
      <c r="BB429" s="110"/>
      <c r="BC429" s="111"/>
      <c r="BD429" s="112"/>
      <c r="BE429" s="110"/>
      <c r="BF429" s="111"/>
      <c r="BG429" s="112"/>
    </row>
    <row r="430" spans="48:59">
      <c r="AV430" s="107"/>
      <c r="AW430" s="108"/>
      <c r="AX430" s="109"/>
      <c r="AY430" s="110"/>
      <c r="AZ430" s="111"/>
      <c r="BA430" s="112"/>
      <c r="BB430" s="110"/>
      <c r="BC430" s="111"/>
      <c r="BD430" s="112"/>
      <c r="BE430" s="110"/>
      <c r="BF430" s="111"/>
      <c r="BG430" s="112"/>
    </row>
    <row r="431" spans="48:59">
      <c r="AV431" s="107"/>
      <c r="AW431" s="108"/>
      <c r="AX431" s="109"/>
      <c r="AY431" s="110"/>
      <c r="AZ431" s="111"/>
      <c r="BA431" s="112"/>
      <c r="BB431" s="110"/>
      <c r="BC431" s="111"/>
      <c r="BD431" s="112"/>
      <c r="BE431" s="110"/>
      <c r="BF431" s="111"/>
      <c r="BG431" s="112"/>
    </row>
    <row r="432" spans="48:59">
      <c r="AV432" s="107"/>
      <c r="AW432" s="108"/>
      <c r="AX432" s="109"/>
      <c r="AY432" s="110"/>
      <c r="AZ432" s="111"/>
      <c r="BA432" s="112"/>
      <c r="BB432" s="110"/>
      <c r="BC432" s="111"/>
      <c r="BD432" s="112"/>
      <c r="BE432" s="110"/>
      <c r="BF432" s="111"/>
      <c r="BG432" s="112"/>
    </row>
    <row r="433" spans="48:59">
      <c r="AV433" s="107"/>
      <c r="AW433" s="108"/>
      <c r="AX433" s="109"/>
      <c r="AY433" s="110"/>
      <c r="AZ433" s="111"/>
      <c r="BA433" s="112"/>
      <c r="BB433" s="110"/>
      <c r="BC433" s="111"/>
      <c r="BD433" s="112"/>
      <c r="BE433" s="110"/>
      <c r="BF433" s="111"/>
      <c r="BG433" s="112"/>
    </row>
    <row r="434" spans="48:59">
      <c r="AV434" s="107"/>
      <c r="AW434" s="108"/>
      <c r="AX434" s="109"/>
      <c r="AY434" s="110"/>
      <c r="AZ434" s="111"/>
      <c r="BA434" s="112"/>
      <c r="BB434" s="110"/>
      <c r="BC434" s="111"/>
      <c r="BD434" s="112"/>
      <c r="BE434" s="110"/>
      <c r="BF434" s="111"/>
      <c r="BG434" s="112"/>
    </row>
    <row r="435" spans="48:59">
      <c r="AV435" s="107"/>
      <c r="AW435" s="108"/>
      <c r="AX435" s="109"/>
      <c r="AY435" s="110"/>
      <c r="AZ435" s="111"/>
      <c r="BA435" s="112"/>
      <c r="BB435" s="110"/>
      <c r="BC435" s="111"/>
      <c r="BD435" s="112"/>
      <c r="BE435" s="110"/>
      <c r="BF435" s="111"/>
      <c r="BG435" s="112"/>
    </row>
    <row r="436" spans="48:59">
      <c r="AV436" s="107"/>
      <c r="AW436" s="108"/>
      <c r="AX436" s="109"/>
      <c r="AY436" s="110"/>
      <c r="AZ436" s="111"/>
      <c r="BA436" s="112"/>
      <c r="BB436" s="110"/>
      <c r="BC436" s="111"/>
      <c r="BD436" s="112"/>
      <c r="BE436" s="110"/>
      <c r="BF436" s="111"/>
      <c r="BG436" s="112"/>
    </row>
    <row r="437" spans="48:59">
      <c r="AV437" s="107"/>
      <c r="AW437" s="108"/>
      <c r="AX437" s="109"/>
      <c r="AY437" s="110"/>
      <c r="AZ437" s="111"/>
      <c r="BA437" s="112"/>
      <c r="BB437" s="110"/>
      <c r="BC437" s="111"/>
      <c r="BD437" s="112"/>
      <c r="BE437" s="110"/>
      <c r="BF437" s="111"/>
      <c r="BG437" s="112"/>
    </row>
    <row r="438" spans="48:59">
      <c r="AV438" s="107"/>
      <c r="AW438" s="108"/>
      <c r="AX438" s="109"/>
      <c r="AY438" s="110"/>
      <c r="AZ438" s="111"/>
      <c r="BA438" s="112"/>
      <c r="BB438" s="110"/>
      <c r="BC438" s="111"/>
      <c r="BD438" s="112"/>
      <c r="BE438" s="110"/>
      <c r="BF438" s="111"/>
      <c r="BG438" s="112"/>
    </row>
    <row r="439" spans="48:59">
      <c r="AV439" s="107"/>
      <c r="AW439" s="108"/>
      <c r="AX439" s="109"/>
      <c r="AY439" s="110"/>
      <c r="AZ439" s="111"/>
      <c r="BA439" s="112"/>
      <c r="BB439" s="110"/>
      <c r="BC439" s="111"/>
      <c r="BD439" s="112"/>
      <c r="BE439" s="110"/>
      <c r="BF439" s="111"/>
      <c r="BG439" s="112"/>
    </row>
    <row r="440" spans="48:59">
      <c r="AV440" s="107"/>
      <c r="AW440" s="108"/>
      <c r="AX440" s="109"/>
      <c r="AY440" s="110"/>
      <c r="AZ440" s="111"/>
      <c r="BA440" s="112"/>
      <c r="BB440" s="110"/>
      <c r="BC440" s="111"/>
      <c r="BD440" s="112"/>
      <c r="BE440" s="110"/>
      <c r="BF440" s="111"/>
      <c r="BG440" s="112"/>
    </row>
    <row r="441" spans="48:59">
      <c r="AV441" s="107"/>
      <c r="AW441" s="108"/>
      <c r="AX441" s="109"/>
      <c r="AY441" s="110"/>
      <c r="AZ441" s="111"/>
      <c r="BA441" s="112"/>
      <c r="BB441" s="110"/>
      <c r="BC441" s="111"/>
      <c r="BD441" s="112"/>
      <c r="BE441" s="110"/>
      <c r="BF441" s="111"/>
      <c r="BG441" s="112"/>
    </row>
    <row r="442" spans="48:59">
      <c r="AV442" s="107"/>
      <c r="AW442" s="108"/>
      <c r="AX442" s="109"/>
      <c r="AY442" s="110"/>
      <c r="AZ442" s="111"/>
      <c r="BA442" s="112"/>
      <c r="BB442" s="110"/>
      <c r="BC442" s="111"/>
      <c r="BD442" s="112"/>
      <c r="BE442" s="110"/>
      <c r="BF442" s="111"/>
      <c r="BG442" s="112"/>
    </row>
    <row r="443" spans="48:59">
      <c r="AV443" s="107"/>
      <c r="AW443" s="108"/>
      <c r="AX443" s="109"/>
      <c r="AY443" s="110"/>
      <c r="AZ443" s="111"/>
      <c r="BA443" s="112"/>
      <c r="BB443" s="110"/>
      <c r="BC443" s="111"/>
      <c r="BD443" s="112"/>
      <c r="BE443" s="110"/>
      <c r="BF443" s="111"/>
      <c r="BG443" s="112"/>
    </row>
    <row r="444" spans="48:59">
      <c r="AV444" s="107"/>
      <c r="AW444" s="108"/>
      <c r="AX444" s="109"/>
      <c r="AY444" s="110"/>
      <c r="AZ444" s="111"/>
      <c r="BA444" s="112"/>
      <c r="BB444" s="110"/>
      <c r="BC444" s="111"/>
      <c r="BD444" s="112"/>
      <c r="BE444" s="110"/>
      <c r="BF444" s="111"/>
      <c r="BG444" s="112"/>
    </row>
    <row r="445" spans="48:59">
      <c r="AV445" s="107"/>
      <c r="AW445" s="108"/>
      <c r="AX445" s="109"/>
      <c r="AY445" s="110"/>
      <c r="AZ445" s="111"/>
      <c r="BA445" s="112"/>
      <c r="BB445" s="110"/>
      <c r="BC445" s="111"/>
      <c r="BD445" s="112"/>
      <c r="BE445" s="110"/>
      <c r="BF445" s="111"/>
      <c r="BG445" s="112"/>
    </row>
    <row r="446" spans="48:59">
      <c r="AV446" s="107"/>
      <c r="AW446" s="108"/>
      <c r="AX446" s="109"/>
      <c r="AY446" s="110"/>
      <c r="AZ446" s="111"/>
      <c r="BA446" s="112"/>
      <c r="BB446" s="110"/>
      <c r="BC446" s="111"/>
      <c r="BD446" s="112"/>
      <c r="BE446" s="110"/>
      <c r="BF446" s="111"/>
      <c r="BG446" s="112"/>
    </row>
    <row r="447" spans="48:59">
      <c r="AV447" s="107"/>
      <c r="AW447" s="108"/>
      <c r="AX447" s="109"/>
      <c r="AY447" s="110"/>
      <c r="AZ447" s="111"/>
      <c r="BA447" s="112"/>
      <c r="BB447" s="110"/>
      <c r="BC447" s="111"/>
      <c r="BD447" s="112"/>
      <c r="BE447" s="110"/>
      <c r="BF447" s="111"/>
      <c r="BG447" s="112"/>
    </row>
    <row r="448" spans="48:59">
      <c r="AV448" s="107"/>
      <c r="AW448" s="108"/>
      <c r="AX448" s="109"/>
      <c r="AY448" s="110"/>
      <c r="AZ448" s="111"/>
      <c r="BA448" s="112"/>
      <c r="BB448" s="110"/>
      <c r="BC448" s="111"/>
      <c r="BD448" s="112"/>
      <c r="BE448" s="110"/>
      <c r="BF448" s="111"/>
      <c r="BG448" s="112"/>
    </row>
    <row r="449" spans="48:59">
      <c r="AV449" s="107"/>
      <c r="AW449" s="108"/>
      <c r="AX449" s="109"/>
      <c r="AY449" s="110"/>
      <c r="AZ449" s="111"/>
      <c r="BA449" s="112"/>
      <c r="BB449" s="110"/>
      <c r="BC449" s="111"/>
      <c r="BD449" s="112"/>
      <c r="BE449" s="110"/>
      <c r="BF449" s="111"/>
      <c r="BG449" s="112"/>
    </row>
    <row r="450" spans="48:59">
      <c r="AV450" s="107"/>
      <c r="AW450" s="108"/>
      <c r="AX450" s="109"/>
      <c r="AY450" s="110"/>
      <c r="AZ450" s="111"/>
      <c r="BA450" s="112"/>
      <c r="BB450" s="110"/>
      <c r="BC450" s="111"/>
      <c r="BD450" s="112"/>
      <c r="BE450" s="110"/>
      <c r="BF450" s="111"/>
      <c r="BG450" s="112"/>
    </row>
    <row r="451" spans="48:59">
      <c r="AV451" s="107"/>
      <c r="AW451" s="108"/>
      <c r="AX451" s="109"/>
      <c r="AY451" s="110"/>
      <c r="AZ451" s="111"/>
      <c r="BA451" s="112"/>
      <c r="BB451" s="110"/>
      <c r="BC451" s="111"/>
      <c r="BD451" s="112"/>
      <c r="BE451" s="110"/>
      <c r="BF451" s="111"/>
      <c r="BG451" s="112"/>
    </row>
    <row r="452" spans="48:59">
      <c r="AV452" s="107"/>
      <c r="AW452" s="108"/>
      <c r="AX452" s="109"/>
      <c r="AY452" s="110"/>
      <c r="AZ452" s="111"/>
      <c r="BA452" s="112"/>
      <c r="BB452" s="110"/>
      <c r="BC452" s="111"/>
      <c r="BD452" s="112"/>
      <c r="BE452" s="110"/>
      <c r="BF452" s="111"/>
      <c r="BG452" s="112"/>
    </row>
    <row r="453" spans="48:59">
      <c r="AV453" s="107"/>
      <c r="AW453" s="108"/>
      <c r="AX453" s="109"/>
      <c r="AY453" s="110"/>
      <c r="AZ453" s="111"/>
      <c r="BA453" s="112"/>
      <c r="BB453" s="110"/>
      <c r="BC453" s="111"/>
      <c r="BD453" s="112"/>
      <c r="BE453" s="110"/>
      <c r="BF453" s="111"/>
      <c r="BG453" s="112"/>
    </row>
    <row r="454" spans="48:59">
      <c r="AV454" s="107"/>
      <c r="AW454" s="108"/>
      <c r="AX454" s="109"/>
      <c r="AY454" s="110"/>
      <c r="AZ454" s="111"/>
      <c r="BA454" s="112"/>
      <c r="BB454" s="110"/>
      <c r="BC454" s="111"/>
      <c r="BD454" s="112"/>
      <c r="BE454" s="110"/>
      <c r="BF454" s="111"/>
      <c r="BG454" s="112"/>
    </row>
    <row r="455" spans="48:59">
      <c r="AV455" s="107"/>
      <c r="AW455" s="108"/>
      <c r="AX455" s="109"/>
      <c r="AY455" s="110"/>
      <c r="AZ455" s="111"/>
      <c r="BA455" s="112"/>
      <c r="BB455" s="110"/>
      <c r="BC455" s="111"/>
      <c r="BD455" s="112"/>
      <c r="BE455" s="110"/>
      <c r="BF455" s="111"/>
      <c r="BG455" s="112"/>
    </row>
    <row r="456" spans="48:59">
      <c r="AV456" s="107"/>
      <c r="AW456" s="108"/>
      <c r="AX456" s="109"/>
      <c r="AY456" s="110"/>
      <c r="AZ456" s="111"/>
      <c r="BA456" s="112"/>
      <c r="BB456" s="110"/>
      <c r="BC456" s="111"/>
      <c r="BD456" s="112"/>
      <c r="BE456" s="110"/>
      <c r="BF456" s="111"/>
      <c r="BG456" s="112"/>
    </row>
    <row r="457" spans="48:59">
      <c r="AV457" s="107"/>
      <c r="AW457" s="108"/>
      <c r="AX457" s="109"/>
      <c r="AY457" s="110"/>
      <c r="AZ457" s="111"/>
      <c r="BA457" s="112"/>
      <c r="BB457" s="110"/>
      <c r="BC457" s="111"/>
      <c r="BD457" s="112"/>
      <c r="BE457" s="110"/>
      <c r="BF457" s="111"/>
      <c r="BG457" s="112"/>
    </row>
    <row r="458" spans="48:59">
      <c r="AV458" s="107"/>
      <c r="AW458" s="108"/>
      <c r="AX458" s="109"/>
      <c r="AY458" s="110"/>
      <c r="AZ458" s="111"/>
      <c r="BA458" s="112"/>
      <c r="BB458" s="110"/>
      <c r="BC458" s="111"/>
      <c r="BD458" s="112"/>
      <c r="BE458" s="110"/>
      <c r="BF458" s="111"/>
      <c r="BG458" s="112"/>
    </row>
    <row r="459" spans="48:59">
      <c r="AV459" s="107"/>
      <c r="AW459" s="108"/>
      <c r="AX459" s="109"/>
      <c r="AY459" s="110"/>
      <c r="AZ459" s="111"/>
      <c r="BA459" s="112"/>
      <c r="BB459" s="110"/>
      <c r="BC459" s="111"/>
      <c r="BD459" s="112"/>
      <c r="BE459" s="110"/>
      <c r="BF459" s="111"/>
      <c r="BG459" s="112"/>
    </row>
    <row r="460" spans="48:59">
      <c r="AV460" s="107"/>
      <c r="AW460" s="108"/>
      <c r="AX460" s="109"/>
      <c r="AY460" s="110"/>
      <c r="AZ460" s="111"/>
      <c r="BA460" s="112"/>
      <c r="BB460" s="110"/>
      <c r="BC460" s="111"/>
      <c r="BD460" s="112"/>
      <c r="BE460" s="110"/>
      <c r="BF460" s="111"/>
      <c r="BG460" s="112"/>
    </row>
    <row r="461" spans="48:59">
      <c r="AV461" s="107"/>
      <c r="AW461" s="108"/>
      <c r="AX461" s="109"/>
      <c r="AY461" s="110"/>
      <c r="AZ461" s="111"/>
      <c r="BA461" s="112"/>
      <c r="BB461" s="110"/>
      <c r="BC461" s="111"/>
      <c r="BD461" s="112"/>
      <c r="BE461" s="110"/>
      <c r="BF461" s="111"/>
      <c r="BG461" s="112"/>
    </row>
    <row r="462" spans="48:59">
      <c r="AV462" s="107"/>
      <c r="AW462" s="108"/>
      <c r="AX462" s="109"/>
      <c r="AY462" s="110"/>
      <c r="AZ462" s="111"/>
      <c r="BA462" s="112"/>
      <c r="BB462" s="110"/>
      <c r="BC462" s="111"/>
      <c r="BD462" s="112"/>
      <c r="BE462" s="110"/>
      <c r="BF462" s="111"/>
      <c r="BG462" s="112"/>
    </row>
    <row r="463" spans="48:59">
      <c r="AV463" s="107"/>
      <c r="AW463" s="108"/>
      <c r="AX463" s="109"/>
      <c r="AY463" s="110"/>
      <c r="AZ463" s="111"/>
      <c r="BA463" s="112"/>
      <c r="BB463" s="110"/>
      <c r="BC463" s="111"/>
      <c r="BD463" s="112"/>
      <c r="BE463" s="110"/>
      <c r="BF463" s="111"/>
      <c r="BG463" s="112"/>
    </row>
    <row r="464" spans="48:59">
      <c r="AV464" s="107"/>
      <c r="AW464" s="108"/>
      <c r="AX464" s="109"/>
      <c r="AY464" s="110"/>
      <c r="AZ464" s="111"/>
      <c r="BA464" s="112"/>
      <c r="BB464" s="110"/>
      <c r="BC464" s="111"/>
      <c r="BD464" s="112"/>
      <c r="BE464" s="110"/>
      <c r="BF464" s="111"/>
      <c r="BG464" s="112"/>
    </row>
    <row r="465" spans="48:59">
      <c r="AV465" s="107"/>
      <c r="AW465" s="108"/>
      <c r="AX465" s="109"/>
      <c r="AY465" s="110"/>
      <c r="AZ465" s="111"/>
      <c r="BA465" s="112"/>
      <c r="BB465" s="110"/>
      <c r="BC465" s="111"/>
      <c r="BD465" s="112"/>
      <c r="BE465" s="110"/>
      <c r="BF465" s="111"/>
      <c r="BG465" s="112"/>
    </row>
    <row r="466" spans="48:59">
      <c r="AV466" s="107"/>
      <c r="AW466" s="108"/>
      <c r="AX466" s="109"/>
      <c r="AY466" s="110"/>
      <c r="AZ466" s="111"/>
      <c r="BA466" s="112"/>
      <c r="BB466" s="110"/>
      <c r="BC466" s="111"/>
      <c r="BD466" s="112"/>
      <c r="BE466" s="110"/>
      <c r="BF466" s="111"/>
      <c r="BG466" s="112"/>
    </row>
    <row r="467" spans="48:59">
      <c r="AV467" s="107"/>
      <c r="AW467" s="108"/>
      <c r="AX467" s="109"/>
      <c r="AY467" s="110"/>
      <c r="AZ467" s="111"/>
      <c r="BA467" s="112"/>
      <c r="BB467" s="110"/>
      <c r="BC467" s="111"/>
      <c r="BD467" s="112"/>
      <c r="BE467" s="110"/>
      <c r="BF467" s="111"/>
      <c r="BG467" s="112"/>
    </row>
    <row r="468" spans="48:59">
      <c r="AV468" s="107"/>
      <c r="AW468" s="108"/>
      <c r="AX468" s="109"/>
      <c r="AY468" s="110"/>
      <c r="AZ468" s="111"/>
      <c r="BA468" s="112"/>
      <c r="BB468" s="110"/>
      <c r="BC468" s="111"/>
      <c r="BD468" s="112"/>
      <c r="BE468" s="110"/>
      <c r="BF468" s="111"/>
      <c r="BG468" s="112"/>
    </row>
    <row r="469" spans="48:59">
      <c r="AV469" s="107"/>
      <c r="AW469" s="108"/>
      <c r="AX469" s="109"/>
      <c r="AY469" s="110"/>
      <c r="AZ469" s="111"/>
      <c r="BA469" s="112"/>
      <c r="BB469" s="110"/>
      <c r="BC469" s="111"/>
      <c r="BD469" s="112"/>
      <c r="BE469" s="110"/>
      <c r="BF469" s="111"/>
      <c r="BG469" s="112"/>
    </row>
    <row r="470" spans="48:59">
      <c r="AV470" s="107"/>
      <c r="AW470" s="108"/>
      <c r="AX470" s="109"/>
      <c r="AY470" s="110"/>
      <c r="AZ470" s="111"/>
      <c r="BA470" s="112"/>
      <c r="BB470" s="110"/>
      <c r="BC470" s="111"/>
      <c r="BD470" s="112"/>
      <c r="BE470" s="110"/>
      <c r="BF470" s="111"/>
      <c r="BG470" s="112"/>
    </row>
    <row r="471" spans="48:59">
      <c r="AV471" s="107"/>
      <c r="AW471" s="108"/>
      <c r="AX471" s="109"/>
      <c r="AY471" s="110"/>
      <c r="AZ471" s="111"/>
      <c r="BA471" s="112"/>
      <c r="BB471" s="110"/>
      <c r="BC471" s="111"/>
      <c r="BD471" s="112"/>
      <c r="BE471" s="110"/>
      <c r="BF471" s="111"/>
      <c r="BG471" s="112"/>
    </row>
    <row r="472" spans="48:59">
      <c r="AV472" s="107"/>
      <c r="AW472" s="108"/>
      <c r="AX472" s="109"/>
      <c r="AY472" s="110"/>
      <c r="AZ472" s="111"/>
      <c r="BA472" s="112"/>
      <c r="BB472" s="110"/>
      <c r="BC472" s="111"/>
      <c r="BD472" s="112"/>
      <c r="BE472" s="110"/>
      <c r="BF472" s="111"/>
      <c r="BG472" s="112"/>
    </row>
    <row r="473" spans="48:59">
      <c r="AV473" s="107"/>
      <c r="AW473" s="108"/>
      <c r="AX473" s="109"/>
      <c r="AY473" s="110"/>
      <c r="AZ473" s="111"/>
      <c r="BA473" s="112"/>
      <c r="BB473" s="110"/>
      <c r="BC473" s="111"/>
      <c r="BD473" s="112"/>
      <c r="BE473" s="110"/>
      <c r="BF473" s="111"/>
      <c r="BG473" s="112"/>
    </row>
    <row r="474" spans="48:59">
      <c r="AV474" s="107"/>
      <c r="AW474" s="108"/>
      <c r="AX474" s="109"/>
      <c r="AY474" s="110"/>
      <c r="AZ474" s="111"/>
      <c r="BA474" s="112"/>
      <c r="BB474" s="110"/>
      <c r="BC474" s="111"/>
      <c r="BD474" s="112"/>
      <c r="BE474" s="110"/>
      <c r="BF474" s="111"/>
      <c r="BG474" s="112"/>
    </row>
    <row r="475" spans="48:59">
      <c r="AV475" s="107"/>
      <c r="AW475" s="108"/>
      <c r="AX475" s="109"/>
      <c r="AY475" s="110"/>
      <c r="AZ475" s="111"/>
      <c r="BA475" s="112"/>
      <c r="BB475" s="110"/>
      <c r="BC475" s="111"/>
      <c r="BD475" s="112"/>
      <c r="BE475" s="110"/>
      <c r="BF475" s="111"/>
      <c r="BG475" s="112"/>
    </row>
    <row r="476" spans="48:59">
      <c r="AV476" s="107"/>
      <c r="AW476" s="108"/>
      <c r="AX476" s="109"/>
      <c r="AY476" s="110"/>
      <c r="AZ476" s="111"/>
      <c r="BA476" s="112"/>
      <c r="BB476" s="110"/>
      <c r="BC476" s="111"/>
      <c r="BD476" s="112"/>
      <c r="BE476" s="110"/>
      <c r="BF476" s="111"/>
      <c r="BG476" s="112"/>
    </row>
    <row r="477" spans="48:59">
      <c r="AV477" s="107"/>
      <c r="AW477" s="108"/>
      <c r="AX477" s="109"/>
      <c r="AY477" s="110"/>
      <c r="AZ477" s="111"/>
      <c r="BA477" s="112"/>
      <c r="BB477" s="110"/>
      <c r="BC477" s="111"/>
      <c r="BD477" s="112"/>
      <c r="BE477" s="110"/>
      <c r="BF477" s="111"/>
      <c r="BG477" s="112"/>
    </row>
    <row r="478" spans="48:59">
      <c r="AV478" s="107"/>
      <c r="AW478" s="108"/>
      <c r="AX478" s="109"/>
      <c r="AY478" s="110"/>
      <c r="AZ478" s="111"/>
      <c r="BA478" s="112"/>
      <c r="BB478" s="110"/>
      <c r="BC478" s="111"/>
      <c r="BD478" s="112"/>
      <c r="BE478" s="110"/>
      <c r="BF478" s="111"/>
      <c r="BG478" s="112"/>
    </row>
    <row r="479" spans="48:59">
      <c r="AV479" s="107"/>
      <c r="AW479" s="108"/>
      <c r="AX479" s="109"/>
      <c r="AY479" s="110"/>
      <c r="AZ479" s="111"/>
      <c r="BA479" s="112"/>
      <c r="BB479" s="110"/>
      <c r="BC479" s="111"/>
      <c r="BD479" s="112"/>
      <c r="BE479" s="110"/>
      <c r="BF479" s="111"/>
      <c r="BG479" s="112"/>
    </row>
    <row r="480" spans="48:59">
      <c r="AV480" s="107"/>
      <c r="AW480" s="108"/>
      <c r="AX480" s="109"/>
      <c r="AY480" s="110"/>
      <c r="AZ480" s="111"/>
      <c r="BA480" s="112"/>
      <c r="BB480" s="110"/>
      <c r="BC480" s="111"/>
      <c r="BD480" s="112"/>
      <c r="BE480" s="110"/>
      <c r="BF480" s="111"/>
      <c r="BG480" s="112"/>
    </row>
    <row r="481" spans="48:59">
      <c r="AV481" s="107"/>
      <c r="AW481" s="108"/>
      <c r="AX481" s="109"/>
      <c r="AY481" s="110"/>
      <c r="AZ481" s="111"/>
      <c r="BA481" s="112"/>
      <c r="BB481" s="110"/>
      <c r="BC481" s="111"/>
      <c r="BD481" s="112"/>
      <c r="BE481" s="110"/>
      <c r="BF481" s="111"/>
      <c r="BG481" s="112"/>
    </row>
    <row r="482" spans="48:59">
      <c r="AV482" s="107"/>
      <c r="AW482" s="108"/>
      <c r="AX482" s="109"/>
      <c r="AY482" s="110"/>
      <c r="AZ482" s="111"/>
      <c r="BA482" s="112"/>
      <c r="BB482" s="110"/>
      <c r="BC482" s="111"/>
      <c r="BD482" s="112"/>
      <c r="BE482" s="110"/>
      <c r="BF482" s="111"/>
      <c r="BG482" s="112"/>
    </row>
    <row r="483" spans="48:59">
      <c r="AV483" s="107"/>
      <c r="AW483" s="108"/>
      <c r="AX483" s="109"/>
      <c r="AY483" s="110"/>
      <c r="AZ483" s="111"/>
      <c r="BA483" s="112"/>
      <c r="BB483" s="110"/>
      <c r="BC483" s="111"/>
      <c r="BD483" s="112"/>
      <c r="BE483" s="110"/>
      <c r="BF483" s="111"/>
      <c r="BG483" s="112"/>
    </row>
    <row r="484" spans="48:59">
      <c r="AV484" s="107"/>
      <c r="AW484" s="108"/>
      <c r="AX484" s="109"/>
      <c r="AY484" s="110"/>
      <c r="AZ484" s="111"/>
      <c r="BA484" s="112"/>
      <c r="BB484" s="110"/>
      <c r="BC484" s="111"/>
      <c r="BD484" s="112"/>
      <c r="BE484" s="110"/>
      <c r="BF484" s="111"/>
      <c r="BG484" s="112"/>
    </row>
    <row r="485" spans="48:59">
      <c r="AV485" s="107"/>
      <c r="AW485" s="108"/>
      <c r="AX485" s="109"/>
      <c r="AY485" s="110"/>
      <c r="AZ485" s="111"/>
      <c r="BA485" s="112"/>
      <c r="BB485" s="110"/>
      <c r="BC485" s="111"/>
      <c r="BD485" s="112"/>
      <c r="BE485" s="110"/>
      <c r="BF485" s="111"/>
      <c r="BG485" s="112"/>
    </row>
    <row r="486" spans="48:59">
      <c r="AV486" s="107"/>
      <c r="AW486" s="108"/>
      <c r="AX486" s="109"/>
      <c r="AY486" s="110"/>
      <c r="AZ486" s="111"/>
      <c r="BA486" s="112"/>
      <c r="BB486" s="110"/>
      <c r="BC486" s="111"/>
      <c r="BD486" s="112"/>
      <c r="BE486" s="110"/>
      <c r="BF486" s="111"/>
      <c r="BG486" s="112"/>
    </row>
    <row r="487" spans="48:59">
      <c r="AV487" s="107"/>
      <c r="AW487" s="108"/>
      <c r="AX487" s="109"/>
      <c r="AY487" s="110"/>
      <c r="AZ487" s="111"/>
      <c r="BA487" s="112"/>
      <c r="BB487" s="110"/>
      <c r="BC487" s="111"/>
      <c r="BD487" s="112"/>
      <c r="BE487" s="110"/>
      <c r="BF487" s="111"/>
      <c r="BG487" s="112"/>
    </row>
    <row r="488" spans="48:59">
      <c r="AV488" s="107"/>
      <c r="AW488" s="108"/>
      <c r="AX488" s="109"/>
      <c r="AY488" s="110"/>
      <c r="AZ488" s="111"/>
      <c r="BA488" s="112"/>
      <c r="BB488" s="110"/>
      <c r="BC488" s="111"/>
      <c r="BD488" s="112"/>
      <c r="BE488" s="110"/>
      <c r="BF488" s="111"/>
      <c r="BG488" s="112"/>
    </row>
    <row r="489" spans="48:59">
      <c r="AV489" s="107"/>
      <c r="AW489" s="108"/>
      <c r="AX489" s="109"/>
      <c r="AY489" s="110"/>
      <c r="AZ489" s="111"/>
      <c r="BA489" s="112"/>
      <c r="BB489" s="110"/>
      <c r="BC489" s="111"/>
      <c r="BD489" s="112"/>
      <c r="BE489" s="110"/>
      <c r="BF489" s="111"/>
      <c r="BG489" s="112"/>
    </row>
    <row r="490" spans="48:59">
      <c r="AV490" s="107"/>
      <c r="AW490" s="108"/>
      <c r="AX490" s="109"/>
      <c r="AY490" s="110"/>
      <c r="AZ490" s="111"/>
      <c r="BA490" s="112"/>
      <c r="BB490" s="110"/>
      <c r="BC490" s="111"/>
      <c r="BD490" s="112"/>
      <c r="BE490" s="110"/>
      <c r="BF490" s="111"/>
      <c r="BG490" s="112"/>
    </row>
    <row r="491" spans="48:59">
      <c r="AV491" s="107"/>
      <c r="AW491" s="108"/>
      <c r="AX491" s="109"/>
      <c r="AY491" s="110"/>
      <c r="AZ491" s="111"/>
      <c r="BA491" s="112"/>
      <c r="BB491" s="110"/>
      <c r="BC491" s="111"/>
      <c r="BD491" s="112"/>
      <c r="BE491" s="110"/>
      <c r="BF491" s="111"/>
      <c r="BG491" s="112"/>
    </row>
    <row r="492" spans="48:59">
      <c r="AV492" s="107"/>
      <c r="AW492" s="108"/>
      <c r="AX492" s="109"/>
      <c r="AY492" s="110"/>
      <c r="AZ492" s="111"/>
      <c r="BA492" s="112"/>
      <c r="BB492" s="110"/>
      <c r="BC492" s="111"/>
      <c r="BD492" s="112"/>
      <c r="BE492" s="110"/>
      <c r="BF492" s="111"/>
      <c r="BG492" s="112"/>
    </row>
    <row r="493" spans="48:59">
      <c r="AV493" s="107"/>
      <c r="AW493" s="108"/>
      <c r="AX493" s="109"/>
      <c r="AY493" s="110"/>
      <c r="AZ493" s="111"/>
      <c r="BA493" s="112"/>
      <c r="BB493" s="110"/>
      <c r="BC493" s="111"/>
      <c r="BD493" s="112"/>
      <c r="BE493" s="110"/>
      <c r="BF493" s="111"/>
      <c r="BG493" s="112"/>
    </row>
    <row r="494" spans="48:59">
      <c r="AV494" s="107"/>
      <c r="AW494" s="108"/>
      <c r="AX494" s="109"/>
      <c r="AY494" s="110"/>
      <c r="AZ494" s="111"/>
      <c r="BA494" s="112"/>
      <c r="BB494" s="110"/>
      <c r="BC494" s="111"/>
      <c r="BD494" s="112"/>
      <c r="BE494" s="110"/>
      <c r="BF494" s="111"/>
      <c r="BG494" s="112"/>
    </row>
    <row r="495" spans="48:59">
      <c r="AV495" s="107"/>
      <c r="AW495" s="108"/>
      <c r="AX495" s="109"/>
      <c r="AY495" s="110"/>
      <c r="AZ495" s="111"/>
      <c r="BA495" s="112"/>
      <c r="BB495" s="110"/>
      <c r="BC495" s="111"/>
      <c r="BD495" s="112"/>
      <c r="BE495" s="110"/>
      <c r="BF495" s="111"/>
      <c r="BG495" s="112"/>
    </row>
    <row r="496" spans="48:59">
      <c r="AV496" s="107"/>
      <c r="AW496" s="108"/>
      <c r="AX496" s="109"/>
      <c r="AY496" s="110"/>
      <c r="AZ496" s="111"/>
      <c r="BA496" s="112"/>
      <c r="BB496" s="110"/>
      <c r="BC496" s="111"/>
      <c r="BD496" s="112"/>
      <c r="BE496" s="110"/>
      <c r="BF496" s="111"/>
      <c r="BG496" s="112"/>
    </row>
    <row r="497" spans="48:59">
      <c r="AV497" s="107"/>
      <c r="AW497" s="108"/>
      <c r="AX497" s="109"/>
      <c r="AY497" s="110"/>
      <c r="AZ497" s="111"/>
      <c r="BA497" s="112"/>
      <c r="BB497" s="110"/>
      <c r="BC497" s="111"/>
      <c r="BD497" s="112"/>
      <c r="BE497" s="110"/>
      <c r="BF497" s="111"/>
      <c r="BG497" s="112"/>
    </row>
    <row r="498" spans="48:59">
      <c r="AV498" s="107"/>
      <c r="AW498" s="108"/>
      <c r="AX498" s="109"/>
      <c r="AY498" s="110"/>
      <c r="AZ498" s="111"/>
      <c r="BA498" s="112"/>
      <c r="BB498" s="110"/>
      <c r="BC498" s="111"/>
      <c r="BD498" s="112"/>
      <c r="BE498" s="110"/>
      <c r="BF498" s="111"/>
      <c r="BG498" s="112"/>
    </row>
    <row r="499" spans="48:59">
      <c r="AV499" s="107"/>
      <c r="AW499" s="108"/>
      <c r="AX499" s="109"/>
      <c r="AY499" s="110"/>
      <c r="AZ499" s="111"/>
      <c r="BA499" s="112"/>
      <c r="BB499" s="110"/>
      <c r="BC499" s="111"/>
      <c r="BD499" s="112"/>
      <c r="BE499" s="110"/>
      <c r="BF499" s="111"/>
      <c r="BG499" s="112"/>
    </row>
    <row r="500" spans="48:59">
      <c r="AV500" s="107"/>
      <c r="AW500" s="108"/>
      <c r="AX500" s="109"/>
      <c r="AY500" s="110"/>
      <c r="AZ500" s="111"/>
      <c r="BA500" s="112"/>
      <c r="BB500" s="110"/>
      <c r="BC500" s="111"/>
      <c r="BD500" s="112"/>
      <c r="BE500" s="110"/>
      <c r="BF500" s="111"/>
      <c r="BG500" s="112"/>
    </row>
    <row r="501" spans="48:59">
      <c r="AV501" s="107"/>
      <c r="AW501" s="108"/>
      <c r="AX501" s="109"/>
      <c r="AY501" s="110"/>
      <c r="AZ501" s="111"/>
      <c r="BA501" s="112"/>
      <c r="BB501" s="110"/>
      <c r="BC501" s="111"/>
      <c r="BD501" s="112"/>
      <c r="BE501" s="110"/>
      <c r="BF501" s="111"/>
      <c r="BG501" s="112"/>
    </row>
    <row r="502" spans="48:59">
      <c r="AV502" s="107"/>
      <c r="AW502" s="108"/>
      <c r="AX502" s="109"/>
      <c r="AY502" s="110"/>
      <c r="AZ502" s="111"/>
      <c r="BA502" s="112"/>
      <c r="BB502" s="110"/>
      <c r="BC502" s="111"/>
      <c r="BD502" s="112"/>
      <c r="BE502" s="110"/>
      <c r="BF502" s="111"/>
      <c r="BG502" s="112"/>
    </row>
    <row r="503" spans="48:59">
      <c r="AV503" s="107"/>
      <c r="AW503" s="108"/>
      <c r="AX503" s="109"/>
      <c r="AY503" s="110"/>
      <c r="AZ503" s="111"/>
      <c r="BA503" s="112"/>
      <c r="BB503" s="110"/>
      <c r="BC503" s="111"/>
      <c r="BD503" s="112"/>
      <c r="BE503" s="110"/>
      <c r="BF503" s="111"/>
      <c r="BG503" s="112"/>
    </row>
    <row r="504" spans="48:59">
      <c r="AV504" s="107"/>
      <c r="AW504" s="108"/>
      <c r="AX504" s="109"/>
      <c r="AY504" s="110"/>
      <c r="AZ504" s="111"/>
      <c r="BA504" s="112"/>
      <c r="BB504" s="110"/>
      <c r="BC504" s="111"/>
      <c r="BD504" s="112"/>
      <c r="BE504" s="110"/>
      <c r="BF504" s="111"/>
      <c r="BG504" s="112"/>
    </row>
    <row r="505" spans="48:59">
      <c r="AV505" s="107"/>
      <c r="AW505" s="108"/>
      <c r="AX505" s="109"/>
      <c r="AY505" s="110"/>
      <c r="AZ505" s="111"/>
      <c r="BA505" s="112"/>
      <c r="BB505" s="110"/>
      <c r="BC505" s="111"/>
      <c r="BD505" s="112"/>
      <c r="BE505" s="110"/>
      <c r="BF505" s="111"/>
      <c r="BG505" s="112"/>
    </row>
    <row r="506" spans="48:59">
      <c r="AV506" s="107"/>
      <c r="AW506" s="108"/>
      <c r="AX506" s="109"/>
      <c r="AY506" s="110"/>
      <c r="AZ506" s="111"/>
      <c r="BA506" s="112"/>
      <c r="BB506" s="110"/>
      <c r="BC506" s="111"/>
      <c r="BD506" s="112"/>
      <c r="BE506" s="110"/>
      <c r="BF506" s="111"/>
      <c r="BG506" s="112"/>
    </row>
    <row r="507" spans="48:59">
      <c r="AV507" s="107"/>
      <c r="AW507" s="108"/>
      <c r="AX507" s="109"/>
      <c r="AY507" s="110"/>
      <c r="AZ507" s="111"/>
      <c r="BA507" s="112"/>
      <c r="BB507" s="110"/>
      <c r="BC507" s="111"/>
      <c r="BD507" s="112"/>
      <c r="BE507" s="110"/>
      <c r="BF507" s="111"/>
      <c r="BG507" s="112"/>
    </row>
    <row r="508" spans="48:59">
      <c r="AV508" s="107"/>
      <c r="AW508" s="108"/>
      <c r="AX508" s="109"/>
      <c r="AY508" s="110"/>
      <c r="AZ508" s="111"/>
      <c r="BA508" s="112"/>
      <c r="BB508" s="110"/>
      <c r="BC508" s="111"/>
      <c r="BD508" s="112"/>
      <c r="BE508" s="110"/>
      <c r="BF508" s="111"/>
      <c r="BG508" s="112"/>
    </row>
    <row r="509" spans="48:59">
      <c r="AV509" s="107"/>
      <c r="AW509" s="108"/>
      <c r="AX509" s="109"/>
      <c r="AY509" s="110"/>
      <c r="AZ509" s="111"/>
      <c r="BA509" s="112"/>
      <c r="BB509" s="110"/>
      <c r="BC509" s="111"/>
      <c r="BD509" s="112"/>
      <c r="BE509" s="110"/>
      <c r="BF509" s="111"/>
      <c r="BG509" s="112"/>
    </row>
    <row r="510" spans="48:59">
      <c r="AV510" s="107"/>
      <c r="AW510" s="108"/>
      <c r="AX510" s="109"/>
      <c r="AY510" s="110"/>
      <c r="AZ510" s="111"/>
      <c r="BA510" s="112"/>
      <c r="BB510" s="110"/>
      <c r="BC510" s="111"/>
      <c r="BD510" s="112"/>
      <c r="BE510" s="110"/>
      <c r="BF510" s="111"/>
      <c r="BG510" s="112"/>
    </row>
    <row r="511" spans="48:59">
      <c r="AV511" s="107"/>
      <c r="AW511" s="108"/>
      <c r="AX511" s="109"/>
      <c r="AY511" s="110"/>
      <c r="AZ511" s="111"/>
      <c r="BA511" s="112"/>
      <c r="BB511" s="110"/>
      <c r="BC511" s="111"/>
      <c r="BD511" s="112"/>
      <c r="BE511" s="110"/>
      <c r="BF511" s="111"/>
      <c r="BG511" s="112"/>
    </row>
    <row r="512" spans="48:59">
      <c r="AV512" s="107"/>
      <c r="AW512" s="108"/>
      <c r="AX512" s="109"/>
      <c r="AY512" s="110"/>
      <c r="AZ512" s="111"/>
      <c r="BA512" s="112"/>
      <c r="BB512" s="110"/>
      <c r="BC512" s="111"/>
      <c r="BD512" s="112"/>
      <c r="BE512" s="110"/>
      <c r="BF512" s="111"/>
      <c r="BG512" s="112"/>
    </row>
    <row r="513" spans="48:59">
      <c r="AV513" s="107"/>
      <c r="AW513" s="108"/>
      <c r="AX513" s="109"/>
      <c r="AY513" s="110"/>
      <c r="AZ513" s="111"/>
      <c r="BA513" s="112"/>
      <c r="BB513" s="110"/>
      <c r="BC513" s="111"/>
      <c r="BD513" s="112"/>
      <c r="BE513" s="110"/>
      <c r="BF513" s="111"/>
      <c r="BG513" s="112"/>
    </row>
    <row r="514" spans="48:59">
      <c r="AV514" s="107"/>
      <c r="AW514" s="108"/>
      <c r="AX514" s="109"/>
      <c r="AY514" s="110"/>
      <c r="AZ514" s="111"/>
      <c r="BA514" s="112"/>
      <c r="BB514" s="110"/>
      <c r="BC514" s="111"/>
      <c r="BD514" s="112"/>
      <c r="BE514" s="110"/>
      <c r="BF514" s="111"/>
      <c r="BG514" s="112"/>
    </row>
    <row r="515" spans="48:59">
      <c r="AV515" s="107"/>
      <c r="AW515" s="108"/>
      <c r="AX515" s="109"/>
      <c r="AY515" s="110"/>
      <c r="AZ515" s="111"/>
      <c r="BA515" s="112"/>
      <c r="BB515" s="110"/>
      <c r="BC515" s="111"/>
      <c r="BD515" s="112"/>
      <c r="BE515" s="110"/>
      <c r="BF515" s="111"/>
      <c r="BG515" s="112"/>
    </row>
    <row r="516" spans="48:59">
      <c r="AV516" s="107"/>
      <c r="AW516" s="108"/>
      <c r="AX516" s="109"/>
      <c r="AY516" s="110"/>
      <c r="AZ516" s="111"/>
      <c r="BA516" s="112"/>
      <c r="BB516" s="110"/>
      <c r="BC516" s="111"/>
      <c r="BD516" s="112"/>
      <c r="BE516" s="110"/>
      <c r="BF516" s="111"/>
      <c r="BG516" s="112"/>
    </row>
    <row r="517" spans="48:59">
      <c r="AV517" s="107"/>
      <c r="AW517" s="108"/>
      <c r="AX517" s="109"/>
      <c r="AY517" s="110"/>
      <c r="AZ517" s="111"/>
      <c r="BA517" s="112"/>
      <c r="BB517" s="110"/>
      <c r="BC517" s="111"/>
      <c r="BD517" s="112"/>
      <c r="BE517" s="110"/>
      <c r="BF517" s="111"/>
      <c r="BG517" s="112"/>
    </row>
    <row r="518" spans="48:59">
      <c r="AV518" s="107"/>
      <c r="AW518" s="108"/>
      <c r="AX518" s="109"/>
      <c r="AY518" s="110"/>
      <c r="AZ518" s="111"/>
      <c r="BA518" s="112"/>
      <c r="BB518" s="110"/>
      <c r="BC518" s="111"/>
      <c r="BD518" s="112"/>
      <c r="BE518" s="110"/>
      <c r="BF518" s="111"/>
      <c r="BG518" s="112"/>
    </row>
    <row r="519" spans="48:59">
      <c r="AV519" s="107"/>
      <c r="AW519" s="108"/>
      <c r="AX519" s="109"/>
      <c r="AY519" s="110"/>
      <c r="AZ519" s="111"/>
      <c r="BA519" s="112"/>
      <c r="BB519" s="110"/>
      <c r="BC519" s="111"/>
      <c r="BD519" s="112"/>
      <c r="BE519" s="110"/>
      <c r="BF519" s="111"/>
      <c r="BG519" s="112"/>
    </row>
    <row r="520" spans="48:59">
      <c r="AV520" s="107"/>
      <c r="AW520" s="108"/>
      <c r="AX520" s="109"/>
      <c r="AY520" s="110"/>
      <c r="AZ520" s="111"/>
      <c r="BA520" s="112"/>
      <c r="BB520" s="110"/>
      <c r="BC520" s="111"/>
      <c r="BD520" s="112"/>
      <c r="BE520" s="110"/>
      <c r="BF520" s="111"/>
      <c r="BG520" s="112"/>
    </row>
    <row r="521" spans="48:59">
      <c r="AV521" s="107"/>
      <c r="AW521" s="108"/>
      <c r="AX521" s="109"/>
      <c r="AY521" s="110"/>
      <c r="AZ521" s="111"/>
      <c r="BA521" s="112"/>
      <c r="BB521" s="110"/>
      <c r="BC521" s="111"/>
      <c r="BD521" s="112"/>
      <c r="BE521" s="110"/>
      <c r="BF521" s="111"/>
      <c r="BG521" s="112"/>
    </row>
    <row r="522" spans="48:59">
      <c r="AV522" s="107"/>
      <c r="AW522" s="108"/>
      <c r="AX522" s="109"/>
      <c r="AY522" s="110"/>
      <c r="AZ522" s="111"/>
      <c r="BA522" s="112"/>
      <c r="BB522" s="110"/>
      <c r="BC522" s="111"/>
      <c r="BD522" s="112"/>
      <c r="BE522" s="110"/>
      <c r="BF522" s="111"/>
      <c r="BG522" s="112"/>
    </row>
  </sheetData>
  <dataValidations disablePrompts="1" count="6">
    <dataValidation type="list" allowBlank="1" showInputMessage="1" showErrorMessage="1" sqref="B6:B12 B46:B52 B86:B92 B126:B132 B165:B171 B205:B211 B246:B252" xr:uid="{00000000-0002-0000-0300-000000000000}">
      <formula1>Forage</formula1>
    </dataValidation>
    <dataValidation type="list" allowBlank="1" showInputMessage="1" showErrorMessage="1" sqref="B18:B22 B58:B62 B97:B101 B137:B141 B177:B181 B217:B221 B257:B261" xr:uid="{00000000-0002-0000-0300-000001000000}">
      <formula1>simplefeedstuff</formula1>
    </dataValidation>
    <dataValidation type="list" allowBlank="1" showInputMessage="1" showErrorMessage="1" sqref="B26:B30 B64:B68" xr:uid="{00000000-0002-0000-0300-000002000000}">
      <formula1>complexfeedcows</formula1>
    </dataValidation>
    <dataValidation type="list" allowBlank="1" showInputMessage="1" showErrorMessage="1" sqref="B184:B188" xr:uid="{00000000-0002-0000-0300-000003000000}">
      <formula1>complexfeedrum</formula1>
    </dataValidation>
    <dataValidation type="list" allowBlank="1" showInputMessage="1" showErrorMessage="1" sqref="B224:B228" xr:uid="{00000000-0002-0000-0300-000004000000}">
      <formula1>complexfeedpigs</formula1>
    </dataValidation>
    <dataValidation type="list" allowBlank="1" showInputMessage="1" showErrorMessage="1" sqref="B264:B268" xr:uid="{00000000-0002-0000-0300-000005000000}">
      <formula1>complexfeedpoultry</formula1>
    </dataValidation>
  </dataValidations>
  <printOptions horizontalCentered="1" verticalCentered="1"/>
  <pageMargins left="0.59055118110236227" right="0.59055118110236227" top="0.78740157480314965" bottom="0.78740157480314965" header="0.51181102362204722" footer="0.51181102362204722"/>
  <pageSetup paperSize="9" orientation="portrait" horizontalDpi="300" verticalDpi="300" r:id="rId1"/>
  <headerFooter>
    <oddHeader>&amp;RDonnées cheptel, alimentation et matières organiques</oddHeader>
    <oddFooter>&amp;LSOLAGRO - Bilan PLANETE+GES+N agriculture v1 juillet 2006&amp;R&amp;A - &amp;P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5"/>
  <dimension ref="A1:DE42"/>
  <sheetViews>
    <sheetView showGridLines="0" tabSelected="1" topLeftCell="N4" zoomScale="80" zoomScaleNormal="80" zoomScaleSheetLayoutView="75" zoomScalePageLayoutView="110" workbookViewId="0">
      <selection activeCell="S16" sqref="S16"/>
    </sheetView>
  </sheetViews>
  <sheetFormatPr baseColWidth="10" defaultColWidth="11.42578125" defaultRowHeight="12.75" outlineLevelRow="1"/>
  <cols>
    <col min="1" max="1" width="11.42578125" style="1"/>
    <col min="2" max="2" width="24.28515625" style="1" customWidth="1"/>
    <col min="3" max="3" width="17.42578125" style="1" customWidth="1"/>
    <col min="4" max="5" width="12.42578125" style="1" customWidth="1"/>
    <col min="6" max="6" width="15.7109375" style="1" customWidth="1"/>
    <col min="7" max="8" width="11.42578125" style="1"/>
    <col min="9" max="9" width="11.140625" style="1" customWidth="1"/>
    <col min="10" max="10" width="11.42578125" style="1"/>
    <col min="11" max="11" width="10.42578125" style="1" customWidth="1"/>
    <col min="12" max="12" width="15.42578125" style="1" customWidth="1"/>
    <col min="13" max="13" width="14.7109375" style="1" customWidth="1"/>
    <col min="14" max="14" width="11.42578125" style="1"/>
    <col min="15" max="15" width="15.28515625" style="1" customWidth="1"/>
    <col min="16" max="16" width="19" style="1" customWidth="1"/>
    <col min="17" max="17" width="15.85546875" style="1" customWidth="1"/>
    <col min="18" max="18" width="22.85546875" style="1" customWidth="1"/>
    <col min="19" max="20" width="11.42578125" style="1"/>
    <col min="21" max="21" width="11.42578125" style="171"/>
    <col min="22" max="22" width="16.5703125" style="171" customWidth="1"/>
    <col min="23" max="23" width="11.42578125" style="171"/>
    <col min="24" max="24" width="11.7109375" style="171" customWidth="1"/>
    <col min="25" max="25" width="11.42578125" style="171"/>
    <col min="26" max="26" width="12.85546875" style="171" customWidth="1"/>
    <col min="27" max="35" width="11.42578125" style="171"/>
    <col min="36" max="36" width="13" style="171" customWidth="1"/>
    <col min="37" max="41" width="11.42578125" style="171"/>
    <col min="42" max="42" width="40.5703125" style="171" customWidth="1"/>
    <col min="43" max="109" width="11.42578125" style="171"/>
    <col min="110" max="16384" width="11.42578125" style="1"/>
  </cols>
  <sheetData>
    <row r="1" spans="1:109" ht="15.75">
      <c r="B1" s="82" t="s">
        <v>334</v>
      </c>
      <c r="E1" s="51"/>
      <c r="F1" s="52"/>
      <c r="G1" s="52"/>
      <c r="P1" s="9"/>
      <c r="Q1" s="9"/>
      <c r="R1" s="9"/>
      <c r="S1" s="9"/>
      <c r="T1" s="9"/>
      <c r="U1" s="170"/>
      <c r="V1" s="170"/>
      <c r="W1" s="170"/>
      <c r="X1" s="170"/>
      <c r="Y1" s="170"/>
      <c r="Z1" s="170"/>
      <c r="AA1" s="170"/>
      <c r="AB1" s="170"/>
      <c r="AC1" s="170"/>
      <c r="AD1" s="170"/>
      <c r="AE1" s="170"/>
    </row>
    <row r="2" spans="1:109">
      <c r="B2" s="18"/>
      <c r="E2" s="54"/>
      <c r="F2" s="55"/>
      <c r="P2" s="56"/>
      <c r="Q2" s="56"/>
      <c r="R2" s="9"/>
      <c r="S2" s="9"/>
      <c r="T2" s="9"/>
      <c r="U2" s="170"/>
      <c r="V2" s="170"/>
      <c r="W2" s="170"/>
      <c r="X2" s="170"/>
      <c r="Y2" s="170"/>
      <c r="Z2" s="170"/>
      <c r="AA2" s="170"/>
      <c r="AB2" s="170"/>
      <c r="AC2" s="170"/>
      <c r="AD2" s="170"/>
      <c r="AE2" s="170"/>
    </row>
    <row r="3" spans="1:109">
      <c r="B3" s="308" t="s">
        <v>699</v>
      </c>
      <c r="E3" s="54"/>
      <c r="F3" s="55"/>
      <c r="G3" s="52"/>
      <c r="P3" s="56"/>
      <c r="Q3" s="56"/>
      <c r="R3" s="9"/>
      <c r="S3" s="9"/>
      <c r="T3" s="9"/>
      <c r="U3" s="170"/>
      <c r="V3" s="170"/>
      <c r="W3" s="170"/>
      <c r="X3" s="170"/>
      <c r="Y3" s="170"/>
      <c r="Z3" s="170"/>
      <c r="AA3" s="170"/>
      <c r="AB3" s="170"/>
      <c r="AC3" s="170"/>
      <c r="AD3" s="170"/>
      <c r="AE3" s="170"/>
    </row>
    <row r="4" spans="1:109" s="18" customFormat="1" ht="15">
      <c r="A4" s="18" t="s">
        <v>700</v>
      </c>
      <c r="B4" s="211" t="s">
        <v>333</v>
      </c>
      <c r="C4" s="211">
        <v>15</v>
      </c>
      <c r="U4" s="171"/>
      <c r="V4" s="171"/>
      <c r="W4" s="171"/>
      <c r="X4" s="171"/>
      <c r="Y4" s="171"/>
      <c r="Z4" s="171"/>
      <c r="AA4" s="171"/>
      <c r="AB4" s="171"/>
      <c r="AC4" s="171"/>
      <c r="AD4" s="171"/>
      <c r="AE4" s="170"/>
      <c r="AF4" s="170"/>
      <c r="AG4" s="170"/>
      <c r="AH4" s="170"/>
      <c r="AI4" s="170"/>
      <c r="AJ4" s="170"/>
      <c r="AK4" s="170"/>
      <c r="AL4" s="170"/>
      <c r="AM4" s="170"/>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c r="CA4" s="171"/>
      <c r="CB4" s="171"/>
      <c r="CC4" s="171"/>
      <c r="CD4" s="171"/>
      <c r="CE4" s="171"/>
      <c r="CF4" s="171"/>
      <c r="CG4" s="171"/>
      <c r="CH4" s="171"/>
      <c r="CI4" s="171"/>
      <c r="CJ4" s="171"/>
      <c r="CK4" s="171"/>
      <c r="CL4" s="171"/>
      <c r="CM4" s="171"/>
      <c r="CN4" s="171"/>
      <c r="CO4" s="171"/>
      <c r="CP4" s="171"/>
      <c r="CQ4" s="171"/>
      <c r="CR4" s="171"/>
      <c r="CS4" s="171"/>
      <c r="CT4" s="171"/>
      <c r="CU4" s="171"/>
      <c r="CV4" s="171"/>
      <c r="CW4" s="171"/>
      <c r="CX4" s="171"/>
      <c r="CY4" s="171"/>
      <c r="CZ4" s="171"/>
      <c r="DA4" s="171"/>
      <c r="DB4" s="171"/>
      <c r="DC4" s="171"/>
      <c r="DD4" s="171"/>
      <c r="DE4" s="171"/>
    </row>
    <row r="5" spans="1:109" s="18" customFormat="1">
      <c r="U5" s="171"/>
      <c r="V5" s="171"/>
      <c r="W5" s="171"/>
      <c r="X5" s="171"/>
      <c r="Y5" s="171"/>
      <c r="Z5" s="171"/>
      <c r="AA5" s="171"/>
      <c r="AB5" s="171"/>
      <c r="AC5" s="171"/>
      <c r="AD5" s="171"/>
      <c r="AE5" s="171"/>
      <c r="AF5" s="171"/>
      <c r="AG5" s="170"/>
      <c r="AH5" s="170"/>
      <c r="AI5" s="171"/>
      <c r="AJ5" s="171"/>
      <c r="AK5" s="171" t="s">
        <v>647</v>
      </c>
      <c r="AL5" s="171"/>
      <c r="AM5" s="171"/>
      <c r="AN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c r="CA5" s="171"/>
      <c r="CB5" s="171"/>
      <c r="CC5" s="171"/>
      <c r="CD5" s="171"/>
      <c r="CE5" s="171"/>
      <c r="CF5" s="171"/>
      <c r="CG5" s="171"/>
      <c r="CH5" s="171"/>
      <c r="CI5" s="171"/>
      <c r="CJ5" s="171"/>
      <c r="CK5" s="171"/>
      <c r="CL5" s="171"/>
      <c r="CM5" s="171"/>
      <c r="CN5" s="171"/>
      <c r="CO5" s="171"/>
      <c r="CP5" s="171"/>
      <c r="CQ5" s="171"/>
      <c r="CR5" s="171"/>
      <c r="CS5" s="171"/>
      <c r="CT5" s="171"/>
      <c r="CU5" s="171"/>
      <c r="CV5" s="171"/>
      <c r="CW5" s="171"/>
      <c r="CX5" s="171"/>
      <c r="CY5" s="171"/>
      <c r="CZ5" s="171"/>
      <c r="DA5" s="171"/>
      <c r="DB5" s="171"/>
      <c r="DC5" s="171"/>
      <c r="DD5" s="171"/>
      <c r="DE5" s="171"/>
    </row>
    <row r="6" spans="1:109" s="9" customFormat="1">
      <c r="D6" s="97"/>
      <c r="E6" s="97"/>
      <c r="F6" s="97"/>
      <c r="G6" s="97"/>
      <c r="H6" s="97"/>
      <c r="I6" s="97"/>
      <c r="J6" s="97"/>
      <c r="K6" s="97"/>
      <c r="L6" s="97"/>
      <c r="U6" s="170"/>
      <c r="V6" s="170"/>
      <c r="W6" s="170"/>
      <c r="X6" s="170"/>
      <c r="Y6" s="170"/>
      <c r="Z6" s="170"/>
      <c r="AA6" s="170"/>
      <c r="AB6" s="170"/>
      <c r="AC6" s="170"/>
      <c r="AD6" s="170"/>
      <c r="AE6" s="170"/>
      <c r="AF6" s="170"/>
      <c r="AG6" s="170"/>
      <c r="AH6" s="170"/>
      <c r="AI6" s="170"/>
      <c r="AJ6" s="170"/>
      <c r="AK6" s="170"/>
      <c r="AL6" s="170"/>
      <c r="AM6" s="170"/>
      <c r="AN6" s="170"/>
      <c r="AO6" s="206"/>
      <c r="AP6" s="206"/>
      <c r="AQ6" s="206"/>
      <c r="AR6" s="206"/>
      <c r="AS6" s="206"/>
      <c r="AT6" s="206"/>
      <c r="AU6" s="206"/>
      <c r="AV6" s="206"/>
      <c r="AW6" s="206"/>
      <c r="AX6" s="206"/>
      <c r="AY6" s="206"/>
      <c r="AZ6" s="206"/>
      <c r="BA6" s="206"/>
      <c r="BB6" s="206"/>
      <c r="BC6" s="206"/>
      <c r="BD6" s="206"/>
      <c r="BE6" s="206"/>
      <c r="BF6" s="206"/>
      <c r="BG6" s="206"/>
      <c r="BH6" s="206"/>
      <c r="BI6" s="206"/>
      <c r="BJ6" s="206"/>
      <c r="BK6" s="206"/>
      <c r="BL6" s="206"/>
      <c r="BM6" s="206"/>
      <c r="BN6" s="206"/>
      <c r="BO6" s="206"/>
      <c r="BP6" s="206"/>
      <c r="BQ6" s="206"/>
      <c r="BR6" s="206"/>
      <c r="BS6" s="206"/>
      <c r="BT6" s="206"/>
      <c r="BU6" s="206"/>
      <c r="BV6" s="206"/>
      <c r="BW6" s="206"/>
      <c r="BX6" s="206"/>
      <c r="BY6" s="206"/>
      <c r="BZ6" s="206"/>
      <c r="CA6" s="206"/>
      <c r="CB6" s="206"/>
      <c r="CC6" s="206"/>
      <c r="CD6" s="206"/>
      <c r="CE6" s="206"/>
      <c r="CF6" s="206"/>
      <c r="CG6" s="206"/>
      <c r="CH6" s="206"/>
      <c r="CI6" s="206"/>
      <c r="CJ6" s="206"/>
      <c r="CK6" s="206"/>
      <c r="CL6" s="206"/>
      <c r="CM6" s="206"/>
      <c r="CN6" s="206"/>
      <c r="CO6" s="206"/>
      <c r="CP6" s="206"/>
      <c r="CQ6" s="206"/>
      <c r="CR6" s="170"/>
      <c r="CS6" s="170"/>
      <c r="CT6" s="170"/>
      <c r="CU6" s="170"/>
      <c r="CV6" s="170"/>
      <c r="CW6" s="170"/>
      <c r="CX6" s="170"/>
      <c r="CY6" s="170"/>
      <c r="CZ6" s="170"/>
      <c r="DA6" s="170"/>
      <c r="DB6" s="170"/>
      <c r="DC6" s="170"/>
      <c r="DD6" s="170"/>
      <c r="DE6" s="170"/>
    </row>
    <row r="7" spans="1:109" s="18" customFormat="1" ht="15">
      <c r="B7" s="240" t="s">
        <v>8</v>
      </c>
      <c r="C7" s="120"/>
      <c r="D7" s="240" t="s">
        <v>13</v>
      </c>
      <c r="E7" s="70"/>
      <c r="F7" s="240" t="s">
        <v>469</v>
      </c>
      <c r="G7" s="70"/>
      <c r="H7" s="240" t="s">
        <v>122</v>
      </c>
      <c r="I7" s="70"/>
      <c r="J7" s="240" t="s">
        <v>125</v>
      </c>
      <c r="K7" s="70"/>
      <c r="L7" s="240" t="s">
        <v>71</v>
      </c>
      <c r="M7" s="70"/>
      <c r="N7" s="240" t="s">
        <v>134</v>
      </c>
      <c r="O7" s="241"/>
      <c r="P7" s="240" t="s">
        <v>72</v>
      </c>
      <c r="Q7" s="121"/>
      <c r="R7" s="274"/>
      <c r="S7" s="247" t="str">
        <f>$B7</f>
        <v>DAIRY CATTLE</v>
      </c>
      <c r="T7" s="244"/>
      <c r="U7" s="244" t="str">
        <f>$D7</f>
        <v>MEAT CATTLE</v>
      </c>
      <c r="V7" s="244"/>
      <c r="W7" s="244" t="str">
        <f>$F7</f>
        <v>SHEEP (milk and meat)</v>
      </c>
      <c r="X7" s="244"/>
      <c r="Y7" s="244" t="str">
        <f>$H7</f>
        <v>GOAT (milk and meat)</v>
      </c>
      <c r="Z7" s="244"/>
      <c r="AA7" s="244" t="str">
        <f>$J7</f>
        <v>Other RUMINANTS</v>
      </c>
      <c r="AB7" s="244"/>
      <c r="AC7" s="244" t="str">
        <f>$L7</f>
        <v>PIGS</v>
      </c>
      <c r="AD7" s="244"/>
      <c r="AE7" s="244" t="str">
        <f>$N7</f>
        <v>POULTRIES</v>
      </c>
      <c r="AF7" s="244"/>
      <c r="AG7" s="244" t="str">
        <f>$P7</f>
        <v>Laying HENS</v>
      </c>
      <c r="AH7" s="244"/>
      <c r="AI7" s="171"/>
      <c r="AJ7" s="170"/>
      <c r="AK7" s="244" t="str">
        <f>$B7</f>
        <v>DAIRY CATTLE</v>
      </c>
      <c r="AL7" s="244">
        <f>Animal!J5</f>
        <v>686.9325</v>
      </c>
      <c r="AM7" s="244"/>
      <c r="AN7" s="244"/>
      <c r="AO7" s="244"/>
      <c r="AP7" s="244"/>
      <c r="AQ7" s="244" t="str">
        <f>$D7</f>
        <v>MEAT CATTLE</v>
      </c>
      <c r="AR7" s="244">
        <f>Animal!J14</f>
        <v>181.1</v>
      </c>
      <c r="AS7" s="244"/>
      <c r="AT7" s="244"/>
      <c r="AU7" s="244"/>
      <c r="AV7" s="244"/>
      <c r="AW7" s="244" t="str">
        <f>$F7</f>
        <v>SHEEP (milk and meat)</v>
      </c>
      <c r="AX7" s="244">
        <f>Animal!J19</f>
        <v>21.06</v>
      </c>
      <c r="AY7" s="244"/>
      <c r="AZ7" s="244"/>
      <c r="BA7" s="244"/>
      <c r="BB7" s="244"/>
      <c r="BC7" s="244" t="str">
        <f>$H7</f>
        <v>GOAT (milk and meat)</v>
      </c>
      <c r="BD7" s="244">
        <f>Animal!J22</f>
        <v>21.06</v>
      </c>
      <c r="BE7" s="244"/>
      <c r="BF7" s="244"/>
      <c r="BG7" s="244"/>
      <c r="BH7" s="244"/>
      <c r="BI7" s="244" t="str">
        <f>$J7</f>
        <v>Other RUMINANTS</v>
      </c>
      <c r="BJ7" s="244">
        <f>Animal!J25</f>
        <v>44</v>
      </c>
      <c r="BK7" s="244"/>
      <c r="BL7" s="244"/>
      <c r="BM7" s="244"/>
      <c r="BN7" s="244"/>
      <c r="BO7" s="244" t="str">
        <f>$L7</f>
        <v>PIGS</v>
      </c>
      <c r="BP7" s="244">
        <f>Animal!J30</f>
        <v>21.02</v>
      </c>
      <c r="BQ7" s="244"/>
      <c r="BR7" s="244"/>
      <c r="BS7" s="244"/>
      <c r="BT7" s="244"/>
      <c r="BU7" s="244" t="str">
        <f>$N7</f>
        <v>POULTRIES</v>
      </c>
      <c r="BV7" s="244">
        <f>Animal!J35</f>
        <v>2.2080000000000002</v>
      </c>
      <c r="BW7" s="244"/>
      <c r="BX7" s="244"/>
      <c r="BY7" s="244"/>
      <c r="BZ7" s="244"/>
      <c r="CA7" s="244" t="str">
        <f>$P7</f>
        <v>Laying HENS</v>
      </c>
      <c r="CB7" s="244">
        <f>Animal!J35</f>
        <v>2.2080000000000002</v>
      </c>
      <c r="CC7" s="244"/>
      <c r="CD7" s="244"/>
      <c r="CE7" s="244"/>
      <c r="CF7" s="271"/>
      <c r="CG7" s="204"/>
      <c r="CH7" s="171"/>
      <c r="CI7" s="171"/>
      <c r="CJ7" s="171"/>
      <c r="CK7" s="171"/>
      <c r="CL7" s="171"/>
      <c r="CM7" s="171"/>
      <c r="CN7" s="171"/>
      <c r="CO7" s="171"/>
      <c r="CP7" s="171"/>
      <c r="CQ7" s="171"/>
      <c r="CR7" s="171"/>
      <c r="CS7" s="171"/>
      <c r="CT7" s="171"/>
      <c r="CU7" s="171"/>
    </row>
    <row r="8" spans="1:109" s="18" customFormat="1" ht="15">
      <c r="B8" s="242" t="s">
        <v>616</v>
      </c>
      <c r="C8" s="243" t="s">
        <v>617</v>
      </c>
      <c r="D8" s="242" t="s">
        <v>618</v>
      </c>
      <c r="E8" s="243" t="s">
        <v>619</v>
      </c>
      <c r="F8" s="242" t="s">
        <v>621</v>
      </c>
      <c r="G8" s="242" t="s">
        <v>620</v>
      </c>
      <c r="H8" s="242" t="s">
        <v>622</v>
      </c>
      <c r="I8" s="242" t="s">
        <v>623</v>
      </c>
      <c r="J8" s="242" t="s">
        <v>624</v>
      </c>
      <c r="K8" s="242" t="s">
        <v>625</v>
      </c>
      <c r="L8" s="242" t="s">
        <v>626</v>
      </c>
      <c r="M8" s="242" t="s">
        <v>627</v>
      </c>
      <c r="N8" s="242" t="s">
        <v>626</v>
      </c>
      <c r="O8" s="242" t="s">
        <v>627</v>
      </c>
      <c r="P8" s="242" t="s">
        <v>626</v>
      </c>
      <c r="Q8" s="242" t="s">
        <v>627</v>
      </c>
      <c r="R8" s="274"/>
      <c r="S8" s="247"/>
      <c r="T8" s="244"/>
      <c r="U8" s="244"/>
      <c r="V8" s="244"/>
      <c r="W8" s="244"/>
      <c r="X8" s="244"/>
      <c r="Y8" s="244"/>
      <c r="Z8" s="244"/>
      <c r="AA8" s="244"/>
      <c r="AB8" s="244"/>
      <c r="AC8" s="244"/>
      <c r="AD8" s="244"/>
      <c r="AE8" s="244"/>
      <c r="AF8" s="244"/>
      <c r="AG8" s="244"/>
      <c r="AH8" s="244"/>
      <c r="AI8" s="171"/>
      <c r="AJ8" s="170"/>
      <c r="AK8" s="244"/>
      <c r="AL8" s="244"/>
      <c r="AM8" s="244"/>
      <c r="AN8" s="244"/>
      <c r="AO8" s="244"/>
      <c r="AP8" s="244"/>
      <c r="AQ8" s="244"/>
      <c r="AR8" s="244"/>
      <c r="AS8" s="244"/>
      <c r="AT8" s="244"/>
      <c r="AU8" s="244"/>
      <c r="AV8" s="244"/>
      <c r="AW8" s="244"/>
      <c r="AX8" s="244"/>
      <c r="AY8" s="244"/>
      <c r="AZ8" s="244"/>
      <c r="BA8" s="244"/>
      <c r="BB8" s="244"/>
      <c r="BC8" s="244"/>
      <c r="BD8" s="244"/>
      <c r="BE8" s="244"/>
      <c r="BF8" s="244"/>
      <c r="BG8" s="244"/>
      <c r="BH8" s="244"/>
      <c r="BI8" s="244"/>
      <c r="BJ8" s="244"/>
      <c r="BK8" s="244"/>
      <c r="BL8" s="244"/>
      <c r="BM8" s="244"/>
      <c r="BN8" s="244"/>
      <c r="BO8" s="244"/>
      <c r="BP8" s="244"/>
      <c r="BQ8" s="244"/>
      <c r="BR8" s="244"/>
      <c r="BS8" s="244"/>
      <c r="BT8" s="244"/>
      <c r="BU8" s="244"/>
      <c r="BV8" s="244"/>
      <c r="BW8" s="244"/>
      <c r="BX8" s="244"/>
      <c r="BY8" s="244"/>
      <c r="BZ8" s="244"/>
      <c r="CA8" s="244"/>
      <c r="CB8" s="244"/>
      <c r="CC8" s="244"/>
      <c r="CD8" s="244"/>
      <c r="CE8" s="244"/>
      <c r="CF8" s="271"/>
      <c r="CG8" s="204"/>
      <c r="CH8" s="171"/>
      <c r="CI8" s="171"/>
      <c r="CJ8" s="171"/>
      <c r="CK8" s="171"/>
      <c r="CL8" s="171"/>
      <c r="CM8" s="171"/>
      <c r="CN8" s="171"/>
      <c r="CO8" s="171"/>
      <c r="CP8" s="171"/>
      <c r="CQ8" s="171"/>
      <c r="CR8" s="171"/>
      <c r="CS8" s="171"/>
      <c r="CT8" s="171"/>
      <c r="CU8" s="171"/>
    </row>
    <row r="9" spans="1:109" s="18" customFormat="1" ht="60">
      <c r="B9" s="81" t="s">
        <v>456</v>
      </c>
      <c r="C9" s="81" t="s">
        <v>457</v>
      </c>
      <c r="D9" s="81" t="s">
        <v>456</v>
      </c>
      <c r="E9" s="81" t="s">
        <v>457</v>
      </c>
      <c r="F9" s="81" t="s">
        <v>456</v>
      </c>
      <c r="G9" s="81" t="s">
        <v>457</v>
      </c>
      <c r="H9" s="81" t="s">
        <v>456</v>
      </c>
      <c r="I9" s="81" t="s">
        <v>457</v>
      </c>
      <c r="J9" s="81" t="s">
        <v>456</v>
      </c>
      <c r="K9" s="81" t="s">
        <v>457</v>
      </c>
      <c r="L9" s="81" t="s">
        <v>456</v>
      </c>
      <c r="M9" s="81" t="s">
        <v>457</v>
      </c>
      <c r="N9" s="81" t="s">
        <v>456</v>
      </c>
      <c r="O9" s="81" t="s">
        <v>457</v>
      </c>
      <c r="P9" s="81" t="s">
        <v>456</v>
      </c>
      <c r="Q9" s="272" t="s">
        <v>457</v>
      </c>
      <c r="R9" s="274"/>
      <c r="S9" s="247" t="s">
        <v>335</v>
      </c>
      <c r="T9" s="244" t="s">
        <v>336</v>
      </c>
      <c r="U9" s="244" t="s">
        <v>335</v>
      </c>
      <c r="V9" s="244" t="s">
        <v>336</v>
      </c>
      <c r="W9" s="244" t="s">
        <v>335</v>
      </c>
      <c r="X9" s="244" t="s">
        <v>336</v>
      </c>
      <c r="Y9" s="244" t="s">
        <v>335</v>
      </c>
      <c r="Z9" s="244" t="s">
        <v>336</v>
      </c>
      <c r="AA9" s="244" t="s">
        <v>335</v>
      </c>
      <c r="AB9" s="244" t="s">
        <v>336</v>
      </c>
      <c r="AC9" s="244" t="s">
        <v>335</v>
      </c>
      <c r="AD9" s="244" t="s">
        <v>336</v>
      </c>
      <c r="AE9" s="244" t="s">
        <v>335</v>
      </c>
      <c r="AF9" s="244" t="s">
        <v>336</v>
      </c>
      <c r="AG9" s="244" t="s">
        <v>335</v>
      </c>
      <c r="AH9" s="244" t="s">
        <v>336</v>
      </c>
      <c r="AI9" s="171"/>
      <c r="AJ9" s="171"/>
      <c r="AK9" s="244" t="s">
        <v>337</v>
      </c>
      <c r="AL9" s="244" t="s">
        <v>338</v>
      </c>
      <c r="AM9" s="244" t="s">
        <v>339</v>
      </c>
      <c r="AN9" s="244" t="s">
        <v>340</v>
      </c>
      <c r="AO9" s="244" t="s">
        <v>341</v>
      </c>
      <c r="AP9" s="244" t="s">
        <v>342</v>
      </c>
      <c r="AQ9" s="244" t="s">
        <v>343</v>
      </c>
      <c r="AR9" s="244" t="s">
        <v>344</v>
      </c>
      <c r="AS9" s="244" t="s">
        <v>339</v>
      </c>
      <c r="AT9" s="244" t="s">
        <v>340</v>
      </c>
      <c r="AU9" s="244" t="s">
        <v>345</v>
      </c>
      <c r="AV9" s="244" t="s">
        <v>342</v>
      </c>
      <c r="AW9" s="244" t="s">
        <v>343</v>
      </c>
      <c r="AX9" s="244" t="s">
        <v>344</v>
      </c>
      <c r="AY9" s="244" t="s">
        <v>339</v>
      </c>
      <c r="AZ9" s="244" t="s">
        <v>340</v>
      </c>
      <c r="BA9" s="244" t="s">
        <v>345</v>
      </c>
      <c r="BB9" s="244" t="s">
        <v>342</v>
      </c>
      <c r="BC9" s="244" t="s">
        <v>343</v>
      </c>
      <c r="BD9" s="244" t="s">
        <v>344</v>
      </c>
      <c r="BE9" s="244" t="s">
        <v>339</v>
      </c>
      <c r="BF9" s="244" t="s">
        <v>340</v>
      </c>
      <c r="BG9" s="244" t="s">
        <v>345</v>
      </c>
      <c r="BH9" s="244" t="s">
        <v>342</v>
      </c>
      <c r="BI9" s="244" t="s">
        <v>343</v>
      </c>
      <c r="BJ9" s="244" t="s">
        <v>344</v>
      </c>
      <c r="BK9" s="244" t="s">
        <v>339</v>
      </c>
      <c r="BL9" s="244" t="s">
        <v>340</v>
      </c>
      <c r="BM9" s="244" t="s">
        <v>345</v>
      </c>
      <c r="BN9" s="244" t="s">
        <v>342</v>
      </c>
      <c r="BO9" s="244" t="s">
        <v>343</v>
      </c>
      <c r="BP9" s="244" t="s">
        <v>344</v>
      </c>
      <c r="BQ9" s="244" t="s">
        <v>339</v>
      </c>
      <c r="BR9" s="244" t="s">
        <v>340</v>
      </c>
      <c r="BS9" s="244" t="s">
        <v>345</v>
      </c>
      <c r="BT9" s="244" t="s">
        <v>342</v>
      </c>
      <c r="BU9" s="244" t="s">
        <v>343</v>
      </c>
      <c r="BV9" s="244" t="s">
        <v>344</v>
      </c>
      <c r="BW9" s="244" t="s">
        <v>339</v>
      </c>
      <c r="BX9" s="244" t="s">
        <v>340</v>
      </c>
      <c r="BY9" s="244" t="s">
        <v>345</v>
      </c>
      <c r="BZ9" s="244" t="s">
        <v>342</v>
      </c>
      <c r="CA9" s="244" t="s">
        <v>343</v>
      </c>
      <c r="CB9" s="244" t="s">
        <v>344</v>
      </c>
      <c r="CC9" s="244" t="s">
        <v>339</v>
      </c>
      <c r="CD9" s="244" t="s">
        <v>340</v>
      </c>
      <c r="CE9" s="244" t="s">
        <v>345</v>
      </c>
      <c r="CF9" s="271" t="s">
        <v>342</v>
      </c>
      <c r="CG9" s="205"/>
      <c r="CH9" s="173"/>
      <c r="CI9" s="173"/>
      <c r="CJ9" s="173"/>
      <c r="CK9" s="173"/>
      <c r="CL9" s="173"/>
      <c r="CM9" s="173"/>
      <c r="CN9" s="173"/>
      <c r="CO9" s="173"/>
      <c r="CP9" s="173"/>
      <c r="CQ9" s="173"/>
      <c r="CR9" s="173"/>
      <c r="CS9" s="173"/>
      <c r="CT9" s="173"/>
      <c r="CU9" s="173"/>
    </row>
    <row r="10" spans="1:109" s="18" customFormat="1" ht="45">
      <c r="A10" t="s">
        <v>592</v>
      </c>
      <c r="B10" s="211" t="s">
        <v>346</v>
      </c>
      <c r="C10" s="211">
        <v>100</v>
      </c>
      <c r="D10" s="211" t="s">
        <v>346</v>
      </c>
      <c r="E10" s="211">
        <v>100</v>
      </c>
      <c r="F10" s="211" t="s">
        <v>346</v>
      </c>
      <c r="G10" s="211">
        <v>100</v>
      </c>
      <c r="H10" s="211" t="s">
        <v>346</v>
      </c>
      <c r="I10" s="211">
        <v>100</v>
      </c>
      <c r="J10" s="211" t="s">
        <v>346</v>
      </c>
      <c r="K10" s="211">
        <v>100</v>
      </c>
      <c r="L10" s="211" t="s">
        <v>346</v>
      </c>
      <c r="M10" s="211">
        <v>100</v>
      </c>
      <c r="N10" s="211" t="s">
        <v>346</v>
      </c>
      <c r="O10" s="211">
        <v>100</v>
      </c>
      <c r="P10" s="211" t="s">
        <v>346</v>
      </c>
      <c r="Q10" s="273">
        <v>100</v>
      </c>
      <c r="R10" s="274"/>
      <c r="S10" s="247">
        <f>IF(ISBLANK(B10),"",VLOOKUP(B10,'Standard data'!$B$413:$V$442,$C$4-6,FALSE))</f>
        <v>1.4999999999999999E-2</v>
      </c>
      <c r="T10" s="244">
        <f>VLOOKUP(S7,'Standard data'!$B$359:$C$368,2,FALSE)</f>
        <v>0.02</v>
      </c>
      <c r="U10" s="244">
        <f>IF(ISBLANK(D10),"",VLOOKUP(D10,'Standard data'!$B$413:$V$442,$C$4-6,FALSE))</f>
        <v>1.4999999999999999E-2</v>
      </c>
      <c r="V10" s="244">
        <f>VLOOKUP(U7,'Standard data'!$B$359:$C$368,2,FALSE)</f>
        <v>0.02</v>
      </c>
      <c r="W10" s="244">
        <f>IF(ISBLANK(F10),"",VLOOKUP(F10,'Standard data'!$B$413:$V$442,$C$4-6,FALSE))</f>
        <v>1.4999999999999999E-2</v>
      </c>
      <c r="X10" s="244">
        <f>VLOOKUP(W7,'Standard data'!$B$359:$C$368,2,FALSE)</f>
        <v>0.01</v>
      </c>
      <c r="Y10" s="244">
        <f>IF(ISBLANK(H10),"",VLOOKUP(H10,'Standard data'!$B$413:$V$442,$C$4-6,FALSE))</f>
        <v>1.4999999999999999E-2</v>
      </c>
      <c r="Z10" s="244">
        <f>VLOOKUP(Y7,'Standard data'!$B$359:$C$368,2,FALSE)</f>
        <v>0.01</v>
      </c>
      <c r="AA10" s="244">
        <f>IF(ISBLANK(J10),"",VLOOKUP(J10,'Standard data'!$B$413:$V$442,$C$4-6,FALSE))</f>
        <v>1.4999999999999999E-2</v>
      </c>
      <c r="AB10" s="244">
        <f>VLOOKUP(AA7,'Standard data'!$B$359:$C$368,2,FALSE)</f>
        <v>0.01</v>
      </c>
      <c r="AC10" s="244">
        <f>IF(ISBLANK(L10),"",VLOOKUP(L10,'Standard data'!$B$413:$V$442,$C$4-6,FALSE))</f>
        <v>1.4999999999999999E-2</v>
      </c>
      <c r="AD10" s="244">
        <f>VLOOKUP(AC7,'Standard data'!$B$359:$C$368,2,FALSE)</f>
        <v>0.02</v>
      </c>
      <c r="AE10" s="244">
        <f>IF(ISBLANK(N10),"",VLOOKUP(N10,'Standard data'!$B$413:$V$442,$C$4-6,FALSE))</f>
        <v>1.4999999999999999E-2</v>
      </c>
      <c r="AF10" s="244">
        <f>VLOOKUP(AE7,'Standard data'!$B$359:$C$368,2,FALSE)</f>
        <v>0.02</v>
      </c>
      <c r="AG10" s="244">
        <f>IF(ISBLANK(P10),"",VLOOKUP(P10,'Standard data'!$B$413:$V$442,$C$4-6,FALSE))</f>
        <v>1.4999999999999999E-2</v>
      </c>
      <c r="AH10" s="244">
        <f>VLOOKUP(AG7,'Standard data'!$B$359:$C$368,2,FALSE)</f>
        <v>0.02</v>
      </c>
      <c r="AI10" s="171"/>
      <c r="AJ10" s="171"/>
      <c r="AK10" s="244" t="str">
        <f>IF(ISBLANK(B10),"",VLOOKUP(B10,'Standard data'!$B$373:$D$402,3,FALSE))</f>
        <v>pasture</v>
      </c>
      <c r="AL10" s="244">
        <f>Manure!C10/100*AL$7</f>
        <v>686.9325</v>
      </c>
      <c r="AM10" s="244">
        <f>IF(ISBLANK($B10),0,AL10*VLOOKUP($B10,'Standard data'!B$452:F$473,2,FALSE))</f>
        <v>68.693250000000006</v>
      </c>
      <c r="AN10" s="244">
        <f>IF(ISBLANK($B10),0,AL10*VLOOKUP($B10,'Standard data'!B$452:F$473,3,FALSE))</f>
        <v>0</v>
      </c>
      <c r="AO10" s="244">
        <f t="shared" ref="AO10:AO16" si="0">AL10-AM10-AN10</f>
        <v>618.23924999999997</v>
      </c>
      <c r="AP10" s="244">
        <f>IF(ISBLANK(T10),0,AL10*T10)</f>
        <v>13.73865</v>
      </c>
      <c r="AQ10" s="244" t="str">
        <f>IF(ISBLANK(D10),"",VLOOKUP(D10,'Standard data'!$B$373:$D$402,3,FALSE))</f>
        <v>pasture</v>
      </c>
      <c r="AR10" s="244">
        <f>Manure!E10/100*AR$7</f>
        <v>181.1</v>
      </c>
      <c r="AS10" s="244">
        <f>IF(ISBLANK($D10),0,AR10*VLOOKUP($D10,'Standard data'!H$452:L$473,2,FALSE))</f>
        <v>18.11</v>
      </c>
      <c r="AT10" s="244">
        <f>IF(ISBLANK($D10),0,AR10*VLOOKUP($D10,'Standard data'!$H$452:$L$473,3,FALSE))</f>
        <v>0</v>
      </c>
      <c r="AU10" s="244">
        <f t="shared" ref="AU10:AU16" si="1">AR10-AS10-AT10</f>
        <v>162.99</v>
      </c>
      <c r="AV10" s="244">
        <f t="shared" ref="AV10:AV16" si="2">IF(ISBLANK($V10),0,AR10*$V10)</f>
        <v>3.6219999999999999</v>
      </c>
      <c r="AW10" s="244" t="str">
        <f>IF(ISBLANK(F10),"",VLOOKUP(F10,'Standard data'!$B$373:$D$402,3,FALSE))</f>
        <v>pasture</v>
      </c>
      <c r="AX10" s="244">
        <f>Manure!G10/100*AX$7</f>
        <v>21.06</v>
      </c>
      <c r="AY10" s="244">
        <f>IF(ISBLANK($F10),0,$AX10*VLOOKUP($F10,'Standard data'!N$452:R$473,2,FALSE))</f>
        <v>2.1059999999999999</v>
      </c>
      <c r="AZ10" s="244">
        <f>IF(ISBLANK($F10),0,$AX10*VLOOKUP($F10,'Standard data'!N$452:R$473,3,FALSE))</f>
        <v>0</v>
      </c>
      <c r="BA10" s="244">
        <f>AX10-AY10-AZ10</f>
        <v>18.954000000000001</v>
      </c>
      <c r="BB10" s="244">
        <f t="shared" ref="BB10:BB16" si="3">IF(ISBLANK($X10),0,AX10*$X10)</f>
        <v>0.21059999999999998</v>
      </c>
      <c r="BC10" s="244" t="str">
        <f>IF(ISBLANK(H10),"",VLOOKUP(H10,'Standard data'!$B$373:$D$402,3,FALSE))</f>
        <v>pasture</v>
      </c>
      <c r="BD10" s="244">
        <f>Manure!I10/100*BD$7</f>
        <v>21.06</v>
      </c>
      <c r="BE10" s="244">
        <f>IF(ISBLANK($H10),0,BD10*VLOOKUP($H10,'Standard data'!Z$452:AD$473,2,FALSE))</f>
        <v>2.1059999999999999</v>
      </c>
      <c r="BF10" s="244">
        <f>IF(ISBLANK($H10),0,BD10*VLOOKUP($H10,'Standard data'!Z$452:AD$473,3,FALSE))</f>
        <v>0</v>
      </c>
      <c r="BG10" s="244">
        <f>BD10-BE10-BF10</f>
        <v>18.954000000000001</v>
      </c>
      <c r="BH10" s="244">
        <f t="shared" ref="BH10:BH16" si="4">IF(ISBLANK($Z10),0,BD10*$Z10)</f>
        <v>0.21059999999999998</v>
      </c>
      <c r="BI10" s="244" t="str">
        <f>IF(ISBLANK(J10),"",VLOOKUP(J10,'Standard data'!$B$373:$D$402,3,FALSE))</f>
        <v>pasture</v>
      </c>
      <c r="BJ10" s="244">
        <f>Manure!K10/100*BJ$7</f>
        <v>44</v>
      </c>
      <c r="BK10" s="244">
        <f>IF(ISBLANK($J10),0,BJ10*VLOOKUP($J10,'Standard data'!AF$452:AJ$473,2,FALSE))</f>
        <v>4.4000000000000004</v>
      </c>
      <c r="BL10" s="244">
        <f>IF(ISBLANK($J10),0,BJ10*VLOOKUP($J10,'Standard data'!AF$452:AJ$473,3,FALSE))</f>
        <v>0</v>
      </c>
      <c r="BM10" s="244">
        <f>BJ10-BK10-BL10</f>
        <v>39.6</v>
      </c>
      <c r="BN10" s="244">
        <f t="shared" ref="BN10:BN16" si="5">IF(ISBLANK($AB10),0,BJ10*$AB10)</f>
        <v>0.44</v>
      </c>
      <c r="BO10" s="244" t="str">
        <f>IF(ISBLANK(L10),"",VLOOKUP(L10,'Standard data'!$B$373:$D$402,3,FALSE))</f>
        <v>pasture</v>
      </c>
      <c r="BP10" s="244">
        <f>Manure!M10/100*BP$7</f>
        <v>21.02</v>
      </c>
      <c r="BQ10" s="244">
        <f>IF(ISBLANK($L10),0,BP10*VLOOKUP($L10,'Standard data'!AL$452:AP$473,2,FALSE))</f>
        <v>2.1019999999999999</v>
      </c>
      <c r="BR10" s="244">
        <f>IF(ISBLANK($L10),0,BP10*VLOOKUP($L10,'Standard data'!AL$452:AP$473,3,FALSE))</f>
        <v>0</v>
      </c>
      <c r="BS10" s="244">
        <f t="shared" ref="BS10:BS16" si="6">BP10-BQ10-BR10</f>
        <v>18.917999999999999</v>
      </c>
      <c r="BT10" s="244">
        <f t="shared" ref="BT10:BT16" si="7">IF(ISBLANK($AD10),0,BP10*$AD10)</f>
        <v>0.4204</v>
      </c>
      <c r="BU10" s="244" t="str">
        <f>IF(ISBLANK(N10),"",VLOOKUP(N10,'Standard data'!$B$373:$D$402,3,FALSE))</f>
        <v>pasture</v>
      </c>
      <c r="BV10" s="244">
        <f>Manure!O10/100*BV$7</f>
        <v>2.2080000000000002</v>
      </c>
      <c r="BW10" s="244">
        <f>IF(ISBLANK($N10),0,BV10*VLOOKUP($N10,'Standard data'!AR$452:AV$473,2,FALSE))</f>
        <v>0.22080000000000002</v>
      </c>
      <c r="BX10" s="244">
        <f>IF(ISBLANK($N10),0,BV10*VLOOKUP($N10,'Standard data'!AR$452:AV$473,3,FALSE))</f>
        <v>0</v>
      </c>
      <c r="BY10" s="244">
        <f>BV10-BW10-BX10</f>
        <v>1.9872000000000001</v>
      </c>
      <c r="BZ10" s="244">
        <f t="shared" ref="BZ10:BZ16" si="8">IF(ISBLANK($AF10),0,BV10*$AF10)</f>
        <v>4.4160000000000005E-2</v>
      </c>
      <c r="CA10" s="244" t="str">
        <f>IF(ISBLANK(P10),"",VLOOKUP(P10,'Standard data'!$B$373:$D$402,3,FALSE))</f>
        <v>pasture</v>
      </c>
      <c r="CB10" s="244">
        <f>Manure!Q10/100*CB$7</f>
        <v>2.2080000000000002</v>
      </c>
      <c r="CC10" s="244">
        <f>IF(ISBLANK($P10),0,CB10*VLOOKUP($P10,'Standard data'!AX$452:BB$473,2,FALSE))</f>
        <v>0.22080000000000002</v>
      </c>
      <c r="CD10" s="244">
        <f>IF(ISBLANK($P10),0,CB10*VLOOKUP($P10,'Standard data'!AX$452:BB$473,3,FALSE))</f>
        <v>0</v>
      </c>
      <c r="CE10" s="244">
        <f>CB10-CC10-CD10</f>
        <v>1.9872000000000001</v>
      </c>
      <c r="CF10" s="271">
        <f t="shared" ref="CF10:CF16" si="9">IF(ISBLANK($AH10),0,CB10*$AH10)</f>
        <v>4.4160000000000005E-2</v>
      </c>
      <c r="CG10" s="204"/>
      <c r="CH10" s="171"/>
      <c r="CI10" s="171"/>
      <c r="CJ10" s="171"/>
      <c r="CK10" s="171"/>
      <c r="CL10" s="171"/>
      <c r="CM10" s="171"/>
      <c r="CN10" s="171"/>
      <c r="CO10" s="171"/>
      <c r="CP10" s="171"/>
      <c r="CQ10" s="171"/>
      <c r="CR10" s="171"/>
      <c r="CS10" s="171"/>
      <c r="CT10" s="171"/>
      <c r="CU10" s="171"/>
    </row>
    <row r="11" spans="1:109" s="18" customFormat="1" ht="30">
      <c r="B11" s="211" t="s">
        <v>396</v>
      </c>
      <c r="C11" s="211"/>
      <c r="D11" s="211" t="s">
        <v>396</v>
      </c>
      <c r="E11" s="211"/>
      <c r="F11" s="211" t="s">
        <v>397</v>
      </c>
      <c r="G11" s="211"/>
      <c r="H11" s="211" t="s">
        <v>396</v>
      </c>
      <c r="I11" s="211"/>
      <c r="J11" s="211" t="s">
        <v>397</v>
      </c>
      <c r="K11" s="211"/>
      <c r="L11" s="211" t="s">
        <v>397</v>
      </c>
      <c r="M11" s="211"/>
      <c r="N11" s="211" t="s">
        <v>398</v>
      </c>
      <c r="O11" s="211"/>
      <c r="P11" s="211" t="s">
        <v>398</v>
      </c>
      <c r="Q11" s="273"/>
      <c r="R11" s="274"/>
      <c r="S11" s="244">
        <f>IF(ISBLANK(B11),0,VLOOKUP(B11,'Standard data'!$B$413:$V$442,$C$4-6,FALSE))</f>
        <v>5.0000000000000001E-3</v>
      </c>
      <c r="T11" s="244">
        <f>IF(ISBLANK(B11),0,VLOOKUP(B11,'Standard data'!$B$413:$V$442,2,FALSE))</f>
        <v>0</v>
      </c>
      <c r="U11" s="244">
        <f>IF(ISBLANK(D11),0,VLOOKUP(D11,'Standard data'!$B$413:$V$442,$C$4-6,FALSE))</f>
        <v>5.0000000000000001E-3</v>
      </c>
      <c r="V11" s="244">
        <f>IF(ISBLANK(D11),0,VLOOKUP(D11,'Standard data'!$B$413:$V$442,2,FALSE))</f>
        <v>0</v>
      </c>
      <c r="W11" s="244">
        <f>IF(ISBLANK(F11),0,VLOOKUP(F11,'Standard data'!$B$413:$V$442,$C$4-6,FALSE))</f>
        <v>0.04</v>
      </c>
      <c r="X11" s="244">
        <f>IF(ISBLANK(F11),0,VLOOKUP(F11,'Standard data'!$B$413:$V$442,2,FALSE))</f>
        <v>5.0000000000000001E-3</v>
      </c>
      <c r="Y11" s="244">
        <f>IF(ISBLANK(H11),0,VLOOKUP(H11,'Standard data'!$B$413:$V$442,$C$4-6,FALSE))</f>
        <v>5.0000000000000001E-3</v>
      </c>
      <c r="Z11" s="244">
        <f>IF(ISBLANK(H11),0,VLOOKUP(H11,'Standard data'!$B$413:$V$442,2,FALSE))</f>
        <v>0</v>
      </c>
      <c r="AA11" s="244">
        <f>IF(ISBLANK(J11),0,VLOOKUP(J11,'Standard data'!$B$413:$V$442,$C$4-6,FALSE))</f>
        <v>0.04</v>
      </c>
      <c r="AB11" s="244">
        <f>IF(ISBLANK(J11),0,VLOOKUP(J11,'Standard data'!$B$413:$V$442,2,FALSE))</f>
        <v>5.0000000000000001E-3</v>
      </c>
      <c r="AC11" s="244">
        <f>IF(ISBLANK(L11),0,VLOOKUP(L11,'Standard data'!$B$413:$V$442,$C$4-6,FALSE))</f>
        <v>0.04</v>
      </c>
      <c r="AD11" s="244">
        <f>IF(ISBLANK(L11),0,VLOOKUP(L11,'Standard data'!$B$413:$V$442,2,FALSE))</f>
        <v>5.0000000000000001E-3</v>
      </c>
      <c r="AE11" s="244">
        <f>IF(ISBLANK(N11),,VLOOKUP(N11,'Standard data'!$B$413:$V$442,$C$4-6,FALSE))</f>
        <v>1.4999999999999999E-2</v>
      </c>
      <c r="AF11" s="244">
        <f>IF(ISBLANK(N11),0,VLOOKUP(N11,'Standard data'!$B$413:$V$442,2,FALSE))</f>
        <v>0.02</v>
      </c>
      <c r="AG11" s="244">
        <f>IF(ISBLANK(P11),0,VLOOKUP(P11,'Standard data'!$B$413:$V$442,$C$4-6,FALSE))</f>
        <v>1.4999999999999999E-2</v>
      </c>
      <c r="AH11" s="244">
        <f>IF(ISBLANK(P11),0,VLOOKUP(P11,'Standard data'!$B$413:$V$442,2,FALSE))</f>
        <v>0.02</v>
      </c>
      <c r="AI11" s="171"/>
      <c r="AJ11" s="171"/>
      <c r="AK11" s="244" t="str">
        <f>IF(ISBLANK(B11),"",VLOOKUP(B11,'Standard data'!$B$373:$D$402,3,FALSE))</f>
        <v>liquid</v>
      </c>
      <c r="AL11" s="244">
        <f>Manure!C11/100*AL$7</f>
        <v>0</v>
      </c>
      <c r="AM11" s="244">
        <f>IF(ISBLANK($B11),0,AL11*VLOOKUP($B11,'Standard data'!B$452:F$473,2,FALSE))</f>
        <v>0</v>
      </c>
      <c r="AN11" s="244">
        <f>IF(ISBLANK($B11),0,AL11*VLOOKUP($B11,'Standard data'!B$452:F$473,3,FALSE))</f>
        <v>0</v>
      </c>
      <c r="AO11" s="244">
        <f t="shared" si="0"/>
        <v>0</v>
      </c>
      <c r="AP11" s="244">
        <f t="shared" ref="AP11:AP16" si="10">IF(ISBLANK(T11),0,AL11*T11)</f>
        <v>0</v>
      </c>
      <c r="AQ11" s="244" t="str">
        <f>IF(ISBLANK(D11),"",VLOOKUP(D11,'Standard data'!$B$373:$D$402,3,FALSE))</f>
        <v>liquid</v>
      </c>
      <c r="AR11" s="244">
        <f>Manure!E11/100*AR$7</f>
        <v>0</v>
      </c>
      <c r="AS11" s="244">
        <f>IF(ISBLANK($D11),0,AR11*VLOOKUP($D11,'Standard data'!H$452:L$473,2,FALSE))</f>
        <v>0</v>
      </c>
      <c r="AT11" s="244">
        <f>IF(ISBLANK($D11),0,AR11*VLOOKUP($D11,'Standard data'!$H$452:$L$473,3,FALSE))</f>
        <v>0</v>
      </c>
      <c r="AU11" s="244">
        <f t="shared" si="1"/>
        <v>0</v>
      </c>
      <c r="AV11" s="244">
        <f t="shared" si="2"/>
        <v>0</v>
      </c>
      <c r="AW11" s="244" t="str">
        <f>IF(ISBLANK(F11),"",VLOOKUP(F11,'Standard data'!$B$373:$D$402,3,FALSE))</f>
        <v>solid</v>
      </c>
      <c r="AX11" s="244">
        <f>Manure!G11/100*AX$7</f>
        <v>0</v>
      </c>
      <c r="AY11" s="244">
        <f>IF(ISBLANK($F11),0,$AX11*VLOOKUP($F11,'Standard data'!N$452:R$473,2,FALSE))</f>
        <v>0</v>
      </c>
      <c r="AZ11" s="244">
        <f>IF(ISBLANK($F11),0,$AX11*VLOOKUP($F11,'Standard data'!N$452:R$473,3,FALSE))</f>
        <v>0</v>
      </c>
      <c r="BA11" s="244">
        <f t="shared" ref="BA11:BA16" si="11">AX11-AY11-AZ11</f>
        <v>0</v>
      </c>
      <c r="BB11" s="244">
        <f t="shared" si="3"/>
        <v>0</v>
      </c>
      <c r="BC11" s="244" t="str">
        <f>IF(ISBLANK(H11),"",VLOOKUP(H11,'Standard data'!$B$373:$D$402,3,FALSE))</f>
        <v>liquid</v>
      </c>
      <c r="BD11" s="244">
        <f>Manure!I11/100*BD$7</f>
        <v>0</v>
      </c>
      <c r="BE11" s="244">
        <f>IF(ISBLANK($H11),0,BD11*VLOOKUP($H11,'Standard data'!Z$452:AD$473,2,FALSE))</f>
        <v>0</v>
      </c>
      <c r="BF11" s="244">
        <f>IF(ISBLANK($H11),0,BD11*VLOOKUP($H11,'Standard data'!Z$452:AD$473,3,FALSE))</f>
        <v>0</v>
      </c>
      <c r="BG11" s="244">
        <f t="shared" ref="BG11:BG16" si="12">BD11-BE11-BF11</f>
        <v>0</v>
      </c>
      <c r="BH11" s="244">
        <f t="shared" si="4"/>
        <v>0</v>
      </c>
      <c r="BI11" s="244" t="str">
        <f>IF(ISBLANK(J11),"",VLOOKUP(J11,'Standard data'!$B$373:$D$402,3,FALSE))</f>
        <v>solid</v>
      </c>
      <c r="BJ11" s="244">
        <f>Manure!K11/100*BJ$7</f>
        <v>0</v>
      </c>
      <c r="BK11" s="244">
        <f>IF(ISBLANK($J11),0,BJ11*VLOOKUP($J11,'Standard data'!AF$452:AJ$473,2,FALSE))</f>
        <v>0</v>
      </c>
      <c r="BL11" s="244">
        <f>IF(ISBLANK($J11),0,BJ11*VLOOKUP($J11,'Standard data'!AF$452:AJ$473,3,FALSE))</f>
        <v>0</v>
      </c>
      <c r="BM11" s="244">
        <f t="shared" ref="BM11:BM16" si="13">BJ11-BK11-BL11</f>
        <v>0</v>
      </c>
      <c r="BN11" s="244">
        <f t="shared" si="5"/>
        <v>0</v>
      </c>
      <c r="BO11" s="244" t="str">
        <f>IF(ISBLANK(L11),"",VLOOKUP(L11,'Standard data'!$B$373:$D$402,3,FALSE))</f>
        <v>solid</v>
      </c>
      <c r="BP11" s="244">
        <f>Manure!M11/100*BP$7</f>
        <v>0</v>
      </c>
      <c r="BQ11" s="244">
        <f>IF(ISBLANK($L11),0,BP11*VLOOKUP($L11,'Standard data'!AL$452:AP$473,2,FALSE))</f>
        <v>0</v>
      </c>
      <c r="BR11" s="244">
        <f>IF(ISBLANK($L11),0,BP11*VLOOKUP($L11,'Standard data'!AL$452:AP$473,3,FALSE))</f>
        <v>0</v>
      </c>
      <c r="BS11" s="244">
        <f t="shared" si="6"/>
        <v>0</v>
      </c>
      <c r="BT11" s="244">
        <f t="shared" si="7"/>
        <v>0</v>
      </c>
      <c r="BU11" s="244" t="str">
        <f>IF(ISBLANK(N11),"",VLOOKUP(N11,'Standard data'!$B$373:$D$402,3,FALSE))</f>
        <v>liquid</v>
      </c>
      <c r="BV11" s="244">
        <f>Manure!O11/100*BV$7</f>
        <v>0</v>
      </c>
      <c r="BW11" s="244">
        <f>IF(ISBLANK($N11),0,BV11*VLOOKUP($N11,'Standard data'!AR$452:AV$473,2,FALSE))</f>
        <v>0</v>
      </c>
      <c r="BX11" s="244">
        <f>IF(ISBLANK($N11),0,BV11*VLOOKUP($N11,'Standard data'!AR$452:AV$473,3,FALSE))</f>
        <v>0</v>
      </c>
      <c r="BY11" s="244">
        <f t="shared" ref="BY11:BY16" si="14">BV11-BW11-BX11</f>
        <v>0</v>
      </c>
      <c r="BZ11" s="244">
        <f t="shared" si="8"/>
        <v>0</v>
      </c>
      <c r="CA11" s="244" t="str">
        <f>IF(ISBLANK(P11),"",VLOOKUP(P11,'Standard data'!$B$373:$D$402,3,FALSE))</f>
        <v>liquid</v>
      </c>
      <c r="CB11" s="244">
        <f>Manure!Q11/100*CB$7</f>
        <v>0</v>
      </c>
      <c r="CC11" s="244">
        <f>IF(ISBLANK($P11),0,CB11*VLOOKUP($P11,'Standard data'!AX$452:BB$473,2,FALSE))</f>
        <v>0</v>
      </c>
      <c r="CD11" s="244">
        <f>IF(ISBLANK($P11),0,CB11*VLOOKUP($P11,'Standard data'!AX$452:BB$473,3,FALSE))</f>
        <v>0</v>
      </c>
      <c r="CE11" s="244">
        <f t="shared" ref="CE11:CE16" si="15">CB11-CC11-CD11</f>
        <v>0</v>
      </c>
      <c r="CF11" s="271">
        <f t="shared" si="9"/>
        <v>0</v>
      </c>
      <c r="CG11" s="204"/>
      <c r="CH11" s="171"/>
      <c r="CI11" s="171"/>
      <c r="CJ11" s="171"/>
      <c r="CK11" s="171"/>
      <c r="CL11" s="171"/>
      <c r="CM11" s="171"/>
      <c r="CN11" s="171"/>
      <c r="CO11" s="171"/>
      <c r="CP11" s="171"/>
      <c r="CQ11" s="171"/>
      <c r="CR11" s="171"/>
      <c r="CS11" s="171"/>
      <c r="CT11" s="171"/>
      <c r="CU11" s="171"/>
    </row>
    <row r="12" spans="1:109" s="18" customFormat="1" ht="30">
      <c r="B12" s="211" t="s">
        <v>396</v>
      </c>
      <c r="C12" s="211"/>
      <c r="D12" s="211" t="s">
        <v>396</v>
      </c>
      <c r="E12" s="211"/>
      <c r="F12" s="211" t="s">
        <v>397</v>
      </c>
      <c r="G12" s="211"/>
      <c r="H12" s="211" t="s">
        <v>396</v>
      </c>
      <c r="I12" s="211"/>
      <c r="J12" s="211" t="s">
        <v>397</v>
      </c>
      <c r="K12" s="211"/>
      <c r="L12" s="211" t="s">
        <v>397</v>
      </c>
      <c r="M12" s="211"/>
      <c r="N12" s="211" t="s">
        <v>398</v>
      </c>
      <c r="O12" s="211"/>
      <c r="P12" s="211" t="s">
        <v>398</v>
      </c>
      <c r="Q12" s="273"/>
      <c r="R12" s="274"/>
      <c r="S12" s="244">
        <f>IF(ISBLANK(B12),0,VLOOKUP(B12,'Standard data'!$B$413:$V$442,$C$4-6,FALSE))</f>
        <v>5.0000000000000001E-3</v>
      </c>
      <c r="T12" s="244">
        <f>IF(ISBLANK(B12),0,VLOOKUP(B12,'Standard data'!$B$413:$V$442,2,FALSE))</f>
        <v>0</v>
      </c>
      <c r="U12" s="244">
        <f>IF(ISBLANK(D12),0,VLOOKUP(D12,'Standard data'!$B$413:$V$442,$C$4-6,FALSE))</f>
        <v>5.0000000000000001E-3</v>
      </c>
      <c r="V12" s="244">
        <f>IF(ISBLANK(D12),0,VLOOKUP(D12,'Standard data'!$B$413:$V$442,2,FALSE))</f>
        <v>0</v>
      </c>
      <c r="W12" s="244">
        <f>IF(ISBLANK(F12),0,VLOOKUP(F12,'Standard data'!$B$413:$V$442,$C$4-6,FALSE))</f>
        <v>0.04</v>
      </c>
      <c r="X12" s="244">
        <f>IF(ISBLANK(F12),0,VLOOKUP(F12,'Standard data'!$B$413:$V$442,2,FALSE))</f>
        <v>5.0000000000000001E-3</v>
      </c>
      <c r="Y12" s="244">
        <f>IF(ISBLANK(H12),0,VLOOKUP(H12,'Standard data'!$B$413:$V$442,$C$4-6,FALSE))</f>
        <v>5.0000000000000001E-3</v>
      </c>
      <c r="Z12" s="244">
        <f>IF(ISBLANK(H12),0,VLOOKUP(H12,'Standard data'!$B$413:$V$442,2,FALSE))</f>
        <v>0</v>
      </c>
      <c r="AA12" s="244">
        <f>IF(ISBLANK(J12),0,VLOOKUP(J12,'Standard data'!$B$413:$V$442,$C$4-6,FALSE))</f>
        <v>0.04</v>
      </c>
      <c r="AB12" s="244">
        <f>IF(ISBLANK(J12),0,VLOOKUP(J12,'Standard data'!$B$413:$V$442,2,FALSE))</f>
        <v>5.0000000000000001E-3</v>
      </c>
      <c r="AC12" s="244">
        <f>IF(ISBLANK(L12),0,VLOOKUP(L12,'Standard data'!$B$413:$V$442,$C$4-6,FALSE))</f>
        <v>0.04</v>
      </c>
      <c r="AD12" s="244">
        <f>IF(ISBLANK(L12),0,VLOOKUP(L12,'Standard data'!$B$413:$V$442,2,FALSE))</f>
        <v>5.0000000000000001E-3</v>
      </c>
      <c r="AE12" s="244">
        <f>IF(ISBLANK(N12),,VLOOKUP(N12,'Standard data'!$B$413:$V$442,$C$4-6,FALSE))</f>
        <v>1.4999999999999999E-2</v>
      </c>
      <c r="AF12" s="244">
        <f>IF(ISBLANK(N12),0,VLOOKUP(N12,'Standard data'!$B$413:$V$442,2,FALSE))</f>
        <v>0.02</v>
      </c>
      <c r="AG12" s="244">
        <f>IF(ISBLANK(P12),0,VLOOKUP(P12,'Standard data'!$B$413:$V$442,$C$4-6,FALSE))</f>
        <v>1.4999999999999999E-2</v>
      </c>
      <c r="AH12" s="244">
        <f>IF(ISBLANK(P12),0,VLOOKUP(P12,'Standard data'!$B$413:$V$442,2,FALSE))</f>
        <v>0.02</v>
      </c>
      <c r="AI12" s="171"/>
      <c r="AJ12" s="171"/>
      <c r="AK12" s="244" t="str">
        <f>IF(ISBLANK(B12),"",VLOOKUP(B12,'Standard data'!$B$373:$D$402,3,FALSE))</f>
        <v>liquid</v>
      </c>
      <c r="AL12" s="244">
        <f>Manure!C12/100*AL$7</f>
        <v>0</v>
      </c>
      <c r="AM12" s="244">
        <f>IF(ISBLANK($B12),0,AL12*VLOOKUP($B12,'Standard data'!B$452:F$473,2,FALSE))</f>
        <v>0</v>
      </c>
      <c r="AN12" s="244">
        <f>IF(ISBLANK($B12),0,AL12*VLOOKUP($B12,'Standard data'!B$452:F$473,3,FALSE))</f>
        <v>0</v>
      </c>
      <c r="AO12" s="244">
        <f t="shared" si="0"/>
        <v>0</v>
      </c>
      <c r="AP12" s="244">
        <f t="shared" si="10"/>
        <v>0</v>
      </c>
      <c r="AQ12" s="244" t="str">
        <f>IF(ISBLANK(D12),"",VLOOKUP(D12,'Standard data'!$B$373:$D$402,3,FALSE))</f>
        <v>liquid</v>
      </c>
      <c r="AR12" s="244">
        <f>Manure!E12/100*AR$7</f>
        <v>0</v>
      </c>
      <c r="AS12" s="244">
        <f>IF(ISBLANK($D12),0,AR12*VLOOKUP($D12,'Standard data'!H$452:L$473,2,FALSE))</f>
        <v>0</v>
      </c>
      <c r="AT12" s="244">
        <f>IF(ISBLANK($D12),0,AR12*VLOOKUP($D12,'Standard data'!$H$452:$L$473,3,FALSE))</f>
        <v>0</v>
      </c>
      <c r="AU12" s="244">
        <f t="shared" si="1"/>
        <v>0</v>
      </c>
      <c r="AV12" s="244">
        <f t="shared" si="2"/>
        <v>0</v>
      </c>
      <c r="AW12" s="244" t="str">
        <f>IF(ISBLANK(F12),"",VLOOKUP(F12,'Standard data'!$B$373:$D$402,3,FALSE))</f>
        <v>solid</v>
      </c>
      <c r="AX12" s="244">
        <f>Manure!G12/100*AX$7</f>
        <v>0</v>
      </c>
      <c r="AY12" s="244">
        <f>IF(ISBLANK($F12),0,$AX12*VLOOKUP($F12,'Standard data'!N$452:R$473,2,FALSE))</f>
        <v>0</v>
      </c>
      <c r="AZ12" s="244">
        <f>IF(ISBLANK($F12),0,$AX12*VLOOKUP($F12,'Standard data'!N$452:R$473,3,FALSE))</f>
        <v>0</v>
      </c>
      <c r="BA12" s="244">
        <f t="shared" si="11"/>
        <v>0</v>
      </c>
      <c r="BB12" s="244">
        <f t="shared" si="3"/>
        <v>0</v>
      </c>
      <c r="BC12" s="244" t="str">
        <f>IF(ISBLANK(H12),"",VLOOKUP(H12,'Standard data'!$B$373:$D$402,3,FALSE))</f>
        <v>liquid</v>
      </c>
      <c r="BD12" s="244">
        <f>Manure!I12/100*BD$7</f>
        <v>0</v>
      </c>
      <c r="BE12" s="244">
        <f>IF(ISBLANK($H12),0,BD12*VLOOKUP($H12,'Standard data'!Z$452:AD$473,2,FALSE))</f>
        <v>0</v>
      </c>
      <c r="BF12" s="244">
        <f>IF(ISBLANK($H12),0,BD12*VLOOKUP($H12,'Standard data'!Z$452:AD$473,3,FALSE))</f>
        <v>0</v>
      </c>
      <c r="BG12" s="244">
        <f t="shared" si="12"/>
        <v>0</v>
      </c>
      <c r="BH12" s="244">
        <f t="shared" si="4"/>
        <v>0</v>
      </c>
      <c r="BI12" s="244" t="str">
        <f>IF(ISBLANK(J12),"",VLOOKUP(J12,'Standard data'!$B$373:$D$402,3,FALSE))</f>
        <v>solid</v>
      </c>
      <c r="BJ12" s="244">
        <f>Manure!K12/100*BJ$7</f>
        <v>0</v>
      </c>
      <c r="BK12" s="244">
        <f>IF(ISBLANK($J12),0,BJ12*VLOOKUP($J12,'Standard data'!AF$452:AJ$473,2,FALSE))</f>
        <v>0</v>
      </c>
      <c r="BL12" s="244">
        <f>IF(ISBLANK($J12),0,BJ12*VLOOKUP($J12,'Standard data'!AF$452:AJ$473,3,FALSE))</f>
        <v>0</v>
      </c>
      <c r="BM12" s="244">
        <f t="shared" si="13"/>
        <v>0</v>
      </c>
      <c r="BN12" s="244">
        <f t="shared" si="5"/>
        <v>0</v>
      </c>
      <c r="BO12" s="244" t="str">
        <f>IF(ISBLANK(L12),"",VLOOKUP(L12,'Standard data'!$B$373:$D$402,3,FALSE))</f>
        <v>solid</v>
      </c>
      <c r="BP12" s="244">
        <f>Manure!M12/100*BP$7</f>
        <v>0</v>
      </c>
      <c r="BQ12" s="244">
        <f>IF(ISBLANK($L12),0,BP12*VLOOKUP($L12,'Standard data'!AL$452:AP$473,2,FALSE))</f>
        <v>0</v>
      </c>
      <c r="BR12" s="244">
        <f>IF(ISBLANK($L12),0,BP12*VLOOKUP($L12,'Standard data'!AL$452:AP$473,3,FALSE))</f>
        <v>0</v>
      </c>
      <c r="BS12" s="244">
        <f t="shared" si="6"/>
        <v>0</v>
      </c>
      <c r="BT12" s="244">
        <f t="shared" si="7"/>
        <v>0</v>
      </c>
      <c r="BU12" s="244" t="str">
        <f>IF(ISBLANK(N12),"",VLOOKUP(N12,'Standard data'!$B$373:$D$402,3,FALSE))</f>
        <v>liquid</v>
      </c>
      <c r="BV12" s="244">
        <f>Manure!O12/100*BV$7</f>
        <v>0</v>
      </c>
      <c r="BW12" s="244">
        <f>IF(ISBLANK($N12),0,BV12*VLOOKUP($N12,'Standard data'!AR$452:AV$473,2,FALSE))</f>
        <v>0</v>
      </c>
      <c r="BX12" s="244">
        <f>IF(ISBLANK($N12),0,BV12*VLOOKUP($N12,'Standard data'!AR$452:AV$473,3,FALSE))</f>
        <v>0</v>
      </c>
      <c r="BY12" s="244">
        <f t="shared" si="14"/>
        <v>0</v>
      </c>
      <c r="BZ12" s="244">
        <f t="shared" si="8"/>
        <v>0</v>
      </c>
      <c r="CA12" s="244" t="str">
        <f>IF(ISBLANK(P12),"",VLOOKUP(P12,'Standard data'!$B$373:$D$402,3,FALSE))</f>
        <v>liquid</v>
      </c>
      <c r="CB12" s="244">
        <f>Manure!Q12/100*CB$7</f>
        <v>0</v>
      </c>
      <c r="CC12" s="244">
        <f>IF(ISBLANK($P12),0,CB12*VLOOKUP($P12,'Standard data'!AX$452:BB$473,2,FALSE))</f>
        <v>0</v>
      </c>
      <c r="CD12" s="244">
        <f>IF(ISBLANK($P12),0,CB12*VLOOKUP($P12,'Standard data'!AX$452:BB$473,3,FALSE))</f>
        <v>0</v>
      </c>
      <c r="CE12" s="244">
        <f t="shared" si="15"/>
        <v>0</v>
      </c>
      <c r="CF12" s="271">
        <f t="shared" si="9"/>
        <v>0</v>
      </c>
      <c r="CG12" s="204"/>
      <c r="CH12" s="171"/>
      <c r="CI12" s="171"/>
      <c r="CJ12" s="171"/>
      <c r="CK12" s="171"/>
      <c r="CL12" s="171"/>
      <c r="CM12" s="171"/>
      <c r="CN12" s="171"/>
      <c r="CO12" s="171"/>
      <c r="CP12" s="171"/>
      <c r="CQ12" s="171"/>
      <c r="CR12" s="171"/>
      <c r="CS12" s="171"/>
      <c r="CT12" s="171"/>
      <c r="CU12" s="171"/>
    </row>
    <row r="13" spans="1:109" s="18" customFormat="1" ht="30">
      <c r="B13" s="211" t="s">
        <v>396</v>
      </c>
      <c r="C13" s="211"/>
      <c r="D13" s="211" t="s">
        <v>396</v>
      </c>
      <c r="E13" s="211"/>
      <c r="F13" s="211" t="s">
        <v>397</v>
      </c>
      <c r="G13" s="211"/>
      <c r="H13" s="211" t="s">
        <v>396</v>
      </c>
      <c r="I13" s="211"/>
      <c r="J13" s="211" t="s">
        <v>397</v>
      </c>
      <c r="K13" s="211"/>
      <c r="L13" s="211" t="s">
        <v>397</v>
      </c>
      <c r="M13" s="211"/>
      <c r="N13" s="211" t="s">
        <v>398</v>
      </c>
      <c r="O13" s="211"/>
      <c r="P13" s="211" t="s">
        <v>398</v>
      </c>
      <c r="Q13" s="273"/>
      <c r="R13" s="274"/>
      <c r="S13" s="244">
        <f>IF(ISBLANK(B13),0,VLOOKUP(B13,'Standard data'!$B$413:$V$442,$C$4-6,FALSE))</f>
        <v>5.0000000000000001E-3</v>
      </c>
      <c r="T13" s="244">
        <f>IF(ISBLANK(B13),0,VLOOKUP(B13,'Standard data'!$B$413:$V$442,2,FALSE))</f>
        <v>0</v>
      </c>
      <c r="U13" s="244">
        <f>IF(ISBLANK(D13),0,VLOOKUP(D13,'Standard data'!$B$413:$V$442,$C$4-6,FALSE))</f>
        <v>5.0000000000000001E-3</v>
      </c>
      <c r="V13" s="244">
        <f>IF(ISBLANK(D13),0,VLOOKUP(D13,'Standard data'!$B$413:$V$442,2,FALSE))</f>
        <v>0</v>
      </c>
      <c r="W13" s="244">
        <f>IF(ISBLANK(F13),0,VLOOKUP(F13,'Standard data'!$B$413:$V$442,$C$4-6,FALSE))</f>
        <v>0.04</v>
      </c>
      <c r="X13" s="244">
        <f>IF(ISBLANK(F13),0,VLOOKUP(F13,'Standard data'!$B$413:$V$442,2,FALSE))</f>
        <v>5.0000000000000001E-3</v>
      </c>
      <c r="Y13" s="244">
        <f>IF(ISBLANK(H13),0,VLOOKUP(H13,'Standard data'!$B$413:$V$442,$C$4-6,FALSE))</f>
        <v>5.0000000000000001E-3</v>
      </c>
      <c r="Z13" s="244">
        <f>IF(ISBLANK(H13),0,VLOOKUP(H13,'Standard data'!$B$413:$V$442,2,FALSE))</f>
        <v>0</v>
      </c>
      <c r="AA13" s="244">
        <f>IF(ISBLANK(J13),0,VLOOKUP(J13,'Standard data'!$B$413:$V$442,$C$4-6,FALSE))</f>
        <v>0.04</v>
      </c>
      <c r="AB13" s="244">
        <f>IF(ISBLANK(J13),0,VLOOKUP(J13,'Standard data'!$B$413:$V$442,2,FALSE))</f>
        <v>5.0000000000000001E-3</v>
      </c>
      <c r="AC13" s="244">
        <f>IF(ISBLANK(L13),0,VLOOKUP(L13,'Standard data'!$B$413:$V$442,$C$4-6,FALSE))</f>
        <v>0.04</v>
      </c>
      <c r="AD13" s="244">
        <f>IF(ISBLANK(L13),0,VLOOKUP(L13,'Standard data'!$B$413:$V$442,2,FALSE))</f>
        <v>5.0000000000000001E-3</v>
      </c>
      <c r="AE13" s="244">
        <f>IF(ISBLANK(N13),,VLOOKUP(N13,'Standard data'!$B$413:$V$442,$C$4-6,FALSE))</f>
        <v>1.4999999999999999E-2</v>
      </c>
      <c r="AF13" s="244">
        <f>IF(ISBLANK(N13),0,VLOOKUP(N13,'Standard data'!$B$413:$V$442,2,FALSE))</f>
        <v>0.02</v>
      </c>
      <c r="AG13" s="244">
        <f>IF(ISBLANK(P13),0,VLOOKUP(P13,'Standard data'!$B$413:$V$442,$C$4-6,FALSE))</f>
        <v>1.4999999999999999E-2</v>
      </c>
      <c r="AH13" s="244">
        <f>IF(ISBLANK(P13),0,VLOOKUP(P13,'Standard data'!$B$413:$V$442,2,FALSE))</f>
        <v>0.02</v>
      </c>
      <c r="AI13" s="171"/>
      <c r="AJ13" s="171"/>
      <c r="AK13" s="244" t="str">
        <f>IF(ISBLANK(B13),"",VLOOKUP(B13,'Standard data'!$B$373:$D$402,3,FALSE))</f>
        <v>liquid</v>
      </c>
      <c r="AL13" s="244">
        <f>Manure!C13/100*AL$7</f>
        <v>0</v>
      </c>
      <c r="AM13" s="244">
        <f>IF(ISBLANK($B13),0,AL13*VLOOKUP($B13,'Standard data'!B$452:F$473,2,FALSE))</f>
        <v>0</v>
      </c>
      <c r="AN13" s="244">
        <f>IF(ISBLANK($B13),0,AL13*VLOOKUP($B13,'Standard data'!B$452:F$473,3,FALSE))</f>
        <v>0</v>
      </c>
      <c r="AO13" s="244">
        <f t="shared" si="0"/>
        <v>0</v>
      </c>
      <c r="AP13" s="244">
        <f t="shared" si="10"/>
        <v>0</v>
      </c>
      <c r="AQ13" s="244" t="str">
        <f>IF(ISBLANK(D13),"",VLOOKUP(D13,'Standard data'!$B$373:$D$402,3,FALSE))</f>
        <v>liquid</v>
      </c>
      <c r="AR13" s="244">
        <f>Manure!E13/100*AR$7</f>
        <v>0</v>
      </c>
      <c r="AS13" s="244">
        <f>IF(ISBLANK($D13),0,AR13*VLOOKUP($D13,'Standard data'!H$452:L$473,2,FALSE))</f>
        <v>0</v>
      </c>
      <c r="AT13" s="244">
        <f>IF(ISBLANK($D13),0,AR13*VLOOKUP($D13,'Standard data'!$H$452:$L$473,3,FALSE))</f>
        <v>0</v>
      </c>
      <c r="AU13" s="244">
        <f t="shared" si="1"/>
        <v>0</v>
      </c>
      <c r="AV13" s="244">
        <f t="shared" si="2"/>
        <v>0</v>
      </c>
      <c r="AW13" s="244" t="str">
        <f>IF(ISBLANK(F13),"",VLOOKUP(F13,'Standard data'!$B$373:$D$402,3,FALSE))</f>
        <v>solid</v>
      </c>
      <c r="AX13" s="244">
        <f>Manure!G13/100*AX$7</f>
        <v>0</v>
      </c>
      <c r="AY13" s="244">
        <f>IF(ISBLANK($F13),0,$AX13*VLOOKUP($F13,'Standard data'!N$452:R$473,2,FALSE))</f>
        <v>0</v>
      </c>
      <c r="AZ13" s="244">
        <f>IF(ISBLANK($F13),0,$AX13*VLOOKUP($F13,'Standard data'!N$452:R$473,3,FALSE))</f>
        <v>0</v>
      </c>
      <c r="BA13" s="244">
        <f t="shared" si="11"/>
        <v>0</v>
      </c>
      <c r="BB13" s="244">
        <f t="shared" si="3"/>
        <v>0</v>
      </c>
      <c r="BC13" s="244" t="str">
        <f>IF(ISBLANK(H13),"",VLOOKUP(H13,'Standard data'!$B$373:$D$402,3,FALSE))</f>
        <v>liquid</v>
      </c>
      <c r="BD13" s="244">
        <f>Manure!I13/100*BD$7</f>
        <v>0</v>
      </c>
      <c r="BE13" s="244">
        <f>IF(ISBLANK($H13),0,BD13*VLOOKUP($H13,'Standard data'!Z$452:AD$473,2,FALSE))</f>
        <v>0</v>
      </c>
      <c r="BF13" s="244">
        <f>IF(ISBLANK($H13),0,BD13*VLOOKUP($H13,'Standard data'!Z$452:AD$473,3,FALSE))</f>
        <v>0</v>
      </c>
      <c r="BG13" s="244">
        <f t="shared" si="12"/>
        <v>0</v>
      </c>
      <c r="BH13" s="244">
        <f t="shared" si="4"/>
        <v>0</v>
      </c>
      <c r="BI13" s="244" t="str">
        <f>IF(ISBLANK(J13),"",VLOOKUP(J13,'Standard data'!$B$373:$D$402,3,FALSE))</f>
        <v>solid</v>
      </c>
      <c r="BJ13" s="244">
        <f>Manure!K13/100*BJ$7</f>
        <v>0</v>
      </c>
      <c r="BK13" s="244">
        <f>IF(ISBLANK($J13),0,BJ13*VLOOKUP($J13,'Standard data'!AF$452:AJ$473,2,FALSE))</f>
        <v>0</v>
      </c>
      <c r="BL13" s="244">
        <f>IF(ISBLANK($J13),0,BJ13*VLOOKUP($J13,'Standard data'!AF$452:AJ$473,3,FALSE))</f>
        <v>0</v>
      </c>
      <c r="BM13" s="244">
        <f t="shared" si="13"/>
        <v>0</v>
      </c>
      <c r="BN13" s="244">
        <f t="shared" si="5"/>
        <v>0</v>
      </c>
      <c r="BO13" s="244" t="str">
        <f>IF(ISBLANK(L13),"",VLOOKUP(L13,'Standard data'!$B$373:$D$402,3,FALSE))</f>
        <v>solid</v>
      </c>
      <c r="BP13" s="244">
        <f>Manure!M13/100*BP$7</f>
        <v>0</v>
      </c>
      <c r="BQ13" s="244">
        <f>IF(ISBLANK($L13),0,BP13*VLOOKUP($L13,'Standard data'!AL$452:AP$473,2,FALSE))</f>
        <v>0</v>
      </c>
      <c r="BR13" s="244">
        <f>IF(ISBLANK($L13),0,BP13*VLOOKUP($L13,'Standard data'!AL$452:AP$473,3,FALSE))</f>
        <v>0</v>
      </c>
      <c r="BS13" s="244">
        <f t="shared" si="6"/>
        <v>0</v>
      </c>
      <c r="BT13" s="244">
        <f t="shared" si="7"/>
        <v>0</v>
      </c>
      <c r="BU13" s="244" t="str">
        <f>IF(ISBLANK(N13),"",VLOOKUP(N13,'Standard data'!$B$373:$D$402,3,FALSE))</f>
        <v>liquid</v>
      </c>
      <c r="BV13" s="244">
        <f>Manure!O13/100*BV$7</f>
        <v>0</v>
      </c>
      <c r="BW13" s="244">
        <f>IF(ISBLANK($N13),0,BV13*VLOOKUP($N13,'Standard data'!AR$452:AV$473,2,FALSE))</f>
        <v>0</v>
      </c>
      <c r="BX13" s="244">
        <f>IF(ISBLANK($N13),0,BV13*VLOOKUP($N13,'Standard data'!AR$452:AV$473,3,FALSE))</f>
        <v>0</v>
      </c>
      <c r="BY13" s="244">
        <f t="shared" si="14"/>
        <v>0</v>
      </c>
      <c r="BZ13" s="244">
        <f t="shared" si="8"/>
        <v>0</v>
      </c>
      <c r="CA13" s="244" t="str">
        <f>IF(ISBLANK(P13),"",VLOOKUP(P13,'Standard data'!$B$373:$D$402,3,FALSE))</f>
        <v>liquid</v>
      </c>
      <c r="CB13" s="244">
        <f>Manure!Q13/100*CB$7</f>
        <v>0</v>
      </c>
      <c r="CC13" s="244">
        <f>IF(ISBLANK($P13),0,CB13*VLOOKUP($P13,'Standard data'!AX$452:BB$473,2,FALSE))</f>
        <v>0</v>
      </c>
      <c r="CD13" s="244">
        <f>IF(ISBLANK($P13),0,CB13*VLOOKUP($P13,'Standard data'!AX$452:BB$473,3,FALSE))</f>
        <v>0</v>
      </c>
      <c r="CE13" s="244">
        <f t="shared" si="15"/>
        <v>0</v>
      </c>
      <c r="CF13" s="271">
        <f t="shared" si="9"/>
        <v>0</v>
      </c>
      <c r="CG13" s="204"/>
      <c r="CH13" s="171"/>
      <c r="CI13" s="171"/>
      <c r="CJ13" s="171"/>
      <c r="CK13" s="171"/>
      <c r="CL13" s="171"/>
      <c r="CM13" s="171"/>
      <c r="CN13" s="171"/>
      <c r="CO13" s="171"/>
      <c r="CP13" s="171"/>
      <c r="CQ13" s="171"/>
      <c r="CR13" s="171"/>
      <c r="CS13" s="171"/>
      <c r="CT13" s="171"/>
      <c r="CU13" s="171"/>
    </row>
    <row r="14" spans="1:109" s="18" customFormat="1" ht="30">
      <c r="B14" s="211" t="s">
        <v>396</v>
      </c>
      <c r="C14" s="211"/>
      <c r="D14" s="211" t="s">
        <v>396</v>
      </c>
      <c r="E14" s="211"/>
      <c r="F14" s="211" t="s">
        <v>397</v>
      </c>
      <c r="G14" s="211"/>
      <c r="H14" s="211" t="s">
        <v>396</v>
      </c>
      <c r="I14" s="211"/>
      <c r="J14" s="211" t="s">
        <v>397</v>
      </c>
      <c r="K14" s="211"/>
      <c r="L14" s="211" t="s">
        <v>397</v>
      </c>
      <c r="M14" s="211"/>
      <c r="N14" s="211" t="s">
        <v>398</v>
      </c>
      <c r="O14" s="211"/>
      <c r="P14" s="211" t="s">
        <v>398</v>
      </c>
      <c r="Q14" s="273"/>
      <c r="R14" s="274"/>
      <c r="S14" s="244">
        <f>IF(ISBLANK(B14),0,VLOOKUP(B14,'Standard data'!$B$413:$V$442,$C$4-6,FALSE))</f>
        <v>5.0000000000000001E-3</v>
      </c>
      <c r="T14" s="244">
        <f>IF(ISBLANK(B14),0,VLOOKUP(B14,'Standard data'!$B$413:$V$442,2,FALSE))</f>
        <v>0</v>
      </c>
      <c r="U14" s="244">
        <f>IF(ISBLANK(D14),0,VLOOKUP(D14,'Standard data'!$B$413:$V$442,$C$4-6,FALSE))</f>
        <v>5.0000000000000001E-3</v>
      </c>
      <c r="V14" s="244">
        <f>IF(ISBLANK(D14),0,VLOOKUP(D14,'Standard data'!$B$413:$V$442,2,FALSE))</f>
        <v>0</v>
      </c>
      <c r="W14" s="244">
        <f>IF(ISBLANK(F14),0,VLOOKUP(F14,'Standard data'!$B$413:$V$442,$C$4-6,FALSE))</f>
        <v>0.04</v>
      </c>
      <c r="X14" s="244">
        <f>IF(ISBLANK(F14),0,VLOOKUP(F14,'Standard data'!$B$413:$V$442,2,FALSE))</f>
        <v>5.0000000000000001E-3</v>
      </c>
      <c r="Y14" s="244">
        <f>IF(ISBLANK(H14),0,VLOOKUP(H14,'Standard data'!$B$413:$V$442,$C$4-6,FALSE))</f>
        <v>5.0000000000000001E-3</v>
      </c>
      <c r="Z14" s="244">
        <f>IF(ISBLANK(H14),0,VLOOKUP(H14,'Standard data'!$B$413:$V$442,2,FALSE))</f>
        <v>0</v>
      </c>
      <c r="AA14" s="244">
        <f>IF(ISBLANK(J14),0,VLOOKUP(J14,'Standard data'!$B$413:$V$442,$C$4-6,FALSE))</f>
        <v>0.04</v>
      </c>
      <c r="AB14" s="244">
        <f>IF(ISBLANK(J14),0,VLOOKUP(J14,'Standard data'!$B$413:$V$442,2,FALSE))</f>
        <v>5.0000000000000001E-3</v>
      </c>
      <c r="AC14" s="244">
        <f>IF(ISBLANK(L14),0,VLOOKUP(L14,'Standard data'!$B$413:$V$442,$C$4-6,FALSE))</f>
        <v>0.04</v>
      </c>
      <c r="AD14" s="244">
        <f>IF(ISBLANK(L14),0,VLOOKUP(L14,'Standard data'!$B$413:$V$442,2,FALSE))</f>
        <v>5.0000000000000001E-3</v>
      </c>
      <c r="AE14" s="244">
        <f>IF(ISBLANK(N14),,VLOOKUP(N14,'Standard data'!$B$413:$V$442,$C$4-6,FALSE))</f>
        <v>1.4999999999999999E-2</v>
      </c>
      <c r="AF14" s="244">
        <f>IF(ISBLANK(N14),0,VLOOKUP(N14,'Standard data'!$B$413:$V$442,2,FALSE))</f>
        <v>0.02</v>
      </c>
      <c r="AG14" s="244">
        <f>IF(ISBLANK(P14),0,VLOOKUP(P14,'Standard data'!$B$413:$V$442,$C$4-6,FALSE))</f>
        <v>1.4999999999999999E-2</v>
      </c>
      <c r="AH14" s="244">
        <f>IF(ISBLANK(P14),0,VLOOKUP(P14,'Standard data'!$B$413:$V$442,2,FALSE))</f>
        <v>0.02</v>
      </c>
      <c r="AI14" s="171"/>
      <c r="AJ14" s="171"/>
      <c r="AK14" s="244" t="str">
        <f>IF(ISBLANK(B14),"",VLOOKUP(B14,'Standard data'!$B$373:$D$402,3,FALSE))</f>
        <v>liquid</v>
      </c>
      <c r="AL14" s="244">
        <f>Manure!C14/100*AL$7</f>
        <v>0</v>
      </c>
      <c r="AM14" s="244">
        <f>IF(ISBLANK($B14),0,AL14*VLOOKUP($B14,'Standard data'!B$452:F$473,2,FALSE))</f>
        <v>0</v>
      </c>
      <c r="AN14" s="244">
        <f>IF(ISBLANK($B14),0,AL14*VLOOKUP($B14,'Standard data'!B$452:F$473,3,FALSE))</f>
        <v>0</v>
      </c>
      <c r="AO14" s="244">
        <f t="shared" si="0"/>
        <v>0</v>
      </c>
      <c r="AP14" s="244">
        <f t="shared" si="10"/>
        <v>0</v>
      </c>
      <c r="AQ14" s="244" t="str">
        <f>IF(ISBLANK(D14),"",VLOOKUP(D14,'Standard data'!$B$373:$D$402,3,FALSE))</f>
        <v>liquid</v>
      </c>
      <c r="AR14" s="244">
        <f>Manure!E14/100*AR$7</f>
        <v>0</v>
      </c>
      <c r="AS14" s="244">
        <f>IF(ISBLANK($D14),0,AR14*VLOOKUP($D14,'Standard data'!H$452:L$473,2,FALSE))</f>
        <v>0</v>
      </c>
      <c r="AT14" s="244">
        <f>IF(ISBLANK($D14),0,AR14*VLOOKUP($D14,'Standard data'!$H$452:$L$473,3,FALSE))</f>
        <v>0</v>
      </c>
      <c r="AU14" s="244">
        <f t="shared" si="1"/>
        <v>0</v>
      </c>
      <c r="AV14" s="244">
        <f t="shared" si="2"/>
        <v>0</v>
      </c>
      <c r="AW14" s="244" t="str">
        <f>IF(ISBLANK(F14),"",VLOOKUP(F14,'Standard data'!$B$373:$D$402,3,FALSE))</f>
        <v>solid</v>
      </c>
      <c r="AX14" s="244">
        <f>Manure!G14/100*AX$7</f>
        <v>0</v>
      </c>
      <c r="AY14" s="244">
        <f>IF(ISBLANK($F14),0,$AX14*VLOOKUP($F14,'Standard data'!N$452:R$473,2,FALSE))</f>
        <v>0</v>
      </c>
      <c r="AZ14" s="244">
        <f>IF(ISBLANK($F14),0,$AX14*VLOOKUP($F14,'Standard data'!N$452:R$473,3,FALSE))</f>
        <v>0</v>
      </c>
      <c r="BA14" s="244">
        <f t="shared" si="11"/>
        <v>0</v>
      </c>
      <c r="BB14" s="244">
        <f t="shared" si="3"/>
        <v>0</v>
      </c>
      <c r="BC14" s="244" t="str">
        <f>IF(ISBLANK(H14),"",VLOOKUP(H14,'Standard data'!$B$373:$D$402,3,FALSE))</f>
        <v>liquid</v>
      </c>
      <c r="BD14" s="244">
        <f>Manure!I14/100*BD$7</f>
        <v>0</v>
      </c>
      <c r="BE14" s="244">
        <f>IF(ISBLANK($H14),0,BD14*VLOOKUP($H14,'Standard data'!Z$452:AD$473,2,FALSE))</f>
        <v>0</v>
      </c>
      <c r="BF14" s="244">
        <f>IF(ISBLANK($H14),0,BD14*VLOOKUP($H14,'Standard data'!Z$452:AD$473,3,FALSE))</f>
        <v>0</v>
      </c>
      <c r="BG14" s="244">
        <f t="shared" si="12"/>
        <v>0</v>
      </c>
      <c r="BH14" s="244">
        <f t="shared" si="4"/>
        <v>0</v>
      </c>
      <c r="BI14" s="244" t="str">
        <f>IF(ISBLANK(J14),"",VLOOKUP(J14,'Standard data'!$B$373:$D$402,3,FALSE))</f>
        <v>solid</v>
      </c>
      <c r="BJ14" s="244">
        <f>Manure!K14/100*BJ$7</f>
        <v>0</v>
      </c>
      <c r="BK14" s="244">
        <f>IF(ISBLANK($J14),0,BJ14*VLOOKUP($J14,'Standard data'!AF$452:AJ$473,2,FALSE))</f>
        <v>0</v>
      </c>
      <c r="BL14" s="244">
        <f>IF(ISBLANK($J14),0,BJ14*VLOOKUP($J14,'Standard data'!AF$452:AJ$473,3,FALSE))</f>
        <v>0</v>
      </c>
      <c r="BM14" s="244">
        <f t="shared" si="13"/>
        <v>0</v>
      </c>
      <c r="BN14" s="244">
        <f t="shared" si="5"/>
        <v>0</v>
      </c>
      <c r="BO14" s="244" t="str">
        <f>IF(ISBLANK(L14),"",VLOOKUP(L14,'Standard data'!$B$373:$D$402,3,FALSE))</f>
        <v>solid</v>
      </c>
      <c r="BP14" s="244">
        <f>Manure!M14/100*BP$7</f>
        <v>0</v>
      </c>
      <c r="BQ14" s="244">
        <f>IF(ISBLANK($L14),0,BP14*VLOOKUP($L14,'Standard data'!AL$452:AP$473,2,FALSE))</f>
        <v>0</v>
      </c>
      <c r="BR14" s="244">
        <f>IF(ISBLANK($L14),0,BP14*VLOOKUP($L14,'Standard data'!AL$452:AP$473,3,FALSE))</f>
        <v>0</v>
      </c>
      <c r="BS14" s="244">
        <f t="shared" si="6"/>
        <v>0</v>
      </c>
      <c r="BT14" s="244">
        <f t="shared" si="7"/>
        <v>0</v>
      </c>
      <c r="BU14" s="244" t="str">
        <f>IF(ISBLANK(N14),"",VLOOKUP(N14,'Standard data'!$B$373:$D$402,3,FALSE))</f>
        <v>liquid</v>
      </c>
      <c r="BV14" s="244">
        <f>Manure!O14/100*BV$7</f>
        <v>0</v>
      </c>
      <c r="BW14" s="244">
        <f>IF(ISBLANK($N14),0,BV14*VLOOKUP($N14,'Standard data'!AR$452:AV$473,2,FALSE))</f>
        <v>0</v>
      </c>
      <c r="BX14" s="244">
        <f>IF(ISBLANK($N14),0,BV14*VLOOKUP($N14,'Standard data'!AR$452:AV$473,3,FALSE))</f>
        <v>0</v>
      </c>
      <c r="BY14" s="244">
        <f t="shared" si="14"/>
        <v>0</v>
      </c>
      <c r="BZ14" s="244">
        <f t="shared" si="8"/>
        <v>0</v>
      </c>
      <c r="CA14" s="244" t="str">
        <f>IF(ISBLANK(P14),"",VLOOKUP(P14,'Standard data'!$B$373:$D$402,3,FALSE))</f>
        <v>liquid</v>
      </c>
      <c r="CB14" s="244">
        <f>Manure!Q14/100*CB$7</f>
        <v>0</v>
      </c>
      <c r="CC14" s="244">
        <f>IF(ISBLANK($P14),0,CB14*VLOOKUP($P14,'Standard data'!AX$452:BB$473,2,FALSE))</f>
        <v>0</v>
      </c>
      <c r="CD14" s="244">
        <f>IF(ISBLANK($P14),0,CB14*VLOOKUP($P14,'Standard data'!AX$452:BB$473,3,FALSE))</f>
        <v>0</v>
      </c>
      <c r="CE14" s="244">
        <f t="shared" si="15"/>
        <v>0</v>
      </c>
      <c r="CF14" s="271">
        <f t="shared" si="9"/>
        <v>0</v>
      </c>
      <c r="CG14" s="204"/>
      <c r="CH14" s="171"/>
      <c r="CI14" s="171"/>
      <c r="CJ14" s="171"/>
      <c r="CK14" s="171"/>
      <c r="CL14" s="171"/>
      <c r="CM14" s="171"/>
      <c r="CN14" s="171"/>
      <c r="CO14" s="171"/>
      <c r="CP14" s="171"/>
      <c r="CQ14" s="171"/>
      <c r="CR14" s="171"/>
      <c r="CS14" s="171"/>
      <c r="CT14" s="171"/>
      <c r="CU14" s="171"/>
    </row>
    <row r="15" spans="1:109" s="18" customFormat="1" ht="30">
      <c r="B15" s="211" t="s">
        <v>396</v>
      </c>
      <c r="C15" s="211"/>
      <c r="D15" s="211" t="s">
        <v>396</v>
      </c>
      <c r="E15" s="211"/>
      <c r="F15" s="211" t="s">
        <v>397</v>
      </c>
      <c r="G15" s="211"/>
      <c r="H15" s="211" t="s">
        <v>396</v>
      </c>
      <c r="I15" s="211"/>
      <c r="J15" s="211" t="s">
        <v>397</v>
      </c>
      <c r="K15" s="211"/>
      <c r="L15" s="211" t="s">
        <v>397</v>
      </c>
      <c r="M15" s="211"/>
      <c r="N15" s="211" t="s">
        <v>398</v>
      </c>
      <c r="O15" s="211"/>
      <c r="P15" s="211" t="s">
        <v>398</v>
      </c>
      <c r="Q15" s="273"/>
      <c r="R15" s="274"/>
      <c r="S15" s="244">
        <f>IF(ISBLANK(B15),0,VLOOKUP(B15,'Standard data'!$B$413:$V$442,$C$4-6,FALSE))</f>
        <v>5.0000000000000001E-3</v>
      </c>
      <c r="T15" s="244">
        <f>IF(ISBLANK(B15),0,VLOOKUP(B15,'Standard data'!$B$413:$V$442,2,FALSE))</f>
        <v>0</v>
      </c>
      <c r="U15" s="244">
        <f>IF(ISBLANK(D15),0,VLOOKUP(D15,'Standard data'!$B$413:$V$442,$C$4-6,FALSE))</f>
        <v>5.0000000000000001E-3</v>
      </c>
      <c r="V15" s="244">
        <f>IF(ISBLANK(D15),0,VLOOKUP(D15,'Standard data'!$B$413:$V$442,2,FALSE))</f>
        <v>0</v>
      </c>
      <c r="W15" s="244">
        <f>IF(ISBLANK(F15),0,VLOOKUP(F15,'Standard data'!$B$413:$V$442,$C$4-6,FALSE))</f>
        <v>0.04</v>
      </c>
      <c r="X15" s="244">
        <f>IF(ISBLANK(F15),0,VLOOKUP(F15,'Standard data'!$B$413:$V$442,2,FALSE))</f>
        <v>5.0000000000000001E-3</v>
      </c>
      <c r="Y15" s="244">
        <f>IF(ISBLANK(H15),0,VLOOKUP(H15,'Standard data'!$B$413:$V$442,$C$4-6,FALSE))</f>
        <v>5.0000000000000001E-3</v>
      </c>
      <c r="Z15" s="244">
        <f>IF(ISBLANK(H15),0,VLOOKUP(H15,'Standard data'!$B$413:$V$442,2,FALSE))</f>
        <v>0</v>
      </c>
      <c r="AA15" s="244">
        <f>IF(ISBLANK(J15),0,VLOOKUP(J15,'Standard data'!$B$413:$V$442,$C$4-6,FALSE))</f>
        <v>0.04</v>
      </c>
      <c r="AB15" s="244">
        <f>IF(ISBLANK(J15),0,VLOOKUP(J15,'Standard data'!$B$413:$V$442,2,FALSE))</f>
        <v>5.0000000000000001E-3</v>
      </c>
      <c r="AC15" s="244">
        <f>IF(ISBLANK(L15),0,VLOOKUP(L15,'Standard data'!$B$413:$V$442,$C$4-6,FALSE))</f>
        <v>0.04</v>
      </c>
      <c r="AD15" s="244">
        <f>IF(ISBLANK(L15),0,VLOOKUP(L15,'Standard data'!$B$413:$V$442,2,FALSE))</f>
        <v>5.0000000000000001E-3</v>
      </c>
      <c r="AE15" s="244">
        <f>IF(ISBLANK(N15),,VLOOKUP(N15,'Standard data'!$B$413:$V$442,$C$4-6,FALSE))</f>
        <v>1.4999999999999999E-2</v>
      </c>
      <c r="AF15" s="244">
        <f>IF(ISBLANK(N15),0,VLOOKUP(N15,'Standard data'!$B$413:$V$442,2,FALSE))</f>
        <v>0.02</v>
      </c>
      <c r="AG15" s="244">
        <f>IF(ISBLANK(P15),0,VLOOKUP(P15,'Standard data'!$B$413:$V$442,$C$4-6,FALSE))</f>
        <v>1.4999999999999999E-2</v>
      </c>
      <c r="AH15" s="244">
        <f>IF(ISBLANK(P15),0,VLOOKUP(P15,'Standard data'!$B$413:$V$442,2,FALSE))</f>
        <v>0.02</v>
      </c>
      <c r="AI15" s="171"/>
      <c r="AJ15" s="171"/>
      <c r="AK15" s="244" t="str">
        <f>IF(ISBLANK(B15),"",VLOOKUP(B15,'Standard data'!$B$373:$D$402,3,FALSE))</f>
        <v>liquid</v>
      </c>
      <c r="AL15" s="244">
        <f>Manure!C15/100*AL$7</f>
        <v>0</v>
      </c>
      <c r="AM15" s="244">
        <f>IF(ISBLANK($B15),0,AL15*VLOOKUP($B15,'Standard data'!B$452:F$473,2,FALSE))</f>
        <v>0</v>
      </c>
      <c r="AN15" s="244">
        <f>IF(ISBLANK($B15),0,AL15*VLOOKUP($B15,'Standard data'!B$452:F$473,3,FALSE))</f>
        <v>0</v>
      </c>
      <c r="AO15" s="244">
        <f t="shared" si="0"/>
        <v>0</v>
      </c>
      <c r="AP15" s="244">
        <f t="shared" si="10"/>
        <v>0</v>
      </c>
      <c r="AQ15" s="244" t="str">
        <f>IF(ISBLANK(D15),"",VLOOKUP(D15,'Standard data'!$B$373:$D$402,3,FALSE))</f>
        <v>liquid</v>
      </c>
      <c r="AR15" s="244">
        <f>Manure!E15/100*AR$7</f>
        <v>0</v>
      </c>
      <c r="AS15" s="244">
        <f>IF(ISBLANK($D15),0,AR15*VLOOKUP($D15,'Standard data'!H$452:L$473,2,FALSE))</f>
        <v>0</v>
      </c>
      <c r="AT15" s="244">
        <f>IF(ISBLANK($D15),0,AR15*VLOOKUP($D15,'Standard data'!$H$452:$L$473,3,FALSE))</f>
        <v>0</v>
      </c>
      <c r="AU15" s="244">
        <f t="shared" si="1"/>
        <v>0</v>
      </c>
      <c r="AV15" s="244">
        <f t="shared" si="2"/>
        <v>0</v>
      </c>
      <c r="AW15" s="244" t="str">
        <f>IF(ISBLANK(F15),"",VLOOKUP(F15,'Standard data'!$B$373:$D$402,3,FALSE))</f>
        <v>solid</v>
      </c>
      <c r="AX15" s="244">
        <f>Manure!G15/100*AX$7</f>
        <v>0</v>
      </c>
      <c r="AY15" s="244">
        <f>IF(ISBLANK($F15),0,$AX15*VLOOKUP($F15,'Standard data'!N$452:R$473,2,FALSE))</f>
        <v>0</v>
      </c>
      <c r="AZ15" s="244">
        <f>IF(ISBLANK($F15),0,$AX15*VLOOKUP($F15,'Standard data'!N$452:R$473,3,FALSE))</f>
        <v>0</v>
      </c>
      <c r="BA15" s="244">
        <f t="shared" si="11"/>
        <v>0</v>
      </c>
      <c r="BB15" s="244">
        <f t="shared" si="3"/>
        <v>0</v>
      </c>
      <c r="BC15" s="244" t="str">
        <f>IF(ISBLANK(H15),"",VLOOKUP(H15,'Standard data'!$B$373:$D$402,3,FALSE))</f>
        <v>liquid</v>
      </c>
      <c r="BD15" s="244">
        <f>Manure!I15/100*BD$7</f>
        <v>0</v>
      </c>
      <c r="BE15" s="244">
        <f>IF(ISBLANK($H15),0,BD15*VLOOKUP($H15,'Standard data'!Z$452:AD$473,2,FALSE))</f>
        <v>0</v>
      </c>
      <c r="BF15" s="244">
        <f>IF(ISBLANK($H15),0,BD15*VLOOKUP($H15,'Standard data'!Z$452:AD$473,3,FALSE))</f>
        <v>0</v>
      </c>
      <c r="BG15" s="244">
        <f t="shared" si="12"/>
        <v>0</v>
      </c>
      <c r="BH15" s="244">
        <f t="shared" si="4"/>
        <v>0</v>
      </c>
      <c r="BI15" s="244" t="str">
        <f>IF(ISBLANK(J15),"",VLOOKUP(J15,'Standard data'!$B$373:$D$402,3,FALSE))</f>
        <v>solid</v>
      </c>
      <c r="BJ15" s="244">
        <f>Manure!K15/100*BJ$7</f>
        <v>0</v>
      </c>
      <c r="BK15" s="244">
        <f>IF(ISBLANK($J15),0,BJ15*VLOOKUP($J15,'Standard data'!AF$452:AJ$473,2,FALSE))</f>
        <v>0</v>
      </c>
      <c r="BL15" s="244">
        <f>IF(ISBLANK($J15),0,BJ15*VLOOKUP($J15,'Standard data'!AF$452:AJ$473,3,FALSE))</f>
        <v>0</v>
      </c>
      <c r="BM15" s="244">
        <f t="shared" si="13"/>
        <v>0</v>
      </c>
      <c r="BN15" s="244">
        <f t="shared" si="5"/>
        <v>0</v>
      </c>
      <c r="BO15" s="244" t="str">
        <f>IF(ISBLANK(L15),"",VLOOKUP(L15,'Standard data'!$B$373:$D$402,3,FALSE))</f>
        <v>solid</v>
      </c>
      <c r="BP15" s="244">
        <f>Manure!M15/100*BP$7</f>
        <v>0</v>
      </c>
      <c r="BQ15" s="244">
        <f>IF(ISBLANK($L15),0,BP15*VLOOKUP($L15,'Standard data'!AL$452:AP$473,2,FALSE))</f>
        <v>0</v>
      </c>
      <c r="BR15" s="244">
        <f>IF(ISBLANK($L15),0,BP15*VLOOKUP($L15,'Standard data'!AL$452:AP$473,3,FALSE))</f>
        <v>0</v>
      </c>
      <c r="BS15" s="244">
        <f t="shared" si="6"/>
        <v>0</v>
      </c>
      <c r="BT15" s="244">
        <f t="shared" si="7"/>
        <v>0</v>
      </c>
      <c r="BU15" s="244" t="str">
        <f>IF(ISBLANK(N15),"",VLOOKUP(N15,'Standard data'!$B$373:$D$402,3,FALSE))</f>
        <v>liquid</v>
      </c>
      <c r="BV15" s="244">
        <f>Manure!O15/100*BV$7</f>
        <v>0</v>
      </c>
      <c r="BW15" s="244">
        <f>IF(ISBLANK($N15),0,BV15*VLOOKUP($N15,'Standard data'!AR$452:AV$473,2,FALSE))</f>
        <v>0</v>
      </c>
      <c r="BX15" s="244">
        <f>IF(ISBLANK($N15),0,BV15*VLOOKUP($N15,'Standard data'!AR$452:AV$473,3,FALSE))</f>
        <v>0</v>
      </c>
      <c r="BY15" s="244">
        <f t="shared" si="14"/>
        <v>0</v>
      </c>
      <c r="BZ15" s="244">
        <f t="shared" si="8"/>
        <v>0</v>
      </c>
      <c r="CA15" s="244" t="str">
        <f>IF(ISBLANK(P15),"",VLOOKUP(P15,'Standard data'!$B$373:$D$402,3,FALSE))</f>
        <v>liquid</v>
      </c>
      <c r="CB15" s="244">
        <f>Manure!Q15/100*CB$7</f>
        <v>0</v>
      </c>
      <c r="CC15" s="244">
        <f>IF(ISBLANK($P15),0,CB15*VLOOKUP($P15,'Standard data'!AX$452:BB$473,2,FALSE))</f>
        <v>0</v>
      </c>
      <c r="CD15" s="244">
        <f>IF(ISBLANK($P15),0,CB15*VLOOKUP($P15,'Standard data'!AX$452:BB$473,3,FALSE))</f>
        <v>0</v>
      </c>
      <c r="CE15" s="244">
        <f t="shared" si="15"/>
        <v>0</v>
      </c>
      <c r="CF15" s="271">
        <f t="shared" si="9"/>
        <v>0</v>
      </c>
      <c r="CG15" s="204"/>
      <c r="CH15" s="171"/>
      <c r="CI15" s="171"/>
      <c r="CJ15" s="171"/>
      <c r="CK15" s="171"/>
      <c r="CL15" s="171"/>
      <c r="CM15" s="171"/>
      <c r="CN15" s="171"/>
      <c r="CO15" s="171"/>
      <c r="CP15" s="171"/>
      <c r="CQ15" s="171"/>
      <c r="CR15" s="171"/>
      <c r="CS15" s="171"/>
      <c r="CT15" s="171"/>
      <c r="CU15" s="171"/>
    </row>
    <row r="16" spans="1:109" s="18" customFormat="1" ht="30">
      <c r="B16" s="211" t="s">
        <v>396</v>
      </c>
      <c r="C16" s="211"/>
      <c r="D16" s="211" t="s">
        <v>396</v>
      </c>
      <c r="E16" s="211"/>
      <c r="F16" s="211" t="s">
        <v>397</v>
      </c>
      <c r="G16" s="211"/>
      <c r="H16" s="211" t="s">
        <v>396</v>
      </c>
      <c r="I16" s="211"/>
      <c r="J16" s="211" t="s">
        <v>397</v>
      </c>
      <c r="K16" s="211"/>
      <c r="L16" s="211" t="s">
        <v>397</v>
      </c>
      <c r="M16" s="211"/>
      <c r="N16" s="211" t="s">
        <v>398</v>
      </c>
      <c r="O16" s="211"/>
      <c r="P16" s="211" t="s">
        <v>398</v>
      </c>
      <c r="Q16" s="273"/>
      <c r="R16" s="274"/>
      <c r="S16" s="244">
        <f>IF(ISBLANK(B16),0,VLOOKUP(B16,'Standard data'!$B$413:$V$442,$C$4-6,FALSE))</f>
        <v>5.0000000000000001E-3</v>
      </c>
      <c r="T16" s="244">
        <f>IF(ISBLANK(B16),0,VLOOKUP(B16,'Standard data'!$B$413:$V$442,2,FALSE))</f>
        <v>0</v>
      </c>
      <c r="U16" s="244">
        <f>IF(ISBLANK(D16),0,VLOOKUP(D16,'Standard data'!$B$413:$V$442,$C$4-6,FALSE))</f>
        <v>5.0000000000000001E-3</v>
      </c>
      <c r="V16" s="244">
        <f>IF(ISBLANK(D16),0,VLOOKUP(D16,'Standard data'!$B$413:$V$442,2,FALSE))</f>
        <v>0</v>
      </c>
      <c r="W16" s="244">
        <f>IF(ISBLANK(F16),0,VLOOKUP(F16,'Standard data'!$B$413:$V$442,$C$4-6,FALSE))</f>
        <v>0.04</v>
      </c>
      <c r="X16" s="244">
        <f>IF(ISBLANK(F16),0,VLOOKUP(F16,'Standard data'!$B$413:$V$442,2,FALSE))</f>
        <v>5.0000000000000001E-3</v>
      </c>
      <c r="Y16" s="244">
        <f>IF(ISBLANK(H16),0,VLOOKUP(H16,'Standard data'!$B$413:$V$442,$C$4-6,FALSE))</f>
        <v>5.0000000000000001E-3</v>
      </c>
      <c r="Z16" s="244">
        <f>IF(ISBLANK(H16),0,VLOOKUP(H16,'Standard data'!$B$413:$V$442,2,FALSE))</f>
        <v>0</v>
      </c>
      <c r="AA16" s="244">
        <f>IF(ISBLANK(J16),0,VLOOKUP(J16,'Standard data'!$B$413:$V$442,$C$4-6,FALSE))</f>
        <v>0.04</v>
      </c>
      <c r="AB16" s="244">
        <f>IF(ISBLANK(J16),0,VLOOKUP(J16,'Standard data'!$B$413:$V$442,2,FALSE))</f>
        <v>5.0000000000000001E-3</v>
      </c>
      <c r="AC16" s="244">
        <f>IF(ISBLANK(L16),0,VLOOKUP(L16,'Standard data'!$B$413:$V$442,$C$4-6,FALSE))</f>
        <v>0.04</v>
      </c>
      <c r="AD16" s="244">
        <f>IF(ISBLANK(L16),0,VLOOKUP(L16,'Standard data'!$B$413:$V$442,2,FALSE))</f>
        <v>5.0000000000000001E-3</v>
      </c>
      <c r="AE16" s="244">
        <f>IF(ISBLANK(N16),,VLOOKUP(N16,'Standard data'!$B$413:$V$442,$C$4-6,FALSE))</f>
        <v>1.4999999999999999E-2</v>
      </c>
      <c r="AF16" s="244">
        <f>IF(ISBLANK(N16),0,VLOOKUP(N16,'Standard data'!$B$413:$V$442,2,FALSE))</f>
        <v>0.02</v>
      </c>
      <c r="AG16" s="244">
        <f>IF(ISBLANK(P16),0,VLOOKUP(P16,'Standard data'!$B$413:$V$442,$C$4-6,FALSE))</f>
        <v>1.4999999999999999E-2</v>
      </c>
      <c r="AH16" s="244">
        <f>IF(ISBLANK(P16),0,VLOOKUP(P16,'Standard data'!$B$413:$V$442,2,FALSE))</f>
        <v>0.02</v>
      </c>
      <c r="AI16" s="171"/>
      <c r="AJ16" s="171"/>
      <c r="AK16" s="244" t="str">
        <f>IF(ISBLANK(B16),"",VLOOKUP(B16,'Standard data'!$B$373:$D$402,3,FALSE))</f>
        <v>liquid</v>
      </c>
      <c r="AL16" s="244">
        <f>Manure!C16/100*AL$7</f>
        <v>0</v>
      </c>
      <c r="AM16" s="244">
        <f>IF(ISBLANK($B16),0,AL16*VLOOKUP($B16,'Standard data'!B$452:F$473,2,FALSE))</f>
        <v>0</v>
      </c>
      <c r="AN16" s="244">
        <f>IF(ISBLANK($B16),0,AL16*VLOOKUP($B16,'Standard data'!B$452:F$473,3,FALSE))</f>
        <v>0</v>
      </c>
      <c r="AO16" s="244">
        <f t="shared" si="0"/>
        <v>0</v>
      </c>
      <c r="AP16" s="244">
        <f t="shared" si="10"/>
        <v>0</v>
      </c>
      <c r="AQ16" s="244" t="str">
        <f>IF(ISBLANK(D16),"",VLOOKUP(D16,'Standard data'!$B$373:$D$402,3,FALSE))</f>
        <v>liquid</v>
      </c>
      <c r="AR16" s="244">
        <f>Manure!E16/100*AR$7</f>
        <v>0</v>
      </c>
      <c r="AS16" s="244">
        <f>IF(ISBLANK($D16),0,AR16*VLOOKUP($D16,'Standard data'!H$452:L$473,2,FALSE))</f>
        <v>0</v>
      </c>
      <c r="AT16" s="244">
        <f>IF(ISBLANK($D16),0,AR16*VLOOKUP($D16,'Standard data'!$H$452:$L$473,3,FALSE))</f>
        <v>0</v>
      </c>
      <c r="AU16" s="244">
        <f t="shared" si="1"/>
        <v>0</v>
      </c>
      <c r="AV16" s="244">
        <f t="shared" si="2"/>
        <v>0</v>
      </c>
      <c r="AW16" s="244" t="str">
        <f>IF(ISBLANK(F16),"",VLOOKUP(F16,'Standard data'!$B$373:$D$402,3,FALSE))</f>
        <v>solid</v>
      </c>
      <c r="AX16" s="244">
        <f>Manure!G16/100*AX$7</f>
        <v>0</v>
      </c>
      <c r="AY16" s="244">
        <f>IF(ISBLANK($F16),0,$AX16*VLOOKUP($F16,'Standard data'!N$452:R$473,2,FALSE))</f>
        <v>0</v>
      </c>
      <c r="AZ16" s="244">
        <f>IF(ISBLANK($F16),0,$AX16*VLOOKUP($F16,'Standard data'!N$452:R$473,3,FALSE))</f>
        <v>0</v>
      </c>
      <c r="BA16" s="244">
        <f t="shared" si="11"/>
        <v>0</v>
      </c>
      <c r="BB16" s="244">
        <f t="shared" si="3"/>
        <v>0</v>
      </c>
      <c r="BC16" s="244" t="str">
        <f>IF(ISBLANK(H16),"",VLOOKUP(H16,'Standard data'!$B$373:$D$402,3,FALSE))</f>
        <v>liquid</v>
      </c>
      <c r="BD16" s="244">
        <f>Manure!I16/100*BD$7</f>
        <v>0</v>
      </c>
      <c r="BE16" s="244">
        <f>IF(ISBLANK($H16),0,BD16*VLOOKUP($H16,'Standard data'!Z$452:AD$473,2,FALSE))</f>
        <v>0</v>
      </c>
      <c r="BF16" s="244">
        <f>IF(ISBLANK($H16),0,BD16*VLOOKUP($H16,'Standard data'!Z$452:AD$473,3,FALSE))</f>
        <v>0</v>
      </c>
      <c r="BG16" s="244">
        <f t="shared" si="12"/>
        <v>0</v>
      </c>
      <c r="BH16" s="244">
        <f t="shared" si="4"/>
        <v>0</v>
      </c>
      <c r="BI16" s="244" t="str">
        <f>IF(ISBLANK(J16),"",VLOOKUP(J16,'Standard data'!$B$373:$D$402,3,FALSE))</f>
        <v>solid</v>
      </c>
      <c r="BJ16" s="244">
        <f>Manure!K16/100*BJ$7</f>
        <v>0</v>
      </c>
      <c r="BK16" s="244">
        <f>IF(ISBLANK($J16),0,BJ16*VLOOKUP($J16,'Standard data'!AF$452:AJ$473,2,FALSE))</f>
        <v>0</v>
      </c>
      <c r="BL16" s="244">
        <f>IF(ISBLANK($J16),0,BJ16*VLOOKUP($J16,'Standard data'!AF$452:AJ$473,3,FALSE))</f>
        <v>0</v>
      </c>
      <c r="BM16" s="244">
        <f t="shared" si="13"/>
        <v>0</v>
      </c>
      <c r="BN16" s="244">
        <f t="shared" si="5"/>
        <v>0</v>
      </c>
      <c r="BO16" s="244" t="str">
        <f>IF(ISBLANK(L16),"",VLOOKUP(L16,'Standard data'!$B$373:$D$402,3,FALSE))</f>
        <v>solid</v>
      </c>
      <c r="BP16" s="244">
        <f>Manure!M16/100*BP$7</f>
        <v>0</v>
      </c>
      <c r="BQ16" s="244">
        <f>IF(ISBLANK($L16),0,BP16*VLOOKUP($L16,'Standard data'!AL$452:AP$473,2,FALSE))</f>
        <v>0</v>
      </c>
      <c r="BR16" s="244">
        <f>IF(ISBLANK($L16),0,BP16*VLOOKUP($L16,'Standard data'!AL$452:AP$473,3,FALSE))</f>
        <v>0</v>
      </c>
      <c r="BS16" s="244">
        <f t="shared" si="6"/>
        <v>0</v>
      </c>
      <c r="BT16" s="244">
        <f t="shared" si="7"/>
        <v>0</v>
      </c>
      <c r="BU16" s="244" t="str">
        <f>IF(ISBLANK(N16),"",VLOOKUP(N16,'Standard data'!$B$373:$D$402,3,FALSE))</f>
        <v>liquid</v>
      </c>
      <c r="BV16" s="244">
        <f>Manure!O16/100*BV$7</f>
        <v>0</v>
      </c>
      <c r="BW16" s="244">
        <f>IF(ISBLANK($N16),0,BV16*VLOOKUP($N16,'Standard data'!AR$452:AV$473,2,FALSE))</f>
        <v>0</v>
      </c>
      <c r="BX16" s="244">
        <f>IF(ISBLANK($N16),0,BV16*VLOOKUP($N16,'Standard data'!AR$452:AV$473,3,FALSE))</f>
        <v>0</v>
      </c>
      <c r="BY16" s="244">
        <f t="shared" si="14"/>
        <v>0</v>
      </c>
      <c r="BZ16" s="244">
        <f t="shared" si="8"/>
        <v>0</v>
      </c>
      <c r="CA16" s="244" t="str">
        <f>IF(ISBLANK(P16),"",VLOOKUP(P16,'Standard data'!$B$373:$D$402,3,FALSE))</f>
        <v>liquid</v>
      </c>
      <c r="CB16" s="244">
        <f>Manure!Q16/100*CB$7</f>
        <v>0</v>
      </c>
      <c r="CC16" s="244">
        <f>IF(ISBLANK($P16),0,CB16*VLOOKUP($P16,'Standard data'!AX$452:BB$473,2,FALSE))</f>
        <v>0</v>
      </c>
      <c r="CD16" s="244">
        <f>IF(ISBLANK($P16),0,CB16*VLOOKUP($P16,'Standard data'!AX$452:BB$473,3,FALSE))</f>
        <v>0</v>
      </c>
      <c r="CE16" s="244">
        <f t="shared" si="15"/>
        <v>0</v>
      </c>
      <c r="CF16" s="271">
        <f t="shared" si="9"/>
        <v>0</v>
      </c>
      <c r="CG16" s="204"/>
      <c r="CH16" s="171"/>
      <c r="CI16" s="171"/>
      <c r="CJ16" s="171"/>
      <c r="CK16" s="171"/>
      <c r="CL16" s="171"/>
      <c r="CM16" s="171"/>
      <c r="CN16" s="171"/>
      <c r="CO16" s="171"/>
      <c r="CP16" s="171"/>
      <c r="CQ16" s="171"/>
      <c r="CR16" s="171"/>
      <c r="CS16" s="171"/>
      <c r="CT16" s="171"/>
      <c r="CU16" s="171"/>
    </row>
    <row r="17" spans="2:107" s="171" customFormat="1" ht="15">
      <c r="B17" s="244" t="str">
        <f>CONCATENATE("sum for ",B7)</f>
        <v>sum for DAIRY CATTLE</v>
      </c>
      <c r="C17" s="244">
        <f>SUM(C10:C16)</f>
        <v>100</v>
      </c>
      <c r="D17" s="244" t="str">
        <f>CONCATENATE("sum for ",D7)</f>
        <v>sum for MEAT CATTLE</v>
      </c>
      <c r="E17" s="244">
        <f>SUM(E10:E16)</f>
        <v>100</v>
      </c>
      <c r="F17" s="244" t="str">
        <f>CONCATENATE("sum for ",F7)</f>
        <v>sum for SHEEP (milk and meat)</v>
      </c>
      <c r="G17" s="244">
        <f>SUM(G10:G16)</f>
        <v>100</v>
      </c>
      <c r="H17" s="244" t="s">
        <v>473</v>
      </c>
      <c r="I17" s="244">
        <f>SUM(I10:I16)</f>
        <v>100</v>
      </c>
      <c r="J17" s="244" t="s">
        <v>472</v>
      </c>
      <c r="K17" s="244">
        <f>SUM(K10:K16)</f>
        <v>100</v>
      </c>
      <c r="L17" s="244" t="s">
        <v>474</v>
      </c>
      <c r="M17" s="244">
        <f>SUM(M10:M16)</f>
        <v>100</v>
      </c>
      <c r="N17" s="244" t="s">
        <v>471</v>
      </c>
      <c r="O17" s="244">
        <f>SUM(O10:O16)</f>
        <v>100</v>
      </c>
      <c r="P17" s="244" t="s">
        <v>470</v>
      </c>
      <c r="Q17" s="244">
        <f>SUM(Q10:Q16)</f>
        <v>100</v>
      </c>
      <c r="R17" s="257" t="s">
        <v>347</v>
      </c>
      <c r="S17" s="244">
        <f>SUMPRODUCT(C10:C16,S10:S16)/100</f>
        <v>1.4999999999999999E-2</v>
      </c>
      <c r="T17" s="244"/>
      <c r="U17" s="244">
        <f>SUMPRODUCT(E10:E16,U10:U16)/100</f>
        <v>1.4999999999999999E-2</v>
      </c>
      <c r="V17" s="244"/>
      <c r="W17" s="244">
        <f>SUMPRODUCT(G10:G16,W10:W16)/100</f>
        <v>1.4999999999999999E-2</v>
      </c>
      <c r="X17" s="244"/>
      <c r="Y17" s="244">
        <f>SUMPRODUCT(I10:I16,Y10:Y16)/100</f>
        <v>1.4999999999999999E-2</v>
      </c>
      <c r="Z17" s="244"/>
      <c r="AA17" s="244">
        <f>SUMPRODUCT(K10:K16,AA10:AA16)/100</f>
        <v>1.4999999999999999E-2</v>
      </c>
      <c r="AB17" s="244"/>
      <c r="AC17" s="244">
        <f>SUMPRODUCT(M10:M16,AC10:AC16)/100</f>
        <v>1.4999999999999999E-2</v>
      </c>
      <c r="AD17" s="244"/>
      <c r="AE17" s="244">
        <f>SUMPRODUCT(O10:O16,AE10:AE16)/100</f>
        <v>1.4999999999999999E-2</v>
      </c>
      <c r="AF17" s="244"/>
      <c r="AG17" s="244">
        <f>SUMPRODUCT(Q10:Q16,AG10:AG16)/100</f>
        <v>1.4999999999999999E-2</v>
      </c>
      <c r="AH17" s="244"/>
      <c r="AJ17" s="170"/>
      <c r="AK17" s="244" t="str">
        <f>AK7</f>
        <v>DAIRY CATTLE</v>
      </c>
      <c r="AL17" s="244">
        <f>SUM(AL10:AL16)</f>
        <v>686.9325</v>
      </c>
      <c r="AM17" s="244">
        <f>SUM(AM10:AM16)</f>
        <v>68.693250000000006</v>
      </c>
      <c r="AN17" s="244">
        <f>SUM(AN10:AN16)</f>
        <v>0</v>
      </c>
      <c r="AO17" s="244">
        <f>SUM(AO10:AO16)</f>
        <v>618.23924999999997</v>
      </c>
      <c r="AP17" s="244">
        <f>SUM(AP10:AP16)</f>
        <v>13.73865</v>
      </c>
      <c r="AQ17" s="244" t="str">
        <f>AQ7</f>
        <v>MEAT CATTLE</v>
      </c>
      <c r="AR17" s="244">
        <f>SUM(AR10:AR16)</f>
        <v>181.1</v>
      </c>
      <c r="AS17" s="244">
        <f>SUM(AS10:AS16)</f>
        <v>18.11</v>
      </c>
      <c r="AT17" s="244">
        <f>SUM(AT10:AT16)</f>
        <v>0</v>
      </c>
      <c r="AU17" s="244">
        <f>SUM(AU10:AU16)</f>
        <v>162.99</v>
      </c>
      <c r="AV17" s="244">
        <f>SUM(AV10:AV16)</f>
        <v>3.6219999999999999</v>
      </c>
      <c r="AW17" s="244" t="str">
        <f>AW7</f>
        <v>SHEEP (milk and meat)</v>
      </c>
      <c r="AX17" s="244">
        <f>SUM(AX10:AX16)</f>
        <v>21.06</v>
      </c>
      <c r="AY17" s="244">
        <f>SUM(AY10:AY16)</f>
        <v>2.1059999999999999</v>
      </c>
      <c r="AZ17" s="244">
        <f>SUM(AZ10:AZ16)</f>
        <v>0</v>
      </c>
      <c r="BA17" s="244">
        <f>SUM(BA10:BA16)</f>
        <v>18.954000000000001</v>
      </c>
      <c r="BB17" s="244">
        <f>SUM(BB10:BB16)</f>
        <v>0.21059999999999998</v>
      </c>
      <c r="BC17" s="244" t="str">
        <f>BC7</f>
        <v>GOAT (milk and meat)</v>
      </c>
      <c r="BD17" s="244">
        <f>SUM(BD10:BD16)</f>
        <v>21.06</v>
      </c>
      <c r="BE17" s="244">
        <f>SUM(BE10:BE16)</f>
        <v>2.1059999999999999</v>
      </c>
      <c r="BF17" s="244">
        <f>SUM(BF10:BF16)</f>
        <v>0</v>
      </c>
      <c r="BG17" s="244">
        <f>SUM(BG10:BG16)</f>
        <v>18.954000000000001</v>
      </c>
      <c r="BH17" s="244">
        <f>SUM(BH10:BH16)</f>
        <v>0.21059999999999998</v>
      </c>
      <c r="BI17" s="244" t="str">
        <f>BI7</f>
        <v>Other RUMINANTS</v>
      </c>
      <c r="BJ17" s="244">
        <f>SUM(BJ10:BJ16)</f>
        <v>44</v>
      </c>
      <c r="BK17" s="244">
        <f>SUM(BK10:BK16)</f>
        <v>4.4000000000000004</v>
      </c>
      <c r="BL17" s="244">
        <f>SUM(BL10:BL16)</f>
        <v>0</v>
      </c>
      <c r="BM17" s="244">
        <f>SUM(BM10:BM16)</f>
        <v>39.6</v>
      </c>
      <c r="BN17" s="244">
        <f>SUM(BN10:BN16)</f>
        <v>0.44</v>
      </c>
      <c r="BO17" s="244" t="str">
        <f>BO7</f>
        <v>PIGS</v>
      </c>
      <c r="BP17" s="244">
        <f>SUM(BP10:BP16)</f>
        <v>21.02</v>
      </c>
      <c r="BQ17" s="244">
        <f>SUM(BQ10:BQ16)</f>
        <v>2.1019999999999999</v>
      </c>
      <c r="BR17" s="244">
        <f>SUM(BR10:BR16)</f>
        <v>0</v>
      </c>
      <c r="BS17" s="244">
        <f>SUM(BS10:BS16)</f>
        <v>18.917999999999999</v>
      </c>
      <c r="BT17" s="244">
        <f>SUM(BT10:BT16)</f>
        <v>0.4204</v>
      </c>
      <c r="BU17" s="244" t="str">
        <f>BU7</f>
        <v>POULTRIES</v>
      </c>
      <c r="BV17" s="244">
        <f>SUM(BV10:BV16)</f>
        <v>2.2080000000000002</v>
      </c>
      <c r="BW17" s="244">
        <f>SUM(BW10:BW16)</f>
        <v>0.22080000000000002</v>
      </c>
      <c r="BX17" s="244">
        <f>SUM(BX10:BX16)</f>
        <v>0</v>
      </c>
      <c r="BY17" s="244">
        <f>SUM(BY10:BY16)</f>
        <v>1.9872000000000001</v>
      </c>
      <c r="BZ17" s="244">
        <f>SUM(BZ10:BZ16)</f>
        <v>4.4160000000000005E-2</v>
      </c>
      <c r="CA17" s="244" t="str">
        <f>CA7</f>
        <v>Laying HENS</v>
      </c>
      <c r="CB17" s="244">
        <f>SUM(CB10:CB16)</f>
        <v>2.2080000000000002</v>
      </c>
      <c r="CC17" s="244">
        <f>SUM(CC10:CC16)</f>
        <v>0.22080000000000002</v>
      </c>
      <c r="CD17" s="244">
        <f>SUM(CD10:CD16)</f>
        <v>0</v>
      </c>
      <c r="CE17" s="244">
        <f>SUM(CE10:CE16)</f>
        <v>1.9872000000000001</v>
      </c>
      <c r="CF17" s="271">
        <f>SUM(CF10:CF16)</f>
        <v>4.4160000000000005E-2</v>
      </c>
      <c r="CG17" s="204"/>
    </row>
    <row r="18" spans="2:107" s="171" customFormat="1" ht="15">
      <c r="B18" s="244" t="s">
        <v>348</v>
      </c>
      <c r="C18" s="244" t="str">
        <f>IF(C17&lt;&gt;100,"error","Ok")</f>
        <v>Ok</v>
      </c>
      <c r="D18" s="244" t="s">
        <v>348</v>
      </c>
      <c r="E18" s="244" t="str">
        <f>IF(E17&lt;&gt;100,"error","Ok")</f>
        <v>Ok</v>
      </c>
      <c r="F18" s="244" t="s">
        <v>348</v>
      </c>
      <c r="G18" s="244" t="str">
        <f>IF(G17&lt;&gt;100,"error","Ok")</f>
        <v>Ok</v>
      </c>
      <c r="H18" s="244" t="s">
        <v>348</v>
      </c>
      <c r="I18" s="244" t="str">
        <f>IF(I17&lt;&gt;100,"error","Ok")</f>
        <v>Ok</v>
      </c>
      <c r="J18" s="244" t="s">
        <v>348</v>
      </c>
      <c r="K18" s="244" t="str">
        <f>IF(K17&lt;&gt;100,"error","Ok")</f>
        <v>Ok</v>
      </c>
      <c r="L18" s="244" t="s">
        <v>348</v>
      </c>
      <c r="M18" s="244" t="str">
        <f>IF(M17&lt;&gt;100,"error","Ok")</f>
        <v>Ok</v>
      </c>
      <c r="N18" s="244" t="s">
        <v>348</v>
      </c>
      <c r="O18" s="244" t="str">
        <f>IF(O17&lt;&gt;100,"error","Ok")</f>
        <v>Ok</v>
      </c>
      <c r="P18" s="244" t="s">
        <v>348</v>
      </c>
      <c r="Q18" s="244" t="str">
        <f>IF(Q17&lt;&gt;100,"error","Ok")</f>
        <v>Ok</v>
      </c>
      <c r="R18" s="244" t="s">
        <v>349</v>
      </c>
      <c r="S18" s="244">
        <f>SUMPRODUCT(C11:C16,S11:S16)/100</f>
        <v>0</v>
      </c>
      <c r="T18" s="244"/>
      <c r="U18" s="244">
        <f>SUMPRODUCT(E11:E16,U11:U16)/100</f>
        <v>0</v>
      </c>
      <c r="V18" s="244"/>
      <c r="W18" s="244">
        <f>SUMPRODUCT(G11:G16,W11:W16)/100</f>
        <v>0</v>
      </c>
      <c r="X18" s="244"/>
      <c r="Y18" s="244">
        <f>SUMPRODUCT(I11:I16,Y11:Y16)/100</f>
        <v>0</v>
      </c>
      <c r="Z18" s="244"/>
      <c r="AA18" s="244">
        <f>SUMPRODUCT(K11:K16,AA11:AA16)/100</f>
        <v>0</v>
      </c>
      <c r="AB18" s="244"/>
      <c r="AC18" s="244">
        <f>SUMPRODUCT(M11:M16,AC11:AC16)/100</f>
        <v>0</v>
      </c>
      <c r="AD18" s="244"/>
      <c r="AE18" s="244">
        <f>SUMPRODUCT(O11:O16,AE11:AE16)/100</f>
        <v>0</v>
      </c>
      <c r="AF18" s="244"/>
      <c r="AG18" s="244">
        <f>SUMPRODUCT(Q11:Q16,AG11:AG16)/100</f>
        <v>0</v>
      </c>
      <c r="AH18" s="244"/>
      <c r="AK18" s="204"/>
      <c r="AL18" s="204"/>
      <c r="AM18" s="204"/>
      <c r="AN18" s="204"/>
      <c r="AO18" s="204"/>
      <c r="AP18" s="204"/>
      <c r="AQ18" s="204"/>
      <c r="AR18" s="204"/>
      <c r="AS18" s="204"/>
      <c r="AT18" s="204"/>
      <c r="AU18" s="204"/>
      <c r="AV18" s="204"/>
      <c r="AW18" s="204"/>
      <c r="AX18" s="204"/>
      <c r="AY18" s="204"/>
      <c r="AZ18" s="204"/>
      <c r="BA18" s="206"/>
      <c r="BB18" s="207"/>
      <c r="BC18" s="207"/>
      <c r="BD18" s="206"/>
      <c r="BE18" s="204"/>
      <c r="BF18" s="204"/>
      <c r="BG18" s="204"/>
      <c r="BH18" s="204"/>
      <c r="BI18" s="204"/>
      <c r="BJ18" s="204"/>
      <c r="BK18" s="204"/>
      <c r="BL18" s="204"/>
      <c r="BM18" s="204"/>
      <c r="BN18" s="204"/>
      <c r="BO18" s="204"/>
      <c r="BP18" s="204"/>
      <c r="BQ18" s="204"/>
      <c r="BR18" s="204"/>
      <c r="BS18" s="204"/>
      <c r="BT18" s="204"/>
      <c r="BU18" s="204"/>
      <c r="BV18" s="204"/>
      <c r="BW18" s="204"/>
      <c r="BX18" s="204"/>
      <c r="BY18" s="204"/>
      <c r="BZ18" s="204"/>
      <c r="CA18" s="204"/>
      <c r="CB18" s="204"/>
      <c r="CC18" s="204"/>
      <c r="CD18" s="204"/>
      <c r="CE18" s="204"/>
      <c r="CF18" s="204"/>
      <c r="CG18" s="204"/>
      <c r="CH18" s="204"/>
      <c r="CI18" s="204"/>
      <c r="CJ18" s="204"/>
      <c r="CK18" s="204"/>
      <c r="CL18" s="204"/>
      <c r="CM18" s="204"/>
    </row>
    <row r="19" spans="2:107" s="18" customFormat="1">
      <c r="R19" s="24"/>
      <c r="U19" s="171"/>
      <c r="V19" s="171"/>
      <c r="W19" s="171"/>
      <c r="X19" s="171"/>
      <c r="Y19" s="171"/>
      <c r="Z19" s="171"/>
      <c r="AA19" s="171"/>
      <c r="AB19" s="171"/>
      <c r="AC19" s="171"/>
      <c r="AD19" s="171"/>
      <c r="AE19" s="171"/>
      <c r="AF19" s="171"/>
      <c r="AG19" s="171"/>
      <c r="AH19" s="171"/>
      <c r="AI19" s="171"/>
      <c r="AJ19" s="171"/>
      <c r="AK19" s="171"/>
      <c r="AL19" s="170"/>
      <c r="AM19" s="206"/>
      <c r="AN19" s="208"/>
      <c r="AO19" s="206"/>
      <c r="AP19" s="206"/>
      <c r="AQ19" s="209"/>
      <c r="AR19" s="209"/>
      <c r="AS19" s="206"/>
      <c r="AT19" s="206"/>
      <c r="AU19" s="206"/>
      <c r="AV19" s="206"/>
      <c r="AW19" s="209"/>
      <c r="AX19" s="209"/>
      <c r="AY19" s="206"/>
      <c r="AZ19" s="206"/>
      <c r="BA19" s="206"/>
      <c r="BB19" s="206"/>
      <c r="BC19" s="209"/>
      <c r="BD19" s="209"/>
      <c r="BE19" s="206"/>
      <c r="BF19" s="210"/>
      <c r="BG19" s="210"/>
      <c r="BH19" s="206"/>
      <c r="BI19" s="209"/>
      <c r="BJ19" s="209"/>
      <c r="BK19" s="206"/>
      <c r="BL19" s="206"/>
      <c r="BM19" s="206"/>
      <c r="BN19" s="206"/>
      <c r="BO19" s="209"/>
      <c r="BP19" s="209"/>
      <c r="BQ19" s="206"/>
      <c r="BR19" s="206"/>
      <c r="BS19" s="206"/>
      <c r="BT19" s="206"/>
      <c r="BU19" s="209"/>
      <c r="BV19" s="209"/>
      <c r="BW19" s="206"/>
      <c r="BX19" s="206"/>
      <c r="BY19" s="206"/>
      <c r="BZ19" s="206"/>
      <c r="CA19" s="209"/>
      <c r="CB19" s="209"/>
      <c r="CC19" s="206"/>
      <c r="CD19" s="206"/>
      <c r="CE19" s="206"/>
      <c r="CF19" s="206"/>
      <c r="CG19" s="209"/>
      <c r="CH19" s="209"/>
      <c r="CI19" s="206"/>
      <c r="CJ19" s="206"/>
      <c r="CK19" s="206"/>
      <c r="CL19" s="206"/>
      <c r="CM19" s="209"/>
      <c r="CN19" s="209"/>
      <c r="CO19" s="206"/>
      <c r="CP19" s="170"/>
      <c r="CQ19" s="170"/>
      <c r="CR19" s="170"/>
      <c r="CS19" s="170"/>
      <c r="CT19" s="170"/>
      <c r="CU19" s="170"/>
      <c r="CV19" s="170"/>
      <c r="CW19" s="170"/>
      <c r="CX19" s="170"/>
      <c r="CY19" s="170"/>
      <c r="CZ19" s="170"/>
      <c r="DA19" s="171"/>
      <c r="DB19" s="171"/>
      <c r="DC19" s="171"/>
    </row>
    <row r="20" spans="2:107" s="171" customFormat="1" ht="15">
      <c r="B20" s="244" t="s">
        <v>350</v>
      </c>
      <c r="C20" s="183"/>
      <c r="D20" s="184"/>
      <c r="E20" s="185"/>
      <c r="F20" s="170"/>
      <c r="G20" s="170"/>
      <c r="H20" s="170"/>
      <c r="I20" s="170"/>
      <c r="J20" s="170"/>
      <c r="K20" s="170"/>
      <c r="L20" s="170"/>
      <c r="R20" s="170"/>
      <c r="AN20" s="170"/>
      <c r="AO20" s="206"/>
      <c r="AP20" s="206"/>
      <c r="AQ20" s="206"/>
      <c r="AR20" s="206"/>
      <c r="AS20" s="206"/>
      <c r="AT20" s="206"/>
      <c r="AU20" s="206"/>
      <c r="AV20" s="206"/>
      <c r="AW20" s="206"/>
      <c r="AX20" s="206"/>
      <c r="AY20" s="206"/>
      <c r="AZ20" s="206"/>
      <c r="BA20" s="206"/>
      <c r="BB20" s="206"/>
      <c r="BC20" s="206"/>
      <c r="BD20" s="206"/>
      <c r="BE20" s="206"/>
      <c r="BF20" s="206"/>
      <c r="BG20" s="206"/>
      <c r="BH20" s="206"/>
      <c r="BI20" s="206"/>
      <c r="BJ20" s="206"/>
      <c r="BK20" s="206"/>
      <c r="BL20" s="206"/>
      <c r="BM20" s="206"/>
      <c r="BN20" s="206"/>
      <c r="BO20" s="206"/>
      <c r="BP20" s="206"/>
      <c r="BQ20" s="206"/>
      <c r="BR20" s="206"/>
      <c r="BS20" s="206"/>
      <c r="BT20" s="206"/>
      <c r="BU20" s="206"/>
      <c r="BV20" s="206"/>
      <c r="BW20" s="206"/>
      <c r="BX20" s="206"/>
      <c r="BY20" s="206"/>
      <c r="BZ20" s="206"/>
      <c r="CA20" s="206"/>
      <c r="CB20" s="206"/>
      <c r="CC20" s="206"/>
      <c r="CD20" s="206"/>
      <c r="CE20" s="206"/>
      <c r="CF20" s="206"/>
      <c r="CG20" s="206"/>
      <c r="CH20" s="206"/>
      <c r="CI20" s="206"/>
      <c r="CJ20" s="206"/>
      <c r="CK20" s="206"/>
      <c r="CL20" s="206"/>
      <c r="CM20" s="206"/>
      <c r="CN20" s="206"/>
      <c r="CO20" s="206"/>
      <c r="CP20" s="206"/>
      <c r="CQ20" s="206"/>
      <c r="CR20" s="170"/>
      <c r="CS20" s="170"/>
      <c r="CT20" s="170"/>
      <c r="CU20" s="170"/>
      <c r="CV20" s="170"/>
      <c r="CW20" s="170"/>
      <c r="CX20" s="170"/>
      <c r="CY20" s="170"/>
      <c r="CZ20" s="170"/>
      <c r="DA20" s="170"/>
      <c r="DB20" s="170"/>
    </row>
    <row r="21" spans="2:107" s="171" customFormat="1" ht="51" outlineLevel="1">
      <c r="B21" s="186" t="s">
        <v>351</v>
      </c>
      <c r="C21" s="172" t="str">
        <f>B7</f>
        <v>DAIRY CATTLE</v>
      </c>
      <c r="D21" s="172" t="str">
        <f>D7</f>
        <v>MEAT CATTLE</v>
      </c>
      <c r="E21" s="172" t="str">
        <f>F7</f>
        <v>SHEEP (milk and meat)</v>
      </c>
      <c r="F21" s="172" t="str">
        <f>H7</f>
        <v>GOAT (milk and meat)</v>
      </c>
      <c r="G21" s="172" t="str">
        <f>J7</f>
        <v>Other RUMINANTS</v>
      </c>
      <c r="H21" s="172" t="str">
        <f>L7</f>
        <v>PIGS</v>
      </c>
      <c r="I21" s="172" t="str">
        <f>N7</f>
        <v>POULTRIES</v>
      </c>
      <c r="J21" s="172" t="str">
        <f>P7</f>
        <v>Laying HENS</v>
      </c>
      <c r="K21" s="187" t="s">
        <v>141</v>
      </c>
      <c r="Q21" s="170"/>
      <c r="AM21" s="170"/>
      <c r="AN21" s="170"/>
      <c r="AO21" s="170"/>
      <c r="AP21" s="200"/>
      <c r="AQ21" s="200"/>
      <c r="AR21" s="200"/>
      <c r="AS21" s="200"/>
      <c r="AT21" s="170"/>
      <c r="AU21" s="170"/>
      <c r="AV21" s="200"/>
      <c r="AW21" s="200"/>
      <c r="AX21" s="200"/>
      <c r="AY21" s="200"/>
      <c r="AZ21" s="170"/>
      <c r="BA21" s="170"/>
      <c r="BB21" s="200"/>
      <c r="BC21" s="200"/>
      <c r="BD21" s="200"/>
      <c r="BE21" s="200"/>
      <c r="BF21" s="170"/>
      <c r="BG21" s="170"/>
      <c r="BH21" s="200"/>
      <c r="BI21" s="200"/>
      <c r="BJ21" s="200"/>
      <c r="BK21" s="200"/>
      <c r="BL21" s="170"/>
      <c r="BM21" s="170"/>
      <c r="BN21" s="200"/>
      <c r="BO21" s="200"/>
      <c r="BP21" s="200"/>
      <c r="BQ21" s="200"/>
      <c r="BR21" s="170"/>
      <c r="BS21" s="170"/>
      <c r="BT21" s="200"/>
      <c r="BU21" s="200"/>
      <c r="BV21" s="200"/>
      <c r="BW21" s="200"/>
      <c r="BX21" s="170"/>
      <c r="BY21" s="170"/>
      <c r="BZ21" s="200"/>
      <c r="CA21" s="200"/>
      <c r="CB21" s="200"/>
      <c r="CC21" s="200"/>
      <c r="CD21" s="170"/>
      <c r="CE21" s="170"/>
      <c r="CF21" s="200"/>
      <c r="CG21" s="200"/>
      <c r="CH21" s="200"/>
      <c r="CI21" s="200"/>
      <c r="CJ21" s="170"/>
      <c r="CK21" s="170"/>
      <c r="CL21" s="200"/>
      <c r="CM21" s="200"/>
      <c r="CN21" s="200"/>
      <c r="CO21" s="200"/>
      <c r="CP21" s="170"/>
      <c r="CQ21" s="170"/>
      <c r="CR21" s="170"/>
      <c r="CS21" s="170"/>
      <c r="CT21" s="170"/>
      <c r="CU21" s="170"/>
      <c r="CV21" s="170"/>
      <c r="CW21" s="170"/>
      <c r="CX21" s="170"/>
      <c r="CY21" s="170"/>
      <c r="CZ21" s="170"/>
      <c r="DA21" s="170"/>
    </row>
    <row r="22" spans="2:107" s="171" customFormat="1" outlineLevel="1">
      <c r="B22" s="188" t="s">
        <v>352</v>
      </c>
      <c r="C22" s="177">
        <f>SUMIF(AK$10:AK$16,$B22,AL$10:AL$16)</f>
        <v>686.9325</v>
      </c>
      <c r="D22" s="177">
        <f>SUMIF(AQ$10:AQ$16,$B22,AR$10:AR$16)</f>
        <v>181.1</v>
      </c>
      <c r="E22" s="177">
        <f>SUMIF(AW$10:AW$16,$B22,AX$10:AX$16)</f>
        <v>21.06</v>
      </c>
      <c r="F22" s="177">
        <f>SUMIF(BC$10:BC$16,$B22,BD$10:BD$16)</f>
        <v>21.06</v>
      </c>
      <c r="G22" s="177">
        <f>SUMIF(BI$10:BI$16,$B22,BJ$10:BJ$16)</f>
        <v>44</v>
      </c>
      <c r="H22" s="177">
        <f>SUMIF(BO$10:BO$16,$B22,BP$10:BP$16)</f>
        <v>21.02</v>
      </c>
      <c r="I22" s="177">
        <f>SUMIF(BU$10:BU$16,$B22,BV$10:BV$16)</f>
        <v>2.2080000000000002</v>
      </c>
      <c r="J22" s="177">
        <f>SUMIF(CA$10:CA$16,$B22,CB$10:CB$16)</f>
        <v>2.2080000000000002</v>
      </c>
      <c r="K22" s="177">
        <f>SUM(C22:J22)</f>
        <v>979.58849999999984</v>
      </c>
      <c r="Q22" s="170"/>
      <c r="AM22" s="170"/>
      <c r="AN22" s="170"/>
      <c r="AO22" s="170"/>
      <c r="AP22" s="201"/>
      <c r="AQ22" s="201"/>
      <c r="AR22" s="201"/>
      <c r="AS22" s="201"/>
      <c r="AT22" s="170"/>
      <c r="AU22" s="170"/>
      <c r="AV22" s="201"/>
      <c r="AW22" s="201"/>
      <c r="AX22" s="201"/>
      <c r="AY22" s="201"/>
      <c r="AZ22" s="170"/>
      <c r="BA22" s="170"/>
      <c r="BB22" s="201"/>
      <c r="BC22" s="201"/>
      <c r="BD22" s="201"/>
      <c r="BE22" s="201"/>
      <c r="BF22" s="170"/>
      <c r="BG22" s="170"/>
      <c r="BH22" s="201"/>
      <c r="BI22" s="201"/>
      <c r="BJ22" s="201"/>
      <c r="BK22" s="201"/>
      <c r="BL22" s="170"/>
      <c r="BM22" s="170"/>
      <c r="BN22" s="201"/>
      <c r="BO22" s="201"/>
      <c r="BP22" s="201"/>
      <c r="BQ22" s="201"/>
      <c r="BR22" s="170"/>
      <c r="BS22" s="170"/>
      <c r="BT22" s="201"/>
      <c r="BU22" s="201"/>
      <c r="BV22" s="201"/>
      <c r="BW22" s="201"/>
      <c r="BX22" s="170"/>
      <c r="BY22" s="170"/>
      <c r="BZ22" s="201"/>
      <c r="CA22" s="201"/>
      <c r="CB22" s="201"/>
      <c r="CC22" s="201"/>
      <c r="CD22" s="170"/>
      <c r="CE22" s="170"/>
      <c r="CF22" s="201"/>
      <c r="CG22" s="201"/>
      <c r="CH22" s="201"/>
      <c r="CI22" s="201"/>
      <c r="CJ22" s="170"/>
      <c r="CK22" s="170"/>
      <c r="CL22" s="201"/>
      <c r="CM22" s="201"/>
      <c r="CN22" s="201"/>
      <c r="CO22" s="201"/>
      <c r="CP22" s="170"/>
      <c r="CQ22" s="170"/>
      <c r="CR22" s="170"/>
      <c r="CS22" s="170"/>
      <c r="CT22" s="170"/>
      <c r="CU22" s="170"/>
      <c r="CV22" s="170"/>
      <c r="CW22" s="170"/>
      <c r="CX22" s="170"/>
      <c r="CY22" s="170"/>
      <c r="CZ22" s="170"/>
      <c r="DA22" s="170"/>
    </row>
    <row r="23" spans="2:107" s="171" customFormat="1" outlineLevel="1">
      <c r="B23" s="188" t="s">
        <v>353</v>
      </c>
      <c r="C23" s="177">
        <f>SUMIF(AK$10:AK$16,$B23,AL$10:AL$16)</f>
        <v>0</v>
      </c>
      <c r="D23" s="177">
        <f>SUMIF(AQ$10:AQ$16,$B23,AR$10:AR$16)</f>
        <v>0</v>
      </c>
      <c r="E23" s="177">
        <f>SUMIF(AW$10:AW$16,$B23,AX$10:AX$16)</f>
        <v>0</v>
      </c>
      <c r="F23" s="177">
        <f>SUMIF(BC$10:BC$16,$B23,BD$10:BD$16)</f>
        <v>0</v>
      </c>
      <c r="G23" s="177">
        <f>SUMIF(BI$10:BI$16,$B23,BJ$10:BJ$16)</f>
        <v>0</v>
      </c>
      <c r="H23" s="177">
        <f>SUMIF(BO$10:BO$16,$B23,BP$10:BP$16)</f>
        <v>0</v>
      </c>
      <c r="I23" s="177">
        <f>SUMIF(BU$10:BU$16,$B23,BV$10:BV$16)</f>
        <v>0</v>
      </c>
      <c r="J23" s="177">
        <f>SUMIF(CA$10:CA$16,$B23,CB$10:CB$16)</f>
        <v>0</v>
      </c>
      <c r="K23" s="177">
        <f>SUM(C23:J23)</f>
        <v>0</v>
      </c>
      <c r="Q23" s="170"/>
      <c r="AM23" s="170"/>
      <c r="AN23" s="170"/>
      <c r="AO23" s="170"/>
      <c r="AP23" s="201"/>
      <c r="AQ23" s="201"/>
      <c r="AR23" s="201"/>
      <c r="AS23" s="201"/>
      <c r="AT23" s="170"/>
      <c r="AU23" s="170"/>
      <c r="AV23" s="201"/>
      <c r="AW23" s="201"/>
      <c r="AX23" s="201"/>
      <c r="AY23" s="201"/>
      <c r="AZ23" s="170"/>
      <c r="BA23" s="170"/>
      <c r="BB23" s="201"/>
      <c r="BC23" s="201"/>
      <c r="BD23" s="201"/>
      <c r="BE23" s="201"/>
      <c r="BF23" s="170"/>
      <c r="BG23" s="170"/>
      <c r="BH23" s="201"/>
      <c r="BI23" s="201"/>
      <c r="BJ23" s="201"/>
      <c r="BK23" s="201"/>
      <c r="BL23" s="170"/>
      <c r="BM23" s="170"/>
      <c r="BN23" s="201"/>
      <c r="BO23" s="201"/>
      <c r="BP23" s="201"/>
      <c r="BQ23" s="201"/>
      <c r="BR23" s="170"/>
      <c r="BS23" s="170"/>
      <c r="BT23" s="201"/>
      <c r="BU23" s="201"/>
      <c r="BV23" s="201"/>
      <c r="BW23" s="201"/>
      <c r="BX23" s="170"/>
      <c r="BY23" s="170"/>
      <c r="BZ23" s="201"/>
      <c r="CA23" s="201"/>
      <c r="CB23" s="201"/>
      <c r="CC23" s="201"/>
      <c r="CD23" s="170"/>
      <c r="CE23" s="170"/>
      <c r="CF23" s="201"/>
      <c r="CG23" s="201"/>
      <c r="CH23" s="201"/>
      <c r="CI23" s="201"/>
      <c r="CJ23" s="170"/>
      <c r="CK23" s="170"/>
      <c r="CL23" s="201"/>
      <c r="CM23" s="201"/>
      <c r="CN23" s="201"/>
      <c r="CO23" s="201"/>
      <c r="CP23" s="170"/>
      <c r="CQ23" s="170"/>
      <c r="CR23" s="170"/>
      <c r="CS23" s="170"/>
      <c r="CT23" s="170"/>
      <c r="CU23" s="170"/>
      <c r="CV23" s="170"/>
      <c r="CW23" s="170"/>
      <c r="CX23" s="170"/>
      <c r="CY23" s="170"/>
      <c r="CZ23" s="170"/>
      <c r="DA23" s="170"/>
    </row>
    <row r="24" spans="2:107" s="171" customFormat="1" outlineLevel="1">
      <c r="B24" s="188" t="s">
        <v>354</v>
      </c>
      <c r="C24" s="177">
        <f>SUMIF(AK$10:AK$16,$B24,AL$10:AL$16)</f>
        <v>0</v>
      </c>
      <c r="D24" s="177">
        <f>SUMIF(AQ$10:AQ$16,$B24,AR$10:AR$16)</f>
        <v>0</v>
      </c>
      <c r="E24" s="177">
        <f>SUMIF(AW$10:AW$16,$B24,AX$10:AX$16)</f>
        <v>0</v>
      </c>
      <c r="F24" s="177">
        <f>SUMIF(BC$10:BC$16,$B24,BD$10:BD$16)</f>
        <v>0</v>
      </c>
      <c r="G24" s="177">
        <f>SUMIF(BI$10:BI$16,$B24,BJ$10:BJ$16)</f>
        <v>0</v>
      </c>
      <c r="H24" s="177">
        <f>SUMIF(BO$10:BO$16,$B24,BP$10:BP$16)</f>
        <v>0</v>
      </c>
      <c r="I24" s="177">
        <f>SUMIF(BU$10:BU$16,$B24,BV$10:BV$16)</f>
        <v>0</v>
      </c>
      <c r="J24" s="177">
        <f>SUMIF(CA$10:CA$16,$B24,CB$10:CB$16)</f>
        <v>0</v>
      </c>
      <c r="K24" s="177">
        <f>SUM(C24:J24)</f>
        <v>0</v>
      </c>
      <c r="Q24" s="170"/>
      <c r="AM24" s="170"/>
      <c r="AN24" s="170"/>
      <c r="AO24" s="170"/>
      <c r="AP24" s="201"/>
      <c r="AQ24" s="201"/>
      <c r="AR24" s="201"/>
      <c r="AS24" s="201"/>
      <c r="AT24" s="170"/>
      <c r="AU24" s="170"/>
      <c r="AV24" s="201"/>
      <c r="AW24" s="201"/>
      <c r="AX24" s="201"/>
      <c r="AY24" s="201"/>
      <c r="AZ24" s="170"/>
      <c r="BA24" s="170"/>
      <c r="BB24" s="201"/>
      <c r="BC24" s="201"/>
      <c r="BD24" s="201"/>
      <c r="BE24" s="201"/>
      <c r="BF24" s="170"/>
      <c r="BG24" s="170"/>
      <c r="BH24" s="201"/>
      <c r="BI24" s="201"/>
      <c r="BJ24" s="201"/>
      <c r="BK24" s="201"/>
      <c r="BL24" s="170"/>
      <c r="BM24" s="170"/>
      <c r="BN24" s="201"/>
      <c r="BO24" s="201"/>
      <c r="BP24" s="201"/>
      <c r="BQ24" s="201"/>
      <c r="BR24" s="170"/>
      <c r="BS24" s="170"/>
      <c r="BT24" s="201"/>
      <c r="BU24" s="201"/>
      <c r="BV24" s="201"/>
      <c r="BW24" s="201"/>
      <c r="BX24" s="170"/>
      <c r="BY24" s="170"/>
      <c r="BZ24" s="201"/>
      <c r="CA24" s="201"/>
      <c r="CB24" s="201"/>
      <c r="CC24" s="201"/>
      <c r="CD24" s="170"/>
      <c r="CE24" s="170"/>
      <c r="CF24" s="201"/>
      <c r="CG24" s="201"/>
      <c r="CH24" s="201"/>
      <c r="CI24" s="201"/>
      <c r="CJ24" s="170"/>
      <c r="CK24" s="170"/>
      <c r="CL24" s="201"/>
      <c r="CM24" s="201"/>
      <c r="CN24" s="201"/>
      <c r="CO24" s="201"/>
      <c r="CP24" s="170"/>
      <c r="CQ24" s="170"/>
      <c r="CR24" s="170"/>
      <c r="CS24" s="170"/>
      <c r="CT24" s="170"/>
      <c r="CU24" s="170"/>
      <c r="CV24" s="170"/>
      <c r="CW24" s="170"/>
      <c r="CX24" s="170"/>
      <c r="CY24" s="170"/>
      <c r="CZ24" s="170"/>
      <c r="DA24" s="170"/>
    </row>
    <row r="25" spans="2:107" s="171" customFormat="1" outlineLevel="1">
      <c r="B25" s="188"/>
      <c r="C25" s="177">
        <f>SUMIF(AK$10:AK$16,$B25,AL$10:AL$16)</f>
        <v>0</v>
      </c>
      <c r="D25" s="177">
        <f>SUMIF(AQ$10:AQ$16,$B25,AR$10:AR$16)</f>
        <v>0</v>
      </c>
      <c r="E25" s="177">
        <f>SUMIF(AW$10:AW$16,$B25,AX$10:AX$16)</f>
        <v>0</v>
      </c>
      <c r="F25" s="177">
        <f>SUMIF(BC$10:BC$16,$B25,BD$10:BD$16)</f>
        <v>0</v>
      </c>
      <c r="G25" s="177">
        <f>SUMIF(BI$10:BI$16,$B25,BJ$10:BJ$16)</f>
        <v>0</v>
      </c>
      <c r="H25" s="177">
        <f>SUMIF(BO$10:BO$16,$B25,BP$10:BP$16)</f>
        <v>0</v>
      </c>
      <c r="I25" s="177">
        <f>SUMIF(BU$10:BU$16,$B25,BV$10:BV$16)</f>
        <v>0</v>
      </c>
      <c r="J25" s="177">
        <f>SUMIF(CA$10:CA$16,$B25,CB$10:CB$16)</f>
        <v>0</v>
      </c>
      <c r="K25" s="177">
        <f>SUM(C25:J25)</f>
        <v>0</v>
      </c>
      <c r="Q25" s="170"/>
      <c r="AM25" s="170"/>
      <c r="AN25" s="170"/>
      <c r="AO25" s="170"/>
      <c r="AP25" s="201"/>
      <c r="AQ25" s="201"/>
      <c r="AR25" s="201"/>
      <c r="AS25" s="201"/>
      <c r="AT25" s="170"/>
      <c r="AU25" s="170"/>
      <c r="AV25" s="201"/>
      <c r="AW25" s="201"/>
      <c r="AX25" s="201"/>
      <c r="AY25" s="201"/>
      <c r="AZ25" s="170"/>
      <c r="BA25" s="170"/>
      <c r="BB25" s="201"/>
      <c r="BC25" s="201"/>
      <c r="BD25" s="201"/>
      <c r="BE25" s="201"/>
      <c r="BF25" s="170"/>
      <c r="BG25" s="170"/>
      <c r="BH25" s="201"/>
      <c r="BI25" s="201"/>
      <c r="BJ25" s="201"/>
      <c r="BK25" s="201"/>
      <c r="BL25" s="170"/>
      <c r="BM25" s="170"/>
      <c r="BN25" s="201"/>
      <c r="BO25" s="201"/>
      <c r="BP25" s="201"/>
      <c r="BQ25" s="201"/>
      <c r="BR25" s="170"/>
      <c r="BS25" s="170"/>
      <c r="BT25" s="201"/>
      <c r="BU25" s="201"/>
      <c r="BV25" s="201"/>
      <c r="BW25" s="201"/>
      <c r="BX25" s="170"/>
      <c r="BY25" s="170"/>
      <c r="BZ25" s="201"/>
      <c r="CA25" s="201"/>
      <c r="CB25" s="201"/>
      <c r="CC25" s="201"/>
      <c r="CD25" s="170"/>
      <c r="CE25" s="170"/>
      <c r="CF25" s="201"/>
      <c r="CG25" s="201"/>
      <c r="CH25" s="201"/>
      <c r="CI25" s="201"/>
      <c r="CJ25" s="170"/>
      <c r="CK25" s="170"/>
      <c r="CL25" s="201"/>
      <c r="CM25" s="201"/>
      <c r="CN25" s="201"/>
      <c r="CO25" s="201"/>
      <c r="CP25" s="170"/>
      <c r="CQ25" s="170"/>
      <c r="CR25" s="170"/>
      <c r="CS25" s="170"/>
      <c r="CT25" s="199"/>
      <c r="CU25" s="199"/>
      <c r="CV25" s="170"/>
      <c r="CW25" s="170"/>
      <c r="CX25" s="170"/>
      <c r="CY25" s="170"/>
      <c r="CZ25" s="170"/>
      <c r="DA25" s="170"/>
    </row>
    <row r="26" spans="2:107" s="171" customFormat="1" outlineLevel="1">
      <c r="B26" s="188"/>
      <c r="C26" s="177">
        <f>SUMIF(AK$10:AK$16,$B26,AL$10:AL$16)</f>
        <v>0</v>
      </c>
      <c r="D26" s="177">
        <f>SUMIF(AQ$10:AQ$16,$B26,AR$10:AR$16)</f>
        <v>0</v>
      </c>
      <c r="E26" s="177">
        <f>SUMIF(AW$10:AW$16,$B26,AX$10:AX$16)</f>
        <v>0</v>
      </c>
      <c r="F26" s="177">
        <f>SUMIF(BC$10:BC$16,$B26,BD$10:BD$16)</f>
        <v>0</v>
      </c>
      <c r="G26" s="177">
        <f>SUMIF(BI$10:BI$16,$B26,BJ$10:BJ$16)</f>
        <v>0</v>
      </c>
      <c r="H26" s="177">
        <f>SUMIF(BO$10:BO$16,$B26,BP$10:BP$16)</f>
        <v>0</v>
      </c>
      <c r="I26" s="177">
        <f>SUMIF(BU$10:BU$16,$B26,BV$10:BV$16)</f>
        <v>0</v>
      </c>
      <c r="J26" s="177">
        <f>SUMIF(CA$10:CA$16,$B26,CB$10:CB$16)</f>
        <v>0</v>
      </c>
      <c r="K26" s="177">
        <f>SUM(C26:J26)</f>
        <v>0</v>
      </c>
      <c r="Q26" s="170"/>
      <c r="AM26" s="170"/>
      <c r="AN26" s="170"/>
      <c r="AO26" s="170"/>
      <c r="AP26" s="201"/>
      <c r="AQ26" s="201"/>
      <c r="AR26" s="201"/>
      <c r="AS26" s="201"/>
      <c r="AT26" s="170"/>
      <c r="AU26" s="170"/>
      <c r="AV26" s="201"/>
      <c r="AW26" s="201"/>
      <c r="AX26" s="201"/>
      <c r="AY26" s="201"/>
      <c r="AZ26" s="170"/>
      <c r="BA26" s="170"/>
      <c r="BB26" s="201"/>
      <c r="BC26" s="201"/>
      <c r="BD26" s="201"/>
      <c r="BE26" s="201"/>
      <c r="BF26" s="170"/>
      <c r="BG26" s="170"/>
      <c r="BH26" s="201"/>
      <c r="BI26" s="201"/>
      <c r="BJ26" s="201"/>
      <c r="BK26" s="201"/>
      <c r="BL26" s="170"/>
      <c r="BM26" s="170"/>
      <c r="BN26" s="201"/>
      <c r="BO26" s="201"/>
      <c r="BP26" s="201"/>
      <c r="BQ26" s="201"/>
      <c r="BR26" s="170"/>
      <c r="BS26" s="170"/>
      <c r="BT26" s="201"/>
      <c r="BU26" s="201"/>
      <c r="BV26" s="201"/>
      <c r="BW26" s="201"/>
      <c r="BX26" s="170"/>
      <c r="BY26" s="170"/>
      <c r="BZ26" s="201"/>
      <c r="CA26" s="201"/>
      <c r="CB26" s="201"/>
      <c r="CC26" s="201"/>
      <c r="CD26" s="170"/>
      <c r="CE26" s="170"/>
      <c r="CF26" s="201"/>
      <c r="CG26" s="201"/>
      <c r="CH26" s="201"/>
      <c r="CI26" s="201"/>
      <c r="CJ26" s="170"/>
      <c r="CK26" s="170"/>
      <c r="CL26" s="201"/>
      <c r="CM26" s="201"/>
      <c r="CN26" s="201"/>
      <c r="CO26" s="201"/>
      <c r="CP26" s="170"/>
      <c r="CQ26" s="170"/>
      <c r="CR26" s="170"/>
      <c r="CS26" s="170"/>
      <c r="CT26" s="170"/>
      <c r="CU26" s="170"/>
      <c r="CV26" s="170"/>
      <c r="CW26" s="170"/>
      <c r="CX26" s="170"/>
      <c r="CY26" s="170"/>
      <c r="CZ26" s="170"/>
      <c r="DA26" s="170"/>
    </row>
    <row r="27" spans="2:107" s="171" customFormat="1" ht="25.5" outlineLevel="1">
      <c r="B27" s="189" t="s">
        <v>355</v>
      </c>
      <c r="C27" s="190">
        <f t="shared" ref="C27:K27" si="16">SUM(C22:C26)</f>
        <v>686.9325</v>
      </c>
      <c r="D27" s="190">
        <f t="shared" si="16"/>
        <v>181.1</v>
      </c>
      <c r="E27" s="190">
        <f t="shared" si="16"/>
        <v>21.06</v>
      </c>
      <c r="F27" s="190">
        <f t="shared" si="16"/>
        <v>21.06</v>
      </c>
      <c r="G27" s="190">
        <f t="shared" si="16"/>
        <v>44</v>
      </c>
      <c r="H27" s="190">
        <f t="shared" si="16"/>
        <v>21.02</v>
      </c>
      <c r="I27" s="190">
        <f t="shared" si="16"/>
        <v>2.2080000000000002</v>
      </c>
      <c r="J27" s="190">
        <f t="shared" si="16"/>
        <v>2.2080000000000002</v>
      </c>
      <c r="K27" s="190">
        <f t="shared" si="16"/>
        <v>979.58849999999984</v>
      </c>
      <c r="L27" s="170"/>
      <c r="AM27" s="170"/>
      <c r="AN27" s="170"/>
      <c r="AO27" s="170"/>
      <c r="AP27" s="201"/>
      <c r="AQ27" s="201"/>
      <c r="AR27" s="201"/>
      <c r="AS27" s="201"/>
      <c r="AT27" s="170"/>
      <c r="AU27" s="170"/>
      <c r="AV27" s="201"/>
      <c r="AW27" s="201"/>
      <c r="AX27" s="201"/>
      <c r="AY27" s="201"/>
      <c r="AZ27" s="170"/>
      <c r="BA27" s="170"/>
      <c r="BB27" s="201"/>
      <c r="BC27" s="201"/>
      <c r="BD27" s="201"/>
      <c r="BE27" s="201"/>
      <c r="BF27" s="170"/>
      <c r="BG27" s="170"/>
      <c r="BH27" s="201"/>
      <c r="BI27" s="201"/>
      <c r="BJ27" s="201"/>
      <c r="BK27" s="201"/>
      <c r="BL27" s="170"/>
      <c r="BM27" s="170"/>
      <c r="BN27" s="201"/>
      <c r="BO27" s="201"/>
      <c r="BP27" s="201"/>
      <c r="BQ27" s="201"/>
      <c r="BR27" s="170"/>
      <c r="BS27" s="170"/>
      <c r="BT27" s="201"/>
      <c r="BU27" s="201"/>
      <c r="BV27" s="201"/>
      <c r="BW27" s="201"/>
      <c r="BX27" s="170"/>
      <c r="BY27" s="170"/>
      <c r="BZ27" s="201"/>
      <c r="CA27" s="201"/>
      <c r="CB27" s="201"/>
      <c r="CC27" s="201"/>
      <c r="CD27" s="170"/>
      <c r="CE27" s="170"/>
      <c r="CF27" s="201"/>
      <c r="CG27" s="201"/>
      <c r="CH27" s="201"/>
      <c r="CI27" s="201"/>
      <c r="CJ27" s="170"/>
      <c r="CK27" s="170"/>
      <c r="CL27" s="201"/>
      <c r="CM27" s="201"/>
      <c r="CN27" s="201"/>
      <c r="CO27" s="201"/>
      <c r="CP27" s="170"/>
      <c r="CQ27" s="170"/>
      <c r="CR27" s="170"/>
      <c r="CS27" s="170"/>
      <c r="CT27" s="199"/>
      <c r="CU27" s="199"/>
      <c r="CV27" s="170"/>
      <c r="CW27" s="170"/>
      <c r="CX27" s="199"/>
      <c r="CY27" s="199"/>
      <c r="CZ27" s="170"/>
      <c r="DA27" s="170"/>
    </row>
    <row r="28" spans="2:107" s="171" customFormat="1" ht="39" outlineLevel="1">
      <c r="B28" s="186" t="s">
        <v>356</v>
      </c>
      <c r="C28" s="172" t="str">
        <f t="shared" ref="C28:J28" si="17">C21</f>
        <v>DAIRY CATTLE</v>
      </c>
      <c r="D28" s="172" t="str">
        <f t="shared" si="17"/>
        <v>MEAT CATTLE</v>
      </c>
      <c r="E28" s="172" t="str">
        <f t="shared" si="17"/>
        <v>SHEEP (milk and meat)</v>
      </c>
      <c r="F28" s="172" t="str">
        <f t="shared" si="17"/>
        <v>GOAT (milk and meat)</v>
      </c>
      <c r="G28" s="172" t="str">
        <f t="shared" si="17"/>
        <v>Other RUMINANTS</v>
      </c>
      <c r="H28" s="172" t="str">
        <f t="shared" si="17"/>
        <v>PIGS</v>
      </c>
      <c r="I28" s="172" t="str">
        <f t="shared" si="17"/>
        <v>POULTRIES</v>
      </c>
      <c r="J28" s="172" t="str">
        <f t="shared" si="17"/>
        <v>Laying HENS</v>
      </c>
      <c r="K28" s="187" t="s">
        <v>357</v>
      </c>
      <c r="L28" s="186" t="s">
        <v>358</v>
      </c>
      <c r="M28" s="186" t="s">
        <v>359</v>
      </c>
      <c r="N28" s="191" t="s">
        <v>458</v>
      </c>
      <c r="O28" s="186" t="s">
        <v>360</v>
      </c>
      <c r="P28" s="187" t="s">
        <v>361</v>
      </c>
      <c r="Q28" s="187" t="s">
        <v>362</v>
      </c>
      <c r="R28" s="187" t="s">
        <v>363</v>
      </c>
      <c r="AM28" s="170"/>
      <c r="AN28" s="170"/>
      <c r="AO28" s="170"/>
      <c r="AP28" s="201"/>
      <c r="AQ28" s="201"/>
      <c r="AR28" s="201"/>
      <c r="AS28" s="201"/>
      <c r="AT28" s="170"/>
      <c r="AU28" s="170"/>
      <c r="AV28" s="201"/>
      <c r="AW28" s="201"/>
      <c r="AX28" s="201"/>
      <c r="AY28" s="201"/>
      <c r="AZ28" s="170"/>
      <c r="BA28" s="170"/>
      <c r="BB28" s="201"/>
      <c r="BC28" s="201"/>
      <c r="BD28" s="201"/>
      <c r="BE28" s="201"/>
      <c r="BF28" s="170"/>
      <c r="BG28" s="170"/>
      <c r="BH28" s="201"/>
      <c r="BI28" s="201"/>
      <c r="BJ28" s="201"/>
      <c r="BK28" s="201"/>
      <c r="BL28" s="170"/>
      <c r="BM28" s="170"/>
      <c r="BN28" s="201"/>
      <c r="BO28" s="201"/>
      <c r="BP28" s="201"/>
      <c r="BQ28" s="201"/>
      <c r="BR28" s="170"/>
      <c r="BS28" s="170"/>
      <c r="BT28" s="201"/>
      <c r="BU28" s="201"/>
      <c r="BV28" s="201"/>
      <c r="BW28" s="201"/>
      <c r="BX28" s="170"/>
      <c r="BY28" s="170"/>
      <c r="BZ28" s="201"/>
      <c r="CA28" s="201"/>
      <c r="CB28" s="201"/>
      <c r="CC28" s="201"/>
      <c r="CD28" s="170"/>
      <c r="CE28" s="170"/>
      <c r="CF28" s="201"/>
      <c r="CG28" s="201"/>
      <c r="CH28" s="201"/>
      <c r="CI28" s="201"/>
      <c r="CJ28" s="170"/>
      <c r="CK28" s="170"/>
      <c r="CL28" s="201"/>
      <c r="CM28" s="201"/>
      <c r="CN28" s="201"/>
      <c r="CO28" s="201"/>
      <c r="CP28" s="170"/>
      <c r="CQ28" s="170"/>
      <c r="CR28" s="200"/>
      <c r="CS28" s="200"/>
      <c r="CT28" s="200"/>
      <c r="CU28" s="200"/>
      <c r="CV28" s="200"/>
      <c r="CW28" s="200"/>
      <c r="CX28" s="200"/>
      <c r="CY28" s="200"/>
      <c r="CZ28" s="200"/>
      <c r="DA28" s="170"/>
    </row>
    <row r="29" spans="2:107" s="171" customFormat="1" outlineLevel="1">
      <c r="B29" s="188" t="s">
        <v>352</v>
      </c>
      <c r="C29" s="177">
        <f>SUMIF(AK$10:AK$16,$B29,AO$10:AO$16)</f>
        <v>618.23924999999997</v>
      </c>
      <c r="D29" s="177">
        <f>SUMIF(AQ$10:AQ$16,$B29,AU$10:AU$16)</f>
        <v>162.99</v>
      </c>
      <c r="E29" s="177">
        <f>SUMIF(AW$10:AW$16,$B29,BA$10:BA$16)</f>
        <v>18.954000000000001</v>
      </c>
      <c r="F29" s="177">
        <f>SUMIF(BC$10:BC$16,$B29,BG$10:BG$16)</f>
        <v>18.954000000000001</v>
      </c>
      <c r="G29" s="177">
        <f>SUMIF(BI$10:BI$16,$B29,BM$10:BM$16)</f>
        <v>39.6</v>
      </c>
      <c r="H29" s="177">
        <f>SUMIF(BO$10:BO$16,$B29,BS$10:BS$16)</f>
        <v>18.917999999999999</v>
      </c>
      <c r="I29" s="177">
        <f>SUMIF(BU$10:BU$16,$B29,BY$10:BY$16)</f>
        <v>1.9872000000000001</v>
      </c>
      <c r="J29" s="177">
        <f>SUMIF(CA$10:CA$16,$B29,CE$10:CE$16)</f>
        <v>1.9872000000000001</v>
      </c>
      <c r="K29" s="177">
        <f>SUM(C29:J29)</f>
        <v>881.62964999999997</v>
      </c>
      <c r="N29" s="192">
        <f>K29</f>
        <v>881.62964999999997</v>
      </c>
      <c r="O29" s="188" t="str">
        <f>B29</f>
        <v>pasture</v>
      </c>
      <c r="P29" s="177"/>
      <c r="Q29" s="177"/>
      <c r="R29" s="193"/>
      <c r="AM29" s="170"/>
      <c r="AN29" s="170"/>
      <c r="AO29" s="198"/>
      <c r="AP29" s="202"/>
      <c r="AQ29" s="202"/>
      <c r="AR29" s="202"/>
      <c r="AS29" s="202"/>
      <c r="AT29" s="170"/>
      <c r="AU29" s="198"/>
      <c r="AV29" s="202"/>
      <c r="AW29" s="202"/>
      <c r="AX29" s="202"/>
      <c r="AY29" s="202"/>
      <c r="AZ29" s="170"/>
      <c r="BA29" s="198"/>
      <c r="BB29" s="202"/>
      <c r="BC29" s="202"/>
      <c r="BD29" s="202"/>
      <c r="BE29" s="202"/>
      <c r="BF29" s="170"/>
      <c r="BG29" s="198"/>
      <c r="BH29" s="202"/>
      <c r="BI29" s="202"/>
      <c r="BJ29" s="202"/>
      <c r="BK29" s="202"/>
      <c r="BL29" s="170"/>
      <c r="BM29" s="198"/>
      <c r="BN29" s="202"/>
      <c r="BO29" s="202"/>
      <c r="BP29" s="202"/>
      <c r="BQ29" s="202"/>
      <c r="BR29" s="170"/>
      <c r="BS29" s="198"/>
      <c r="BT29" s="202"/>
      <c r="BU29" s="202"/>
      <c r="BV29" s="202"/>
      <c r="BW29" s="202"/>
      <c r="BX29" s="170"/>
      <c r="BY29" s="198"/>
      <c r="BZ29" s="202"/>
      <c r="CA29" s="202"/>
      <c r="CB29" s="202"/>
      <c r="CC29" s="202"/>
      <c r="CD29" s="170"/>
      <c r="CE29" s="198"/>
      <c r="CF29" s="202"/>
      <c r="CG29" s="202"/>
      <c r="CH29" s="202"/>
      <c r="CI29" s="202"/>
      <c r="CJ29" s="170"/>
      <c r="CK29" s="198"/>
      <c r="CL29" s="202"/>
      <c r="CM29" s="202"/>
      <c r="CN29" s="202"/>
      <c r="CO29" s="202"/>
      <c r="CP29" s="170"/>
      <c r="CQ29" s="170"/>
      <c r="CR29" s="203"/>
      <c r="CS29" s="203"/>
      <c r="CT29" s="203"/>
      <c r="CU29" s="203"/>
      <c r="CV29" s="203"/>
      <c r="CW29" s="203"/>
      <c r="CX29" s="203"/>
      <c r="CY29" s="203"/>
      <c r="CZ29" s="203"/>
      <c r="DA29" s="170"/>
    </row>
    <row r="30" spans="2:107" s="171" customFormat="1" outlineLevel="1">
      <c r="B30" s="188" t="s">
        <v>353</v>
      </c>
      <c r="C30" s="177">
        <f>SUMIF(AK$10:AK$16,$B30,AO$10:AO$16)</f>
        <v>0</v>
      </c>
      <c r="D30" s="177">
        <f>SUMIF(AQ$10:AQ$16,$B30,AU$10:AU$16)</f>
        <v>0</v>
      </c>
      <c r="E30" s="177">
        <f>SUMIF(AW$10:AW$16,$B30,BA$10:BA$16)</f>
        <v>0</v>
      </c>
      <c r="F30" s="177">
        <f>SUMIF(BC$10:BC$16,$B30,BG$10:BG$16)</f>
        <v>0</v>
      </c>
      <c r="G30" s="177">
        <f>SUMIF(BI$10:BI$16,$B30,BM$10:BM$16)</f>
        <v>0</v>
      </c>
      <c r="H30" s="177">
        <f>SUMIF(BO$10:BO$16,$B30,BS$10:BS$16)</f>
        <v>0</v>
      </c>
      <c r="I30" s="177">
        <f>SUMIF(BU$10:BU$16,$B30,BY$10:BY$16)</f>
        <v>0</v>
      </c>
      <c r="J30" s="177">
        <f>SUMIF(CA$10:CA$16,$B30,CE$10:CE$16)</f>
        <v>0</v>
      </c>
      <c r="K30" s="177">
        <f>SUM(C30:J30)</f>
        <v>0</v>
      </c>
      <c r="L30" s="174"/>
      <c r="M30" s="174"/>
      <c r="N30" s="192"/>
      <c r="O30" s="188" t="str">
        <f>B30</f>
        <v>liquid</v>
      </c>
      <c r="P30" s="177">
        <f>(I30+J30)*R30</f>
        <v>0</v>
      </c>
      <c r="Q30" s="177">
        <f>(N30-P30)*R30</f>
        <v>0</v>
      </c>
      <c r="R30" s="194">
        <v>0.2</v>
      </c>
      <c r="AM30" s="170"/>
      <c r="AN30" s="170"/>
      <c r="AO30" s="170"/>
      <c r="AP30" s="170"/>
      <c r="AQ30" s="170"/>
      <c r="AR30" s="170"/>
      <c r="AS30" s="170"/>
      <c r="AT30" s="170"/>
      <c r="AU30" s="170"/>
      <c r="AV30" s="170"/>
      <c r="AW30" s="170"/>
      <c r="AX30" s="170"/>
      <c r="AY30" s="170"/>
      <c r="AZ30" s="170"/>
      <c r="BA30" s="170"/>
      <c r="BB30" s="176"/>
      <c r="BC30" s="176"/>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70"/>
      <c r="CD30" s="170"/>
      <c r="CE30" s="170"/>
      <c r="CF30" s="170"/>
      <c r="CG30" s="170"/>
      <c r="CH30" s="170"/>
      <c r="CI30" s="170"/>
      <c r="CJ30" s="170"/>
      <c r="CK30" s="170"/>
      <c r="CL30" s="170"/>
      <c r="CM30" s="170"/>
      <c r="CN30" s="170"/>
      <c r="CO30" s="170"/>
      <c r="CP30" s="170"/>
      <c r="CQ30" s="170"/>
      <c r="CR30" s="170"/>
      <c r="CS30" s="170"/>
      <c r="CT30" s="170"/>
      <c r="CU30" s="170"/>
      <c r="CV30" s="170"/>
      <c r="CW30" s="170"/>
      <c r="CX30" s="170"/>
      <c r="CY30" s="170"/>
      <c r="CZ30" s="170"/>
      <c r="DA30" s="170"/>
    </row>
    <row r="31" spans="2:107" s="171" customFormat="1" outlineLevel="1">
      <c r="B31" s="188" t="s">
        <v>354</v>
      </c>
      <c r="C31" s="177">
        <f>SUMIF(AK$10:AK$16,$B31,AO$10:AO$16)</f>
        <v>0</v>
      </c>
      <c r="D31" s="177">
        <f>SUMIF(AQ$10:AQ$16,$B31,AU$10:AU$16)</f>
        <v>0</v>
      </c>
      <c r="E31" s="177">
        <f>SUMIF(AW$10:AW$16,$B31,BA$10:BA$16)</f>
        <v>0</v>
      </c>
      <c r="F31" s="177">
        <f>SUMIF(BC$10:BC$16,$B31,BG$10:BG$16)</f>
        <v>0</v>
      </c>
      <c r="G31" s="177">
        <f>SUMIF(BI$10:BI$16,$B31,BM$10:BM$16)</f>
        <v>0</v>
      </c>
      <c r="H31" s="177">
        <f>SUMIF(BO$10:BO$16,$B31,BS$10:BS$16)</f>
        <v>0</v>
      </c>
      <c r="I31" s="177">
        <f>SUMIF(BU$10:BU$16,$B31,BY$10:BY$16)</f>
        <v>0</v>
      </c>
      <c r="J31" s="177">
        <f>SUMIF(CA$10:CA$16,$B31,CE$10:CE$16)</f>
        <v>0</v>
      </c>
      <c r="K31" s="177">
        <f>SUM(C31:J31)</f>
        <v>0</v>
      </c>
      <c r="L31" s="174"/>
      <c r="M31" s="174"/>
      <c r="N31" s="192"/>
      <c r="O31" s="188" t="str">
        <f>B31</f>
        <v>solid</v>
      </c>
      <c r="P31" s="177">
        <f>(I31+J31)*R31</f>
        <v>0</v>
      </c>
      <c r="Q31" s="177">
        <f>(N31-P31)*R31</f>
        <v>0</v>
      </c>
      <c r="R31" s="194">
        <v>0.1</v>
      </c>
      <c r="AM31" s="170"/>
      <c r="AN31" s="170"/>
      <c r="AO31" s="170"/>
      <c r="AP31" s="170"/>
      <c r="AQ31" s="170"/>
      <c r="AR31" s="170"/>
      <c r="AS31" s="170"/>
      <c r="AT31" s="170"/>
      <c r="AU31" s="170"/>
      <c r="AV31" s="170"/>
      <c r="AW31" s="170"/>
      <c r="AX31" s="170"/>
      <c r="AY31" s="170"/>
      <c r="AZ31" s="170"/>
      <c r="BA31" s="170"/>
      <c r="BB31" s="176"/>
      <c r="BC31" s="176"/>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c r="CS31" s="170"/>
      <c r="CT31" s="170"/>
      <c r="CU31" s="170"/>
      <c r="CV31" s="170"/>
      <c r="CW31" s="170"/>
      <c r="CX31" s="170"/>
      <c r="CY31" s="170"/>
      <c r="CZ31" s="170"/>
      <c r="DA31" s="170"/>
    </row>
    <row r="32" spans="2:107" s="171" customFormat="1" outlineLevel="1">
      <c r="B32" s="188"/>
      <c r="C32" s="177">
        <f>SUMIF(AK$10:AK$16,$B32,AO$10:AO$16)</f>
        <v>0</v>
      </c>
      <c r="D32" s="177">
        <f>SUMIF(AQ$10:AQ$16,$B32,AU$10:AU$16)</f>
        <v>0</v>
      </c>
      <c r="E32" s="177">
        <f>SUMIF(AW$10:AW$16,$B32,BA$10:BA$16)</f>
        <v>0</v>
      </c>
      <c r="F32" s="177">
        <f>SUMIF(BC$10:BC$16,$B32,BG$10:BG$16)</f>
        <v>0</v>
      </c>
      <c r="G32" s="177">
        <f>SUMIF(BI$10:BI$16,$B32,BM$10:BM$16)</f>
        <v>0</v>
      </c>
      <c r="H32" s="177">
        <f>SUMIF(BO$10:BO$16,$B32,BS$10:BS$16)</f>
        <v>0</v>
      </c>
      <c r="I32" s="177">
        <f>SUMIF(BU$10:BU$16,$B32,BY$10:BY$16)</f>
        <v>0</v>
      </c>
      <c r="J32" s="177">
        <f>SUMIF(CA$10:CA$16,$B32,CE$10:CE$16)</f>
        <v>0</v>
      </c>
      <c r="K32" s="177">
        <f>SUM(C32:J32)</f>
        <v>0</v>
      </c>
      <c r="O32" s="171" t="s">
        <v>364</v>
      </c>
      <c r="P32" s="195">
        <f>SUM(P30:P31)</f>
        <v>0</v>
      </c>
      <c r="Q32" s="195">
        <f>SUM(Q30:Q31)</f>
        <v>0</v>
      </c>
      <c r="BA32" s="170"/>
      <c r="BB32" s="176"/>
      <c r="BC32" s="176"/>
      <c r="BD32" s="170"/>
    </row>
    <row r="33" spans="2:57" s="171" customFormat="1" outlineLevel="1">
      <c r="B33" s="188"/>
      <c r="C33" s="177">
        <f>SUMIF(AK$10:AK$16,$B33,AO$10:AO$16)</f>
        <v>0</v>
      </c>
      <c r="D33" s="177">
        <f>SUMIF(AQ$10:AQ$16,$B33,AU$10:AU$16)</f>
        <v>0</v>
      </c>
      <c r="E33" s="177">
        <f>SUMIF(AW$10:AW$16,$B33,BA$10:BA$16)</f>
        <v>0</v>
      </c>
      <c r="F33" s="177">
        <f>SUMIF(BC$10:BC$16,$B33,BG$10:BG$16)</f>
        <v>0</v>
      </c>
      <c r="G33" s="177">
        <f>SUMIF(BI$10:BI$16,$B33,BM$10:BM$16)</f>
        <v>0</v>
      </c>
      <c r="H33" s="177">
        <f>SUMIF(BO$10:BO$16,$B33,BS$10:BS$16)</f>
        <v>0</v>
      </c>
      <c r="I33" s="177">
        <f>SUMIF(BU$10:BU$16,$B33,BY$10:BY$16)</f>
        <v>0</v>
      </c>
      <c r="J33" s="177">
        <f>SUMIF(CA$10:CA$16,$B33,CE$10:CE$16)</f>
        <v>0</v>
      </c>
      <c r="K33" s="177">
        <f>SUM(C33:J33)</f>
        <v>0</v>
      </c>
      <c r="BA33" s="170"/>
      <c r="BB33" s="176"/>
      <c r="BC33" s="176"/>
      <c r="BD33" s="170"/>
    </row>
    <row r="34" spans="2:57" s="171" customFormat="1" ht="25.5" outlineLevel="1">
      <c r="B34" s="189" t="s">
        <v>365</v>
      </c>
      <c r="C34" s="190">
        <f t="shared" ref="C34:J34" si="18">SUM(C29:C33)</f>
        <v>618.23924999999997</v>
      </c>
      <c r="D34" s="190">
        <f t="shared" si="18"/>
        <v>162.99</v>
      </c>
      <c r="E34" s="190">
        <f t="shared" si="18"/>
        <v>18.954000000000001</v>
      </c>
      <c r="F34" s="190">
        <f t="shared" si="18"/>
        <v>18.954000000000001</v>
      </c>
      <c r="G34" s="190">
        <f t="shared" si="18"/>
        <v>39.6</v>
      </c>
      <c r="H34" s="190">
        <f t="shared" si="18"/>
        <v>18.917999999999999</v>
      </c>
      <c r="I34" s="190">
        <f t="shared" si="18"/>
        <v>1.9872000000000001</v>
      </c>
      <c r="J34" s="190">
        <f t="shared" si="18"/>
        <v>1.9872000000000001</v>
      </c>
      <c r="K34" s="190">
        <f>SUM(K29:K33)</f>
        <v>881.62964999999997</v>
      </c>
      <c r="L34" s="190"/>
      <c r="M34" s="190"/>
      <c r="N34" s="190"/>
      <c r="BA34" s="170"/>
      <c r="BB34" s="176"/>
      <c r="BC34" s="176"/>
      <c r="BD34" s="170"/>
    </row>
    <row r="35" spans="2:57" s="171" customFormat="1">
      <c r="BB35" s="170"/>
      <c r="BC35" s="176"/>
      <c r="BD35" s="176"/>
      <c r="BE35" s="170"/>
    </row>
    <row r="36" spans="2:57" s="171" customFormat="1" ht="39.75" customHeight="1" thickBot="1">
      <c r="B36" s="244" t="s">
        <v>366</v>
      </c>
      <c r="C36" s="244" t="str">
        <f>C28</f>
        <v>DAIRY CATTLE</v>
      </c>
      <c r="D36" s="244" t="str">
        <f t="shared" ref="D36:E36" si="19">D28</f>
        <v>MEAT CATTLE</v>
      </c>
      <c r="E36" s="244" t="str">
        <f t="shared" si="19"/>
        <v>SHEEP (milk and meat)</v>
      </c>
      <c r="F36" s="244"/>
      <c r="G36" s="244" t="str">
        <f>F28</f>
        <v>GOAT (milk and meat)</v>
      </c>
      <c r="H36" s="244" t="str">
        <f>G28</f>
        <v>Other RUMINANTS</v>
      </c>
      <c r="I36" s="244" t="str">
        <f>H28</f>
        <v>PIGS</v>
      </c>
      <c r="J36" s="244" t="str">
        <f>I28</f>
        <v>POULTRIES</v>
      </c>
      <c r="K36" s="244" t="str">
        <f>J28</f>
        <v>Laying HENS</v>
      </c>
      <c r="L36" s="316" t="s">
        <v>367</v>
      </c>
      <c r="M36" s="196"/>
      <c r="N36" s="196"/>
      <c r="P36" s="186" t="s">
        <v>368</v>
      </c>
      <c r="Q36" s="204" t="str">
        <f>C36</f>
        <v>DAIRY CATTLE</v>
      </c>
      <c r="R36" s="204" t="str">
        <f t="shared" ref="R36:Y36" si="20">D36</f>
        <v>MEAT CATTLE</v>
      </c>
      <c r="S36" s="204" t="str">
        <f t="shared" si="20"/>
        <v>SHEEP (milk and meat)</v>
      </c>
      <c r="T36" s="204">
        <f t="shared" si="20"/>
        <v>0</v>
      </c>
      <c r="U36" s="204" t="str">
        <f t="shared" si="20"/>
        <v>GOAT (milk and meat)</v>
      </c>
      <c r="V36" s="204" t="str">
        <f t="shared" si="20"/>
        <v>Other RUMINANTS</v>
      </c>
      <c r="W36" s="204" t="str">
        <f t="shared" si="20"/>
        <v>PIGS</v>
      </c>
      <c r="X36" s="204" t="str">
        <f t="shared" si="20"/>
        <v>POULTRIES</v>
      </c>
      <c r="Y36" s="204" t="str">
        <f t="shared" si="20"/>
        <v>Laying HENS</v>
      </c>
      <c r="Z36" s="298" t="s">
        <v>369</v>
      </c>
      <c r="BB36" s="170"/>
      <c r="BC36" s="176"/>
      <c r="BD36" s="176"/>
      <c r="BE36" s="170"/>
    </row>
    <row r="37" spans="2:57" s="171" customFormat="1" ht="15.75" thickBot="1">
      <c r="B37" s="244" t="str">
        <f>B29</f>
        <v>pasture</v>
      </c>
      <c r="C37" s="244">
        <f ca="1">SUMIF($AK$10:$AP$16,$B37,$AP$10:$AP$16)</f>
        <v>13.73865</v>
      </c>
      <c r="D37" s="244">
        <f ca="1">SUMIF($AQ$10:$AV$16,$B37,$AV$10:$AV$16)</f>
        <v>3.6219999999999999</v>
      </c>
      <c r="E37" s="244">
        <f ca="1">SUMIF($AW$10:$BB$16,$B37,$BB$10:$BB$16)</f>
        <v>0.21059999999999998</v>
      </c>
      <c r="F37" s="244"/>
      <c r="G37" s="244">
        <f ca="1">SUMIF($BC$10:$BH$16,$B37,$BH$10:$BH$16)</f>
        <v>0.21059999999999998</v>
      </c>
      <c r="H37" s="244">
        <f ca="1">SUMIF($BI$10:$BN$16,$B37,$BN$10:$BN$16)</f>
        <v>0.44</v>
      </c>
      <c r="I37" s="244">
        <f ca="1">SUMIF($BO$10:$BT$16,$B37,$BT$10:$BT$16)</f>
        <v>0.4204</v>
      </c>
      <c r="J37" s="244">
        <f ca="1">SUMIF($BU$10:$BZ$16,$B37,$BZ$10:$BZ$16)</f>
        <v>4.4160000000000005E-2</v>
      </c>
      <c r="K37" s="267">
        <f ca="1">SUMIF($CA$10:$CF$16,$B37,$CF$10:$CF$16)</f>
        <v>4.4160000000000005E-2</v>
      </c>
      <c r="L37" s="317">
        <f ca="1">SUM(C37:K37)</f>
        <v>18.730570000000004</v>
      </c>
      <c r="M37" s="196"/>
      <c r="N37" s="196"/>
      <c r="P37" s="300" t="str">
        <f>B37</f>
        <v>pasture</v>
      </c>
      <c r="Q37" s="299">
        <f ca="1">SUMIF($AK$10:$AP$16,$B37,$AM$10:$AM$16)</f>
        <v>68.693250000000006</v>
      </c>
      <c r="R37" s="299">
        <f ca="1">SUMIF($AQ$10:$AV$16,$B37,$AS$10:$AS$16)</f>
        <v>18.11</v>
      </c>
      <c r="S37" s="299">
        <f ca="1">SUMIF($AW$10:$BB$16,$B37,$AY$10:$AY$16)</f>
        <v>2.1059999999999999</v>
      </c>
      <c r="T37" s="299" t="e">
        <f>SUMIF(#REF!,$B37,#REF!)</f>
        <v>#REF!</v>
      </c>
      <c r="U37" s="299">
        <f ca="1">SUMIF($BC$10:$BH$16,$B37,$BE$10:$BE$16)</f>
        <v>2.1059999999999999</v>
      </c>
      <c r="V37" s="299">
        <f ca="1">SUMIF($BI$10:$BN$16,$B37,$BK$10:$BK$16)</f>
        <v>4.4000000000000004</v>
      </c>
      <c r="W37" s="299">
        <f ca="1">SUMIF($BO$10:$BT$16,$B37,$BQ$10:$BQ$16)</f>
        <v>2.1019999999999999</v>
      </c>
      <c r="X37" s="299">
        <f ca="1">SUMIF($BU$10:$BZ$16,$B37,$BW$10:$BW$16)</f>
        <v>0.22080000000000002</v>
      </c>
      <c r="Y37" s="299">
        <f ca="1">SUMIF($CA$10:$CF$16,$B37,$CC$10:$CC$16)</f>
        <v>0.22080000000000002</v>
      </c>
      <c r="Z37" s="299" t="e">
        <f ca="1">SUM(Q37:Y37)</f>
        <v>#REF!</v>
      </c>
      <c r="BB37" s="170"/>
      <c r="BC37" s="176"/>
      <c r="BD37" s="176"/>
      <c r="BE37" s="170"/>
    </row>
    <row r="38" spans="2:57" s="171" customFormat="1" ht="15">
      <c r="B38" s="244" t="str">
        <f>B30</f>
        <v>liquid</v>
      </c>
      <c r="C38" s="244">
        <f ca="1">SUMIF($AK$10:$AP$16,$B38,$AP$10:$AP$16)</f>
        <v>0</v>
      </c>
      <c r="D38" s="244">
        <f ca="1">SUMIF($AQ$10:$AV$16,$B38,$AV$10:$AV$16)</f>
        <v>0</v>
      </c>
      <c r="E38" s="244">
        <f ca="1">SUMIF($AW$10:$BB$16,$B38,$BB$10:$BB$16)</f>
        <v>0</v>
      </c>
      <c r="F38" s="244"/>
      <c r="G38" s="244">
        <f ca="1">SUMIF($BC$10:$BH$16,$B38,$BH$10:$BH$16)</f>
        <v>0</v>
      </c>
      <c r="H38" s="244">
        <f ca="1">SUMIF($BI$10:$BN$16,$B38,$BN$10:$BN$16)</f>
        <v>0</v>
      </c>
      <c r="I38" s="244">
        <f ca="1">SUMIF($BO$10:$BT$16,$B38,$BT$10:$BT$16)</f>
        <v>0</v>
      </c>
      <c r="J38" s="244">
        <f ca="1">SUMIF($BU$10:$BZ$16,$B38,$BZ$10:$BZ$16)</f>
        <v>0</v>
      </c>
      <c r="K38" s="244">
        <f ca="1">SUMIF($CA$10:$CF$16,$B38,$CF$10:$CF$16)</f>
        <v>0</v>
      </c>
      <c r="L38" s="318">
        <f ca="1">SUM(C38:K38)</f>
        <v>0</v>
      </c>
      <c r="P38" s="300" t="str">
        <f>B38</f>
        <v>liquid</v>
      </c>
      <c r="Q38" s="299">
        <f ca="1">SUMIF($AK$10:$AP$16,$B38,$AM$10:$AM$16)</f>
        <v>0</v>
      </c>
      <c r="R38" s="299">
        <f ca="1">SUMIF($AQ$10:$AV$16,$B38,$AS$10:$AS$16)</f>
        <v>0</v>
      </c>
      <c r="S38" s="299">
        <f ca="1">SUMIF($AW$10:$BB$16,$B38,$AY$10:$AY$16)</f>
        <v>0</v>
      </c>
      <c r="T38" s="299" t="e">
        <f>SUMIF(#REF!,$B38,#REF!)</f>
        <v>#REF!</v>
      </c>
      <c r="U38" s="299">
        <f ca="1">SUMIF($BC$10:$BH$16,$B38,$BE$10:$BE$16)</f>
        <v>0</v>
      </c>
      <c r="V38" s="299">
        <f ca="1">SUMIF($BI$10:$BN$16,$B38,$BK$10:$BK$16)</f>
        <v>0</v>
      </c>
      <c r="W38" s="299">
        <f ca="1">SUMIF($BO$10:$BT$16,$B38,$BQ$10:$BQ$16)</f>
        <v>0</v>
      </c>
      <c r="X38" s="299">
        <f ca="1">SUMIF($BU$10:$BZ$16,$B38,$BW$10:$BW$16)</f>
        <v>0</v>
      </c>
      <c r="Y38" s="299">
        <f ca="1">SUMIF($CA$10:$CF$16,$B38,$CC$10:$CC$16)</f>
        <v>0</v>
      </c>
      <c r="Z38" s="299" t="e">
        <f ca="1">SUM(Q38:Y38)</f>
        <v>#REF!</v>
      </c>
      <c r="BB38" s="170"/>
      <c r="BC38" s="176"/>
      <c r="BD38" s="176"/>
      <c r="BE38" s="170"/>
    </row>
    <row r="39" spans="2:57" s="171" customFormat="1" ht="15">
      <c r="B39" s="244" t="str">
        <f>B31</f>
        <v>solid</v>
      </c>
      <c r="C39" s="244">
        <f ca="1">SUMIF($AK$10:$AP$16,$B39,$AP$10:$AP$16)</f>
        <v>0</v>
      </c>
      <c r="D39" s="244">
        <f ca="1">SUMIF($AQ$10:$AV$16,$B39,$AV$10:$AV$16)</f>
        <v>0</v>
      </c>
      <c r="E39" s="244">
        <f ca="1">SUMIF($AW$10:$BB$16,$B39,$BB$10:$BB$16)</f>
        <v>0</v>
      </c>
      <c r="F39" s="244"/>
      <c r="G39" s="244">
        <f ca="1">SUMIF($BC$10:$BH$16,$B39,$BH$10:$BH$16)</f>
        <v>0</v>
      </c>
      <c r="H39" s="244">
        <f ca="1">SUMIF($BI$10:$BN$16,$B39,$BN$10:$BN$16)</f>
        <v>0</v>
      </c>
      <c r="I39" s="244">
        <f ca="1">SUMIF(BO$10:BT$16,$B39,BT$10:BT$16)</f>
        <v>0</v>
      </c>
      <c r="J39" s="244">
        <f ca="1">SUMIF($BU$10:$BZ$16,$B39,$BZ$10:$BZ$16)</f>
        <v>0</v>
      </c>
      <c r="K39" s="244">
        <f ca="1">SUMIF($CA$10:$CF$16,$B39,$CF$10:$CF$16)</f>
        <v>0</v>
      </c>
      <c r="L39" s="271">
        <f ca="1">SUM(C39:K39)</f>
        <v>0</v>
      </c>
      <c r="M39" s="173"/>
      <c r="P39" s="300" t="str">
        <f>B39</f>
        <v>solid</v>
      </c>
      <c r="Q39" s="299">
        <f ca="1">SUMIF($AK$10:$AP$16,$B39,$AM$10:$AM$16)</f>
        <v>0</v>
      </c>
      <c r="R39" s="299">
        <f ca="1">SUMIF($AQ$10:$AV$16,$B39,$AS$10:$AS$16)</f>
        <v>0</v>
      </c>
      <c r="S39" s="299">
        <f ca="1">SUMIF($AW$10:$BB$16,$B39,$AY$10:$AY$16)</f>
        <v>0</v>
      </c>
      <c r="T39" s="299" t="e">
        <f>SUMIF(#REF!,$B39,#REF!)</f>
        <v>#REF!</v>
      </c>
      <c r="U39" s="299">
        <f ca="1">SUMIF($BC$10:$BH$16,$B39,$BE$10:$BE$16)</f>
        <v>0</v>
      </c>
      <c r="V39" s="299">
        <f ca="1">SUMIF($BI$10:$BN$16,$B39,$BK$10:$BK$16)</f>
        <v>0</v>
      </c>
      <c r="W39" s="299">
        <f ca="1">SUMIF($BO$10:$BT$16,$B39,$BQ$10:$BQ$16)</f>
        <v>0</v>
      </c>
      <c r="X39" s="299">
        <f ca="1">SUMIF($BU$10:$BZ$16,$B39,$BW$10:$BW$16)</f>
        <v>0</v>
      </c>
      <c r="Y39" s="299">
        <f ca="1">SUMIF($CA$10:$CF$16,$B39,$CC$10:$CC$16)</f>
        <v>0</v>
      </c>
      <c r="Z39" s="299" t="e">
        <f ca="1">SUM(Q39:Y39)</f>
        <v>#REF!</v>
      </c>
    </row>
    <row r="40" spans="2:57">
      <c r="C40" s="20"/>
      <c r="P40" s="301"/>
    </row>
    <row r="41" spans="2:57">
      <c r="C41" s="20"/>
    </row>
    <row r="42" spans="2:57">
      <c r="C42" s="20"/>
    </row>
  </sheetData>
  <dataValidations count="8">
    <dataValidation type="list" allowBlank="1" showInputMessage="1" showErrorMessage="1" sqref="B11:B16" xr:uid="{00000000-0002-0000-0400-000000000000}">
      <formula1>MMSdairy</formula1>
    </dataValidation>
    <dataValidation type="list" allowBlank="1" showInputMessage="1" showErrorMessage="1" sqref="D11:D16" xr:uid="{00000000-0002-0000-0400-000001000000}">
      <formula1>MMSmeatcattle</formula1>
    </dataValidation>
    <dataValidation type="list" allowBlank="1" showInputMessage="1" showErrorMessage="1" sqref="F11:F16" xr:uid="{00000000-0002-0000-0400-000002000000}">
      <formula1>MMSmilksheep</formula1>
    </dataValidation>
    <dataValidation type="list" allowBlank="1" showInputMessage="1" showErrorMessage="1" sqref="H11:H16" xr:uid="{00000000-0002-0000-0400-000003000000}">
      <formula1>MMSgoat</formula1>
    </dataValidation>
    <dataValidation type="list" allowBlank="1" showInputMessage="1" showErrorMessage="1" sqref="J11:J16" xr:uid="{00000000-0002-0000-0400-000004000000}">
      <formula1>MMSrum</formula1>
    </dataValidation>
    <dataValidation type="list" allowBlank="1" showInputMessage="1" showErrorMessage="1" sqref="L11:L16" xr:uid="{00000000-0002-0000-0400-000005000000}">
      <formula1>MMSpig</formula1>
    </dataValidation>
    <dataValidation type="list" allowBlank="1" showInputMessage="1" showErrorMessage="1" sqref="N11:N16" xr:uid="{00000000-0002-0000-0400-000006000000}">
      <formula1>MMSpoultry</formula1>
    </dataValidation>
    <dataValidation type="list" allowBlank="1" showInputMessage="1" showErrorMessage="1" sqref="P11:P16" xr:uid="{00000000-0002-0000-0400-000007000000}">
      <formula1>MMShens</formula1>
    </dataValidation>
  </dataValidations>
  <printOptions horizontalCentered="1" verticalCentered="1"/>
  <pageMargins left="0.59055118110236227" right="0.59055118110236227" top="0.78740157480314965" bottom="0.78740157480314965" header="0.51181102362204722" footer="0.51181102362204722"/>
  <pageSetup paperSize="9" orientation="portrait" horizontalDpi="300" verticalDpi="300" r:id="rId1"/>
  <headerFooter>
    <oddHeader>&amp;RDonnées cheptel, alimentation et matières organiques</oddHeader>
    <oddFooter>&amp;LSOLAGRO - Bilan PLANETE+GES+N agriculture v1 juillet 2006&amp;R&amp;A - &amp;P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
  <sheetViews>
    <sheetView workbookViewId="0">
      <selection activeCell="B8" sqref="B8"/>
    </sheetView>
  </sheetViews>
  <sheetFormatPr baseColWidth="10" defaultRowHeight="15"/>
  <cols>
    <col min="1" max="1" width="33.7109375" bestFit="1" customWidth="1"/>
  </cols>
  <sheetData>
    <row r="1" spans="1:3" ht="18.75">
      <c r="A1" s="319" t="s">
        <v>666</v>
      </c>
    </row>
    <row r="3" spans="1:3" ht="15.75" thickBot="1">
      <c r="A3" s="275" t="s">
        <v>650</v>
      </c>
      <c r="B3" s="275" t="s">
        <v>652</v>
      </c>
      <c r="C3" s="275">
        <v>1</v>
      </c>
    </row>
    <row r="4" spans="1:3" ht="16.5" thickTop="1" thickBot="1">
      <c r="A4" s="275"/>
      <c r="B4" s="275" t="s">
        <v>651</v>
      </c>
      <c r="C4" s="275">
        <v>25</v>
      </c>
    </row>
    <row r="5" spans="1:3" ht="16.5" thickTop="1" thickBot="1">
      <c r="A5" s="275"/>
      <c r="B5" s="275" t="s">
        <v>653</v>
      </c>
      <c r="C5" s="275">
        <v>298</v>
      </c>
    </row>
    <row r="6" spans="1:3" ht="15.75" thickTop="1"/>
    <row r="7" spans="1:3">
      <c r="A7" s="244" t="s">
        <v>644</v>
      </c>
      <c r="B7" s="244">
        <f>Animal!N40</f>
        <v>60500.622210850604</v>
      </c>
      <c r="C7" s="244" t="s">
        <v>649</v>
      </c>
    </row>
    <row r="8" spans="1:3">
      <c r="A8" s="244" t="s">
        <v>645</v>
      </c>
      <c r="B8" s="244">
        <f>Animal!O40</f>
        <v>1152.72090645195</v>
      </c>
      <c r="C8" s="244" t="s">
        <v>649</v>
      </c>
    </row>
    <row r="9" spans="1:3">
      <c r="A9" s="244" t="s">
        <v>646</v>
      </c>
      <c r="B9" s="244">
        <f ca="1">Manure!L37*44/28</f>
        <v>29.43375285714286</v>
      </c>
      <c r="C9" s="244" t="s">
        <v>648</v>
      </c>
    </row>
    <row r="10" spans="1:3">
      <c r="A10" s="244" t="s">
        <v>667</v>
      </c>
      <c r="B10" s="244">
        <f ca="1">(Manure!L38+Manure!L39)*44/28</f>
        <v>0</v>
      </c>
      <c r="C10" s="244" t="s">
        <v>648</v>
      </c>
    </row>
    <row r="13" spans="1:3" ht="30">
      <c r="A13" s="271" t="s">
        <v>654</v>
      </c>
      <c r="B13" s="271">
        <f>B7*C4</f>
        <v>1512515.5552712651</v>
      </c>
      <c r="C13" s="271" t="s">
        <v>658</v>
      </c>
    </row>
    <row r="14" spans="1:3" ht="30">
      <c r="A14" s="271" t="s">
        <v>655</v>
      </c>
      <c r="B14" s="271">
        <f ca="1">B8*C4+B10*C5</f>
        <v>28818.02266129875</v>
      </c>
      <c r="C14" s="271" t="s">
        <v>658</v>
      </c>
    </row>
    <row r="15" spans="1:3" ht="30">
      <c r="A15" s="271" t="s">
        <v>656</v>
      </c>
      <c r="B15" s="271">
        <f ca="1">B9*C5</f>
        <v>8771.2583514285725</v>
      </c>
      <c r="C15" s="271" t="s">
        <v>658</v>
      </c>
    </row>
    <row r="16" spans="1:3" ht="30">
      <c r="A16" s="271" t="s">
        <v>657</v>
      </c>
      <c r="B16" s="271">
        <f>Feeds!K292</f>
        <v>74.561886399999977</v>
      </c>
      <c r="C16" s="271" t="s">
        <v>658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Colour code</vt:lpstr>
      <vt:lpstr>Animal</vt:lpstr>
      <vt:lpstr>Standard data</vt:lpstr>
      <vt:lpstr>Feeds</vt:lpstr>
      <vt:lpstr>Manure</vt:lpstr>
      <vt:lpstr>Results</vt:lpstr>
      <vt:lpstr>complexfeedcows</vt:lpstr>
      <vt:lpstr>complexfeedpigs</vt:lpstr>
      <vt:lpstr>complexfeedpoultry</vt:lpstr>
      <vt:lpstr>complexfeedrum</vt:lpstr>
      <vt:lpstr>Forage</vt:lpstr>
      <vt:lpstr>MMSdairy</vt:lpstr>
      <vt:lpstr>MMSgoat</vt:lpstr>
      <vt:lpstr>MMShens</vt:lpstr>
      <vt:lpstr>MMSmeatcattle</vt:lpstr>
      <vt:lpstr>MMSmeatsheep</vt:lpstr>
      <vt:lpstr>MMSmilksheep</vt:lpstr>
      <vt:lpstr>MMSpig</vt:lpstr>
      <vt:lpstr>MMSpoultry</vt:lpstr>
      <vt:lpstr>MMSrum</vt:lpstr>
      <vt:lpstr>simplefeedstuff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2021-05-18T21:30:39Z</dcterms:modified>
</cp:coreProperties>
</file>