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 filterPrivacy="1" defaultThemeVersion="124226"/>
  <bookViews>
    <workbookView xWindow="240" yWindow="108" windowWidth="14808" windowHeight="8016" firstSheet="2" activeTab="2"/>
  </bookViews>
  <sheets>
    <sheet name="Immobilisation " sheetId="1" r:id="rId1"/>
    <sheet name="charges création" sheetId="6" r:id="rId2"/>
    <sheet name="financement" sheetId="2" r:id="rId3"/>
    <sheet name="Bilan " sheetId="10" r:id="rId4"/>
    <sheet name="compte de résultat " sheetId="3" r:id="rId5"/>
    <sheet name="frais généraux" sheetId="9" r:id="rId6"/>
    <sheet name="charge du personnel" sheetId="8" r:id="rId7"/>
    <sheet name="CA Prévisionnel" sheetId="7" r:id="rId8"/>
    <sheet name="Seuil de rentabilité" sheetId="5" r:id="rId9"/>
  </sheets>
  <externalReferences>
    <externalReference r:id="rId10"/>
  </externalReferences>
  <calcPr calcId="162913"/>
</workbook>
</file>

<file path=xl/calcChain.xml><?xml version="1.0" encoding="utf-8"?>
<calcChain xmlns="http://schemas.openxmlformats.org/spreadsheetml/2006/main">
  <c r="B14" i="3" l="1"/>
  <c r="C10" i="10"/>
  <c r="D10" i="10"/>
  <c r="D11" i="10" s="1"/>
  <c r="B26" i="10" l="1"/>
  <c r="B10" i="10"/>
  <c r="B11" i="10" s="1"/>
  <c r="B14" i="10"/>
  <c r="B22" i="10"/>
  <c r="C19" i="10"/>
  <c r="D19" i="10" s="1"/>
  <c r="D14" i="10" l="1"/>
  <c r="D15" i="10" s="1"/>
  <c r="D22" i="10"/>
  <c r="D26" i="10"/>
  <c r="C11" i="10"/>
  <c r="B27" i="10"/>
  <c r="B15" i="10"/>
  <c r="C14" i="10"/>
  <c r="C26" i="10"/>
  <c r="C22" i="10"/>
  <c r="D27" i="10" l="1"/>
  <c r="C27" i="10"/>
  <c r="C15" i="10"/>
  <c r="E20" i="5" l="1"/>
  <c r="E19" i="5"/>
  <c r="I20" i="3"/>
  <c r="C20" i="9"/>
  <c r="D20" i="9"/>
  <c r="E20" i="9"/>
  <c r="B20" i="9"/>
  <c r="B33" i="3"/>
  <c r="C26" i="3"/>
  <c r="C8" i="8"/>
  <c r="D8" i="8" s="1"/>
  <c r="C7" i="8"/>
  <c r="G7" i="8" s="1"/>
  <c r="D7" i="8"/>
  <c r="E7" i="8" s="1"/>
  <c r="F7" i="8" s="1"/>
  <c r="D4" i="8"/>
  <c r="E4" i="8" s="1"/>
  <c r="F4" i="8" s="1"/>
  <c r="D3" i="8"/>
  <c r="F6" i="8"/>
  <c r="H6" i="8" s="1"/>
  <c r="F5" i="8"/>
  <c r="E5" i="8"/>
  <c r="F3" i="8"/>
  <c r="G4" i="8"/>
  <c r="G5" i="8"/>
  <c r="G3" i="8"/>
  <c r="C38" i="1"/>
  <c r="C39" i="1" s="1"/>
  <c r="C40" i="1" s="1"/>
  <c r="C41" i="1" s="1"/>
  <c r="C42" i="1" s="1"/>
  <c r="C43" i="1" s="1"/>
  <c r="C44" i="1" s="1"/>
  <c r="C45" i="1" s="1"/>
  <c r="C46" i="1" s="1"/>
  <c r="D10" i="9"/>
  <c r="E10" i="9"/>
  <c r="D11" i="9"/>
  <c r="E11" i="9"/>
  <c r="D12" i="9"/>
  <c r="E12" i="9"/>
  <c r="D13" i="9"/>
  <c r="E13" i="9"/>
  <c r="D15" i="9"/>
  <c r="E15" i="9"/>
  <c r="C18" i="9"/>
  <c r="D18" i="9" s="1"/>
  <c r="E18" i="9" s="1"/>
  <c r="B16" i="9"/>
  <c r="C15" i="9"/>
  <c r="C14" i="9"/>
  <c r="D14" i="9" s="1"/>
  <c r="E14" i="9" s="1"/>
  <c r="C13" i="9"/>
  <c r="C12" i="9"/>
  <c r="C11" i="9"/>
  <c r="C10" i="9"/>
  <c r="C9" i="9"/>
  <c r="D9" i="9" s="1"/>
  <c r="E9" i="9" s="1"/>
  <c r="C25" i="7"/>
  <c r="D25" i="7" s="1"/>
  <c r="E25" i="7" s="1"/>
  <c r="F25" i="7" s="1"/>
  <c r="D26" i="7"/>
  <c r="E26" i="7" s="1"/>
  <c r="D27" i="7"/>
  <c r="E27" i="7" s="1"/>
  <c r="F27" i="7" s="1"/>
  <c r="G27" i="7" s="1"/>
  <c r="C28" i="7"/>
  <c r="D28" i="7"/>
  <c r="E28" i="7" s="1"/>
  <c r="C36" i="2"/>
  <c r="C37" i="2"/>
  <c r="C38" i="2"/>
  <c r="C39" i="2"/>
  <c r="A37" i="2"/>
  <c r="A38" i="2"/>
  <c r="A39" i="2" s="1"/>
  <c r="A36" i="2"/>
  <c r="C35" i="2"/>
  <c r="D15" i="1"/>
  <c r="B13" i="6"/>
  <c r="K9" i="3"/>
  <c r="H3" i="8" l="1"/>
  <c r="G8" i="8"/>
  <c r="G9" i="8" s="1"/>
  <c r="H7" i="8"/>
  <c r="E8" i="8"/>
  <c r="F8" i="8" s="1"/>
  <c r="H5" i="8"/>
  <c r="H4" i="8"/>
  <c r="C16" i="9"/>
  <c r="D16" i="9" s="1"/>
  <c r="E16" i="9" s="1"/>
  <c r="G25" i="7"/>
  <c r="F26" i="7"/>
  <c r="G26" i="7" s="1"/>
  <c r="E29" i="7"/>
  <c r="B18" i="3"/>
  <c r="B23" i="3" s="1"/>
  <c r="B25" i="3" s="1"/>
  <c r="B26" i="3" s="1"/>
  <c r="D35" i="2"/>
  <c r="C14" i="3"/>
  <c r="C18" i="3" s="1"/>
  <c r="D14" i="3"/>
  <c r="D18" i="3" s="1"/>
  <c r="E22" i="2"/>
  <c r="E17" i="2"/>
  <c r="B20" i="2"/>
  <c r="D8" i="1"/>
  <c r="D9" i="1"/>
  <c r="D10" i="1"/>
  <c r="D11" i="1"/>
  <c r="D13" i="1"/>
  <c r="D14" i="1"/>
  <c r="D7" i="1"/>
  <c r="C23" i="3" l="1"/>
  <c r="D23" i="3"/>
  <c r="H8" i="8"/>
  <c r="H9" i="8" s="1"/>
  <c r="F9" i="8"/>
  <c r="G29" i="7"/>
  <c r="F29" i="7"/>
  <c r="E23" i="2"/>
  <c r="B21" i="2" s="1"/>
  <c r="B23" i="2" s="1"/>
  <c r="D17" i="1"/>
  <c r="D18" i="1" s="1"/>
  <c r="D24" i="3" l="1"/>
  <c r="D25" i="3" s="1"/>
  <c r="D26" i="3" s="1"/>
  <c r="C24" i="3"/>
  <c r="C25" i="3" s="1"/>
</calcChain>
</file>

<file path=xl/sharedStrings.xml><?xml version="1.0" encoding="utf-8"?>
<sst xmlns="http://schemas.openxmlformats.org/spreadsheetml/2006/main" count="196" uniqueCount="171">
  <si>
    <t>IMMOBILISATIONS</t>
  </si>
  <si>
    <t xml:space="preserve">INTITULES </t>
  </si>
  <si>
    <t xml:space="preserve">PU </t>
  </si>
  <si>
    <t xml:space="preserve">QTITE </t>
  </si>
  <si>
    <t>TOTAL</t>
  </si>
  <si>
    <t>TAPIS</t>
  </si>
  <si>
    <t>VELO ELIPTIQUE</t>
  </si>
  <si>
    <t>VELO</t>
  </si>
  <si>
    <t>BANCS</t>
  </si>
  <si>
    <t xml:space="preserve">EQUIPEMENT </t>
  </si>
  <si>
    <t>AMEUBLEMENT</t>
  </si>
  <si>
    <t>ORDINATEUR</t>
  </si>
  <si>
    <t>TELE</t>
  </si>
  <si>
    <t>AMENAGEMENT</t>
  </si>
  <si>
    <t xml:space="preserve">TOTAL </t>
  </si>
  <si>
    <t xml:space="preserve">DEPENSE DE CREATION </t>
  </si>
  <si>
    <t xml:space="preserve">IMMOBILISATION </t>
  </si>
  <si>
    <t xml:space="preserve">LOYER +CAUTION </t>
  </si>
  <si>
    <t xml:space="preserve">DEPOT DE GARANTIE CB </t>
  </si>
  <si>
    <t>HONORAIRE POUR CREATION</t>
  </si>
  <si>
    <t xml:space="preserve">PUBLICITE + SITE </t>
  </si>
  <si>
    <t xml:space="preserve">CAPITAL </t>
  </si>
  <si>
    <t>MONTAGE FINANCIER DU PROJET</t>
  </si>
  <si>
    <t>BESOINS</t>
  </si>
  <si>
    <t>Durée</t>
  </si>
  <si>
    <t>RESSOURCES</t>
  </si>
  <si>
    <t>Investissements</t>
  </si>
  <si>
    <t>Amt.</t>
  </si>
  <si>
    <t>Fonds propres</t>
  </si>
  <si>
    <t>Murs</t>
  </si>
  <si>
    <t>Capital</t>
  </si>
  <si>
    <t>Fonds commercial</t>
  </si>
  <si>
    <t>Comptes-courants</t>
  </si>
  <si>
    <t>Droits et honoraires</t>
  </si>
  <si>
    <t>Subventions</t>
  </si>
  <si>
    <t>Aménagements</t>
  </si>
  <si>
    <t>...</t>
  </si>
  <si>
    <t>Matériel</t>
  </si>
  <si>
    <t>Total</t>
  </si>
  <si>
    <t>Emprunts et crédit-bail</t>
  </si>
  <si>
    <t>Emprunts bancaires</t>
  </si>
  <si>
    <t>Crédit-bail</t>
  </si>
  <si>
    <t>Fonds de roulement</t>
  </si>
  <si>
    <t>Total emplois</t>
  </si>
  <si>
    <t>Total ressources</t>
  </si>
  <si>
    <t>EMPRUNT</t>
  </si>
  <si>
    <t>CAPITAL REMBOURSE</t>
  </si>
  <si>
    <t xml:space="preserve">INTERET </t>
  </si>
  <si>
    <t>ANNUITES</t>
  </si>
  <si>
    <t>DOTATION AU AMORTISSEMENT</t>
  </si>
  <si>
    <t xml:space="preserve">10 ans </t>
  </si>
  <si>
    <t>ANNEE</t>
  </si>
  <si>
    <t xml:space="preserve">MONTANT </t>
  </si>
  <si>
    <t xml:space="preserve">CUMUL </t>
  </si>
  <si>
    <t>Année 1</t>
  </si>
  <si>
    <t>Année 2</t>
  </si>
  <si>
    <t>Année 3</t>
  </si>
  <si>
    <t>Chiffre d'affaires</t>
  </si>
  <si>
    <t>Charges de personnel</t>
  </si>
  <si>
    <t>Impôts et taxes</t>
  </si>
  <si>
    <t>Frais généraux hors loyers</t>
  </si>
  <si>
    <t>Résultat Brut d'Exploitation</t>
  </si>
  <si>
    <t>Loyers</t>
  </si>
  <si>
    <t>Redevances de crédit-bail</t>
  </si>
  <si>
    <t>Dotations aux amortissements</t>
  </si>
  <si>
    <t>Résultat imposable</t>
  </si>
  <si>
    <t>Impôts sur les bénéfices</t>
  </si>
  <si>
    <t>Résultat net</t>
  </si>
  <si>
    <t>Capacité d'autofinancement (*)</t>
  </si>
  <si>
    <t>ETUDIANT</t>
  </si>
  <si>
    <t>ABONNEMENT SANS GARDERIE</t>
  </si>
  <si>
    <t>ABONNEMEMENT AVEC GARDERIE</t>
  </si>
  <si>
    <t>GARDERIE</t>
  </si>
  <si>
    <t>MENSUEL</t>
  </si>
  <si>
    <t>ANNEE 1</t>
  </si>
  <si>
    <t>ANNEE 2</t>
  </si>
  <si>
    <t>ANNEE 3</t>
  </si>
  <si>
    <t>ETUDIANTS</t>
  </si>
  <si>
    <t xml:space="preserve">ABONNEMENT SANS GARDERIE </t>
  </si>
  <si>
    <t>ABONNEMENT AVEC GARDERIE</t>
  </si>
  <si>
    <t xml:space="preserve">GARDERIE </t>
  </si>
  <si>
    <t>PU</t>
  </si>
  <si>
    <t>QTITE</t>
  </si>
  <si>
    <t>LOYER</t>
  </si>
  <si>
    <t xml:space="preserve">ENTRETIENT MATERIEL </t>
  </si>
  <si>
    <t>PUBLICITE</t>
  </si>
  <si>
    <t xml:space="preserve">ELECTRICITE </t>
  </si>
  <si>
    <t>EAU</t>
  </si>
  <si>
    <t>PETIT EQUIPEMENT</t>
  </si>
  <si>
    <t>HONORAIRE COMPTABLE</t>
  </si>
  <si>
    <t>ENTRETIEN SALLE</t>
  </si>
  <si>
    <t>ANNEE3</t>
  </si>
  <si>
    <t>NOM ET PRENOM</t>
  </si>
  <si>
    <t>RESPONSABILITE</t>
  </si>
  <si>
    <t>SALAIRE MENSUEL BRUT</t>
  </si>
  <si>
    <t>CHARGE PATRONAL</t>
  </si>
  <si>
    <t>Mireille DELOIS</t>
  </si>
  <si>
    <t>MANAGER</t>
  </si>
  <si>
    <t>Elodie DEBONNE</t>
  </si>
  <si>
    <t xml:space="preserve"> Annie RABE</t>
  </si>
  <si>
    <t>Stéphanie NICOLE</t>
  </si>
  <si>
    <t>Assistante Maternelle</t>
  </si>
  <si>
    <t>Nancie LEBRUN</t>
  </si>
  <si>
    <t>Dieteticienne</t>
  </si>
  <si>
    <t>Chaque jour (lundi-vendredi), il y a 5h  de cours, le samedi 7h de cours et le dimanche 3h de cours.</t>
  </si>
  <si>
    <t>coaches</t>
  </si>
  <si>
    <t xml:space="preserve"> </t>
  </si>
  <si>
    <t xml:space="preserve">Or ici ill n'y a pas de charge variable étant donné que c'est une prestation de service </t>
  </si>
  <si>
    <t>SR EN MOIS</t>
  </si>
  <si>
    <t>SR= CF/((CA-CV)/CA)</t>
  </si>
  <si>
    <t xml:space="preserve">INTITULE </t>
  </si>
  <si>
    <t xml:space="preserve">IMPRIMANTE </t>
  </si>
  <si>
    <t xml:space="preserve">dépôt de garantie </t>
  </si>
  <si>
    <t xml:space="preserve">Le tapis de course a été pris  en crédit bail  pendant 5 ans </t>
  </si>
  <si>
    <t xml:space="preserve">redevance </t>
  </si>
  <si>
    <t xml:space="preserve">levée d'option </t>
  </si>
  <si>
    <t xml:space="preserve">Immobilisation début exercice </t>
  </si>
  <si>
    <t>LA SOCIETE A CONTRACTE LE 1 JANVIER 2017 UN  EMPRUNT DE 60 000 EUROS REMBOURSABLE EN 10 ANS A CAPITAL CONSTANT AVEC UN TAUX DE 6%.</t>
  </si>
  <si>
    <t>TARIFS</t>
  </si>
  <si>
    <t xml:space="preserve">ETUDIANT </t>
  </si>
  <si>
    <t>3,5/H</t>
  </si>
  <si>
    <t>CHIFFRE D'AFFAIRES</t>
  </si>
  <si>
    <t xml:space="preserve">A la première année la salle de sport compte 106 adhérénts dont: 40 étudiants, 60 abonnés sans garderie et 80 abonnés avec garderie </t>
  </si>
  <si>
    <t>Les heures de garderie en dehors des activités sportives ou sollicité par des personnes non adhérent compte en moyenne 1920 h par mois:10 enfants gardé en moyen pendant 8h la journée et 6j/7j</t>
  </si>
  <si>
    <t xml:space="preserve">CHARGE ANNUEL </t>
  </si>
  <si>
    <t>SALAIRE CHARGE MENSUEL</t>
  </si>
  <si>
    <t xml:space="preserve">La  Charge patronal est de 40% du salaire brut </t>
  </si>
  <si>
    <t xml:space="preserve">FRAIS GENERAUX </t>
  </si>
  <si>
    <t>Les charges augmente de 5% par an et le loyer de  2%</t>
  </si>
  <si>
    <t>COMPTE DE RESULAT</t>
  </si>
  <si>
    <t>SALAIRE ANNUEL CHARGE</t>
  </si>
  <si>
    <t>SALAIRE BRUT ANNUEL</t>
  </si>
  <si>
    <t xml:space="preserve">Intérêt emprunt </t>
  </si>
  <si>
    <t xml:space="preserve">ACCUEIL et COMMERCIAL </t>
  </si>
  <si>
    <t>Les coaches et la diététicienne  sont payé de 12 eurosbruts de l’heure.</t>
  </si>
  <si>
    <t>La diéteticienne est présente du mardi au vendredi pour 4h , et le samedi 5h</t>
  </si>
  <si>
    <t>Impots et taxes Année 2 redevable à l'année 3 :</t>
  </si>
  <si>
    <t xml:space="preserve">Charge personnel </t>
  </si>
  <si>
    <t xml:space="preserve">impots sur les sociétés </t>
  </si>
  <si>
    <t>Total impots et taxes</t>
  </si>
  <si>
    <t xml:space="preserve">Pour financer le projet les associers ont apportés des apports en numéraire de 5 000 euros  et ont contracté un emrpunt de 60 000 euros </t>
  </si>
  <si>
    <t xml:space="preserve">Seuil de rentabilité </t>
  </si>
  <si>
    <t xml:space="preserve">FORMULE </t>
  </si>
  <si>
    <t xml:space="preserve">De ce fait le seuil de rentabilité est égal aux charges fixe. </t>
  </si>
  <si>
    <t xml:space="preserve">ANNEE </t>
  </si>
  <si>
    <t>CA</t>
  </si>
  <si>
    <t>CF</t>
  </si>
  <si>
    <t>SR</t>
  </si>
  <si>
    <t xml:space="preserve">DATE </t>
  </si>
  <si>
    <t>SR PAS ATTEINT</t>
  </si>
  <si>
    <t>ACTIF</t>
  </si>
  <si>
    <t>ACTIFS IMMOBILISES</t>
  </si>
  <si>
    <t>Immobilisations (Brut)</t>
  </si>
  <si>
    <t>Amortissements</t>
  </si>
  <si>
    <t>Immobilisations (Net)</t>
  </si>
  <si>
    <t>TOTAL ACTIFS IMMOBILISES</t>
  </si>
  <si>
    <t>ACTIFS CIRCULANTS</t>
  </si>
  <si>
    <t>Trésorerie</t>
  </si>
  <si>
    <t>TOTAL ACTIFS CIRCULANTS</t>
  </si>
  <si>
    <t>TOTAL ACTIF</t>
  </si>
  <si>
    <t>PASSIF</t>
  </si>
  <si>
    <t>CAPITAUX PROPRES</t>
  </si>
  <si>
    <t>Comptes courants</t>
  </si>
  <si>
    <t>Réserves et Résultats</t>
  </si>
  <si>
    <t>TOTAL CAPITAUX PROPRES</t>
  </si>
  <si>
    <t>DETTES</t>
  </si>
  <si>
    <t>Prêts et avances</t>
  </si>
  <si>
    <t>Dette fiscale</t>
  </si>
  <si>
    <t>TOTAL DETTES</t>
  </si>
  <si>
    <t>TOTAL PASSIF</t>
  </si>
  <si>
    <t xml:space="preserve">BILAN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</si>
</sst>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\ &quot;€&quot;;\-#,##0\ &quot;€&quot;;;@"/>
  </numFmts>
  <fonts count="26" x14ac:knownFonts="1">
    <font>
      <sz val="11"/>
      <color theme="1"/>
      <name val="Calibri"/>
      <family val="2"/>
      <scheme val="minor"/>
    </font>
    <font>
      <sz val="10"/>
      <name val="Arial"/>
    </font>
    <font>
      <sz val="10"/>
      <name val="Arial"/>
      <family val="2"/>
    </font>
    <font>
      <sz val="18"/>
      <color theme="3"/>
      <name val="Cambria"/>
      <family val="2"/>
      <scheme val="maj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4"/>
      <color theme="1"/>
      <name val="Times New Roman"/>
      <family val="1"/>
    </font>
    <font>
      <b/>
      <sz val="14"/>
      <color theme="3"/>
      <name val="Times New Roman"/>
      <family val="1"/>
    </font>
    <font>
      <sz val="12"/>
      <color theme="1"/>
      <name val="Times New Roman"/>
      <family val="1"/>
    </font>
    <font>
      <b/>
      <sz val="16"/>
      <color theme="3"/>
      <name val="Times New Roman"/>
      <family val="1"/>
    </font>
    <font>
      <b/>
      <sz val="18"/>
      <color theme="3"/>
      <name val="Times New Roman"/>
      <family val="1"/>
    </font>
    <font>
      <b/>
      <sz val="14"/>
      <color indexed="52"/>
      <name val="Times New Roman"/>
      <family val="1"/>
    </font>
    <font>
      <b/>
      <i/>
      <sz val="12"/>
      <color indexed="52"/>
      <name val="Times New Roman"/>
      <family val="1"/>
    </font>
    <font>
      <b/>
      <i/>
      <sz val="12"/>
      <color indexed="12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sz val="11"/>
      <color rgb="FF000000"/>
      <name val="Times New Roman"/>
      <family val="1"/>
    </font>
    <font>
      <sz val="11"/>
      <name val="Times New Roman"/>
      <family val="1"/>
    </font>
    <font>
      <sz val="11"/>
      <name val="Calibri"/>
      <family val="2"/>
      <scheme val="minor"/>
    </font>
    <font>
      <sz val="14"/>
      <name val="Times New Roman"/>
      <family val="1"/>
    </font>
    <font>
      <i/>
      <sz val="12"/>
      <name val="Times New Roman"/>
      <family val="1"/>
    </font>
    <font>
      <b/>
      <sz val="12"/>
      <color rgb="FF000000"/>
      <name val="Times New Roman"/>
      <family val="1"/>
    </font>
    <font>
      <b/>
      <sz val="12"/>
      <color theme="1"/>
      <name val="Calibri"/>
      <family val="2"/>
      <scheme val="minor"/>
    </font>
    <font>
      <b/>
      <sz val="11"/>
      <color theme="3"/>
      <name val="Times New Roman"/>
      <family val="1"/>
    </font>
    <font>
      <i/>
      <sz val="1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theme="4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" fillId="0" borderId="0"/>
    <xf numFmtId="9" fontId="1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16">
    <xf numFmtId="0" fontId="0" fillId="0" borderId="0" xfId="0"/>
    <xf numFmtId="0" fontId="0" fillId="0" borderId="0" xfId="0" applyAlignment="1">
      <alignment vertical="center"/>
    </xf>
    <xf numFmtId="0" fontId="0" fillId="0" borderId="7" xfId="0" applyBorder="1"/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7" xfId="0" applyFont="1" applyBorder="1"/>
    <xf numFmtId="0" fontId="8" fillId="0" borderId="0" xfId="0" applyFont="1" applyAlignment="1">
      <alignment horizontal="center"/>
    </xf>
    <xf numFmtId="0" fontId="6" fillId="0" borderId="7" xfId="0" applyFont="1" applyBorder="1"/>
    <xf numFmtId="0" fontId="6" fillId="0" borderId="7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4" xfId="0" applyBorder="1" applyAlignment="1">
      <alignment horizontal="center"/>
    </xf>
    <xf numFmtId="0" fontId="9" fillId="0" borderId="7" xfId="0" applyFont="1" applyBorder="1"/>
    <xf numFmtId="0" fontId="9" fillId="0" borderId="0" xfId="0" applyFont="1"/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7" fillId="3" borderId="7" xfId="5" applyFont="1" applyFill="1" applyBorder="1" applyAlignment="1">
      <alignment horizontal="center"/>
    </xf>
    <xf numFmtId="0" fontId="4" fillId="0" borderId="7" xfId="0" applyFont="1" applyBorder="1" applyAlignment="1">
      <alignment horizontal="right"/>
    </xf>
    <xf numFmtId="0" fontId="6" fillId="0" borderId="5" xfId="0" applyFont="1" applyBorder="1" applyAlignment="1">
      <alignment horizontal="right"/>
    </xf>
    <xf numFmtId="0" fontId="6" fillId="0" borderId="6" xfId="0" applyFont="1" applyBorder="1" applyAlignment="1">
      <alignment horizontal="right"/>
    </xf>
    <xf numFmtId="0" fontId="6" fillId="0" borderId="14" xfId="0" applyFont="1" applyBorder="1" applyAlignment="1">
      <alignment horizontal="right"/>
    </xf>
    <xf numFmtId="0" fontId="6" fillId="0" borderId="0" xfId="0" applyFont="1" applyBorder="1" applyAlignment="1">
      <alignment horizontal="right"/>
    </xf>
    <xf numFmtId="0" fontId="9" fillId="0" borderId="0" xfId="0" applyFont="1" applyBorder="1"/>
    <xf numFmtId="0" fontId="12" fillId="0" borderId="0" xfId="1" applyFont="1" applyBorder="1"/>
    <xf numFmtId="0" fontId="13" fillId="0" borderId="0" xfId="1" applyFont="1" applyBorder="1" applyProtection="1">
      <protection locked="0"/>
    </xf>
    <xf numFmtId="0" fontId="13" fillId="0" borderId="0" xfId="1" applyFont="1" applyBorder="1"/>
    <xf numFmtId="0" fontId="14" fillId="0" borderId="0" xfId="1" applyFont="1" applyBorder="1"/>
    <xf numFmtId="0" fontId="15" fillId="0" borderId="5" xfId="1" applyFont="1" applyBorder="1" applyAlignment="1">
      <alignment horizontal="center"/>
    </xf>
    <xf numFmtId="0" fontId="15" fillId="0" borderId="9" xfId="1" applyFont="1" applyBorder="1" applyAlignment="1">
      <alignment horizontal="center"/>
    </xf>
    <xf numFmtId="0" fontId="15" fillId="0" borderId="6" xfId="1" applyFont="1" applyBorder="1" applyAlignment="1">
      <alignment horizontal="center"/>
    </xf>
    <xf numFmtId="0" fontId="16" fillId="0" borderId="7" xfId="1" applyFont="1" applyBorder="1"/>
    <xf numFmtId="0" fontId="15" fillId="0" borderId="2" xfId="1" applyFont="1" applyBorder="1" applyAlignment="1">
      <alignment horizontal="center"/>
    </xf>
    <xf numFmtId="3" fontId="15" fillId="0" borderId="2" xfId="1" applyNumberFormat="1" applyFont="1" applyBorder="1" applyAlignment="1">
      <alignment horizontal="center"/>
    </xf>
    <xf numFmtId="0" fontId="15" fillId="0" borderId="4" xfId="1" applyFont="1" applyBorder="1" applyAlignment="1">
      <alignment horizontal="center"/>
    </xf>
    <xf numFmtId="0" fontId="15" fillId="0" borderId="0" xfId="1" applyFont="1" applyBorder="1" applyAlignment="1">
      <alignment horizontal="center"/>
    </xf>
    <xf numFmtId="0" fontId="16" fillId="0" borderId="3" xfId="1" applyFont="1" applyBorder="1"/>
    <xf numFmtId="0" fontId="16" fillId="0" borderId="2" xfId="1" applyFont="1" applyBorder="1"/>
    <xf numFmtId="3" fontId="16" fillId="0" borderId="3" xfId="1" applyNumberFormat="1" applyFont="1" applyBorder="1" applyProtection="1">
      <protection locked="0"/>
    </xf>
    <xf numFmtId="0" fontId="16" fillId="0" borderId="3" xfId="1" applyFont="1" applyBorder="1" applyProtection="1">
      <protection locked="0"/>
    </xf>
    <xf numFmtId="0" fontId="16" fillId="0" borderId="0" xfId="1" applyFont="1" applyBorder="1"/>
    <xf numFmtId="0" fontId="16" fillId="2" borderId="3" xfId="1" applyFont="1" applyFill="1" applyBorder="1" applyProtection="1">
      <protection locked="0"/>
    </xf>
    <xf numFmtId="0" fontId="16" fillId="0" borderId="0" xfId="1" applyFont="1" applyBorder="1" applyAlignment="1">
      <alignment horizontal="right"/>
    </xf>
    <xf numFmtId="3" fontId="16" fillId="0" borderId="3" xfId="1" applyNumberFormat="1" applyFont="1" applyBorder="1"/>
    <xf numFmtId="0" fontId="16" fillId="0" borderId="2" xfId="1" applyFont="1" applyBorder="1" applyAlignment="1">
      <alignment horizontal="right"/>
    </xf>
    <xf numFmtId="0" fontId="16" fillId="2" borderId="3" xfId="1" applyFont="1" applyFill="1" applyBorder="1"/>
    <xf numFmtId="0" fontId="16" fillId="0" borderId="5" xfId="1" applyFont="1" applyBorder="1" applyAlignment="1">
      <alignment horizontal="right"/>
    </xf>
    <xf numFmtId="3" fontId="16" fillId="0" borderId="7" xfId="1" applyNumberFormat="1" applyFont="1" applyBorder="1"/>
    <xf numFmtId="0" fontId="16" fillId="2" borderId="7" xfId="1" applyFont="1" applyFill="1" applyBorder="1"/>
    <xf numFmtId="0" fontId="16" fillId="0" borderId="6" xfId="1" applyFont="1" applyBorder="1" applyAlignment="1">
      <alignment horizontal="right"/>
    </xf>
    <xf numFmtId="0" fontId="4" fillId="0" borderId="0" xfId="0" applyFont="1" applyAlignment="1">
      <alignment vertical="center"/>
    </xf>
    <xf numFmtId="0" fontId="17" fillId="0" borderId="12" xfId="0" applyFont="1" applyBorder="1" applyAlignment="1">
      <alignment horizontal="right" vertical="center"/>
    </xf>
    <xf numFmtId="0" fontId="17" fillId="0" borderId="13" xfId="0" applyFont="1" applyBorder="1" applyAlignment="1">
      <alignment horizontal="right" vertical="center"/>
    </xf>
    <xf numFmtId="0" fontId="17" fillId="0" borderId="13" xfId="0" applyFont="1" applyBorder="1" applyAlignment="1">
      <alignment vertical="center"/>
    </xf>
    <xf numFmtId="0" fontId="4" fillId="0" borderId="7" xfId="0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20" fillId="0" borderId="0" xfId="1" applyFont="1" applyBorder="1"/>
    <xf numFmtId="0" fontId="21" fillId="0" borderId="0" xfId="1" applyFont="1" applyBorder="1" applyProtection="1">
      <protection locked="0"/>
    </xf>
    <xf numFmtId="0" fontId="21" fillId="0" borderId="0" xfId="1" applyFont="1" applyBorder="1"/>
    <xf numFmtId="0" fontId="8" fillId="0" borderId="1" xfId="1" applyFont="1" applyBorder="1" applyAlignment="1">
      <alignment horizont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22" fillId="0" borderId="10" xfId="0" applyFont="1" applyBorder="1" applyAlignment="1">
      <alignment horizontal="center" vertical="center"/>
    </xf>
    <xf numFmtId="0" fontId="22" fillId="0" borderId="11" xfId="0" applyFont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left"/>
    </xf>
    <xf numFmtId="0" fontId="18" fillId="0" borderId="0" xfId="0" applyFont="1" applyAlignment="1"/>
    <xf numFmtId="0" fontId="4" fillId="0" borderId="7" xfId="0" applyFont="1" applyBorder="1" applyAlignment="1">
      <alignment vertical="center" wrapText="1"/>
    </xf>
    <xf numFmtId="0" fontId="4" fillId="0" borderId="7" xfId="0" applyFont="1" applyBorder="1" applyAlignment="1">
      <alignment vertical="center" wrapText="1"/>
    </xf>
    <xf numFmtId="0" fontId="5" fillId="0" borderId="7" xfId="0" applyFont="1" applyBorder="1" applyAlignment="1">
      <alignment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7" xfId="0" applyFont="1" applyBorder="1" applyAlignment="1">
      <alignment vertical="center" wrapText="1"/>
    </xf>
    <xf numFmtId="0" fontId="5" fillId="0" borderId="7" xfId="0" applyFont="1" applyBorder="1" applyAlignment="1">
      <alignment horizontal="center" vertical="center"/>
    </xf>
    <xf numFmtId="0" fontId="17" fillId="0" borderId="0" xfId="0" applyFont="1" applyBorder="1" applyAlignment="1">
      <alignment vertical="center"/>
    </xf>
    <xf numFmtId="0" fontId="17" fillId="0" borderId="0" xfId="0" applyFont="1" applyBorder="1" applyAlignment="1">
      <alignment horizontal="right" vertical="center"/>
    </xf>
    <xf numFmtId="0" fontId="17" fillId="0" borderId="7" xfId="0" applyFont="1" applyBorder="1" applyAlignment="1">
      <alignment horizontal="right" vertical="center"/>
    </xf>
    <xf numFmtId="0" fontId="22" fillId="0" borderId="7" xfId="0" applyFont="1" applyBorder="1" applyAlignment="1">
      <alignment vertical="center"/>
    </xf>
    <xf numFmtId="0" fontId="22" fillId="0" borderId="0" xfId="0" applyFont="1" applyBorder="1" applyAlignment="1">
      <alignment vertical="center"/>
    </xf>
    <xf numFmtId="0" fontId="16" fillId="0" borderId="0" xfId="3" applyFont="1"/>
    <xf numFmtId="0" fontId="16" fillId="0" borderId="7" xfId="3" applyFont="1" applyBorder="1"/>
    <xf numFmtId="0" fontId="16" fillId="0" borderId="7" xfId="3" applyFont="1" applyFill="1" applyBorder="1"/>
    <xf numFmtId="0" fontId="15" fillId="0" borderId="7" xfId="3" applyFont="1" applyBorder="1"/>
    <xf numFmtId="0" fontId="10" fillId="0" borderId="0" xfId="0" applyFont="1" applyAlignment="1">
      <alignment horizontal="center" vertical="center"/>
    </xf>
    <xf numFmtId="0" fontId="5" fillId="0" borderId="7" xfId="0" applyFont="1" applyBorder="1" applyAlignment="1">
      <alignment horizontal="center" wrapText="1"/>
    </xf>
    <xf numFmtId="0" fontId="4" fillId="0" borderId="7" xfId="0" applyFont="1" applyBorder="1" applyAlignment="1">
      <alignment horizontal="right" vertical="center" wrapText="1"/>
    </xf>
    <xf numFmtId="0" fontId="4" fillId="0" borderId="7" xfId="0" applyFont="1" applyBorder="1" applyAlignment="1">
      <alignment horizontal="right" vertical="center" wrapText="1"/>
    </xf>
    <xf numFmtId="0" fontId="4" fillId="0" borderId="9" xfId="0" applyFont="1" applyBorder="1" applyAlignment="1">
      <alignment horizontal="right" vertical="center" wrapText="1"/>
    </xf>
    <xf numFmtId="0" fontId="4" fillId="0" borderId="0" xfId="0" applyFont="1" applyAlignment="1">
      <alignment horizontal="left"/>
    </xf>
    <xf numFmtId="0" fontId="25" fillId="0" borderId="7" xfId="3" applyFont="1" applyBorder="1"/>
    <xf numFmtId="1" fontId="25" fillId="0" borderId="7" xfId="3" applyNumberFormat="1" applyFont="1" applyBorder="1" applyProtection="1">
      <protection locked="0"/>
    </xf>
    <xf numFmtId="3" fontId="15" fillId="0" borderId="7" xfId="3" applyNumberFormat="1" applyFont="1" applyBorder="1"/>
    <xf numFmtId="3" fontId="16" fillId="0" borderId="7" xfId="3" applyNumberFormat="1" applyFont="1" applyBorder="1"/>
    <xf numFmtId="3" fontId="16" fillId="0" borderId="7" xfId="3" applyNumberFormat="1" applyFont="1" applyFill="1" applyBorder="1"/>
    <xf numFmtId="0" fontId="15" fillId="0" borderId="7" xfId="3" applyFont="1" applyBorder="1" applyAlignment="1">
      <alignment horizontal="centerContinuous"/>
    </xf>
    <xf numFmtId="0" fontId="11" fillId="0" borderId="0" xfId="0" applyFont="1" applyAlignment="1">
      <alignment horizontal="center" vertical="center"/>
    </xf>
    <xf numFmtId="0" fontId="6" fillId="0" borderId="0" xfId="0" applyFont="1"/>
    <xf numFmtId="16" fontId="4" fillId="0" borderId="7" xfId="0" applyNumberFormat="1" applyFont="1" applyBorder="1"/>
    <xf numFmtId="0" fontId="24" fillId="0" borderId="7" xfId="0" applyFont="1" applyBorder="1" applyAlignment="1">
      <alignment horizontal="center"/>
    </xf>
    <xf numFmtId="0" fontId="4" fillId="0" borderId="0" xfId="0" applyFont="1" applyFill="1" applyBorder="1"/>
    <xf numFmtId="0" fontId="5" fillId="0" borderId="7" xfId="0" applyFont="1" applyFill="1" applyBorder="1" applyAlignment="1">
      <alignment horizontal="center" vertical="top" wrapText="1"/>
    </xf>
    <xf numFmtId="0" fontId="4" fillId="0" borderId="0" xfId="0" applyFont="1" applyFill="1"/>
    <xf numFmtId="0" fontId="5" fillId="0" borderId="5" xfId="0" applyFont="1" applyFill="1" applyBorder="1" applyAlignment="1">
      <alignment horizontal="center" wrapText="1"/>
    </xf>
    <xf numFmtId="0" fontId="5" fillId="0" borderId="6" xfId="0" applyFont="1" applyFill="1" applyBorder="1" applyAlignment="1">
      <alignment horizontal="center" wrapText="1"/>
    </xf>
    <xf numFmtId="0" fontId="5" fillId="0" borderId="5" xfId="0" applyFont="1" applyFill="1" applyBorder="1" applyAlignment="1">
      <alignment horizontal="left" vertical="top" wrapText="1"/>
    </xf>
    <xf numFmtId="0" fontId="5" fillId="0" borderId="6" xfId="0" applyFont="1" applyFill="1" applyBorder="1" applyAlignment="1">
      <alignment horizontal="left" vertical="top" wrapText="1"/>
    </xf>
    <xf numFmtId="0" fontId="4" fillId="0" borderId="7" xfId="0" applyFont="1" applyFill="1" applyBorder="1" applyAlignment="1">
      <alignment vertical="top" wrapText="1"/>
    </xf>
    <xf numFmtId="164" fontId="4" fillId="0" borderId="4" xfId="0" applyNumberFormat="1" applyFont="1" applyFill="1" applyBorder="1" applyAlignment="1">
      <alignment horizontal="right" vertical="top" wrapText="1"/>
    </xf>
    <xf numFmtId="0" fontId="4" fillId="0" borderId="7" xfId="0" applyFont="1" applyFill="1" applyBorder="1" applyAlignment="1">
      <alignment horizontal="left" vertical="top" wrapText="1"/>
    </xf>
    <xf numFmtId="164" fontId="4" fillId="0" borderId="7" xfId="0" applyNumberFormat="1" applyFont="1" applyFill="1" applyBorder="1" applyAlignment="1">
      <alignment horizontal="right" vertical="top" wrapText="1"/>
    </xf>
    <xf numFmtId="0" fontId="4" fillId="0" borderId="8" xfId="0" applyFont="1" applyFill="1" applyBorder="1" applyAlignment="1">
      <alignment horizontal="left" vertical="top" wrapText="1"/>
    </xf>
    <xf numFmtId="0" fontId="5" fillId="0" borderId="5" xfId="0" applyFont="1" applyFill="1" applyBorder="1" applyAlignment="1">
      <alignment horizontal="left" vertical="top" wrapText="1"/>
    </xf>
    <xf numFmtId="164" fontId="5" fillId="0" borderId="7" xfId="0" applyNumberFormat="1" applyFont="1" applyFill="1" applyBorder="1" applyAlignment="1">
      <alignment vertical="top" wrapText="1"/>
    </xf>
    <xf numFmtId="0" fontId="4" fillId="0" borderId="4" xfId="0" applyFont="1" applyFill="1" applyBorder="1" applyAlignment="1">
      <alignment vertical="top" wrapText="1"/>
    </xf>
    <xf numFmtId="0" fontId="4" fillId="0" borderId="9" xfId="0" applyFont="1" applyFill="1" applyBorder="1" applyAlignment="1">
      <alignment vertical="top" wrapText="1"/>
    </xf>
    <xf numFmtId="0" fontId="10" fillId="0" borderId="0" xfId="0" applyFont="1" applyFill="1" applyAlignment="1">
      <alignment horizontal="center"/>
    </xf>
  </cellXfs>
  <cellStyles count="6">
    <cellStyle name="Normal" xfId="0" builtinId="0"/>
    <cellStyle name="Normal 2" xfId="1"/>
    <cellStyle name="Normal 3" xfId="3"/>
    <cellStyle name="Percent 2" xfId="2"/>
    <cellStyle name="Percent 3" xfId="4"/>
    <cellStyle name="Title" xfId="5" builtinId="1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sila/Dropbox/M1%20MIAGE/Controle%20de%20Gestion/TD/03_17/Hecham%20Cherifi%20-%20B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"/>
      <sheetName val="GUIDE"/>
      <sheetName val="CONFIG"/>
      <sheetName val="Personnel"/>
      <sheetName val="Charges variables"/>
      <sheetName val="Personnel - Calculs auto"/>
      <sheetName val="Charges externes"/>
      <sheetName val="Investissements"/>
      <sheetName val="Commandes"/>
      <sheetName val="Trésorerie"/>
      <sheetName val="Pilotage"/>
      <sheetName val="Synthèse"/>
      <sheetName val="Comptes de résultats"/>
      <sheetName val="Plan de financement"/>
      <sheetName val="Commandes - Calculs auto"/>
      <sheetName val="Bilans"/>
      <sheetName val="TVA"/>
      <sheetName val="BFR"/>
      <sheetName val="Impôts et tax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  <sheetData sheetId="9"/>
      <sheetData sheetId="10" refreshError="1"/>
      <sheetData sheetId="11" refreshError="1"/>
      <sheetData sheetId="12"/>
      <sheetData sheetId="13"/>
      <sheetData sheetId="14" refreshError="1"/>
      <sheetData sheetId="15" refreshError="1"/>
      <sheetData sheetId="16"/>
      <sheetData sheetId="17"/>
      <sheetData sheetId="1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"/>
  <sheetViews>
    <sheetView topLeftCell="A10" workbookViewId="0">
      <selection activeCell="D31" sqref="D31"/>
    </sheetView>
  </sheetViews>
  <sheetFormatPr defaultRowHeight="14.4" x14ac:dyDescent="0.3"/>
  <cols>
    <col min="1" max="4" width="23.21875" customWidth="1"/>
  </cols>
  <sheetData>
    <row r="1" spans="1:8" x14ac:dyDescent="0.3">
      <c r="A1" s="14" t="s">
        <v>0</v>
      </c>
      <c r="B1" s="14"/>
      <c r="C1" s="14"/>
      <c r="D1" s="14"/>
      <c r="E1" s="14"/>
      <c r="F1" s="14"/>
      <c r="G1" s="14"/>
      <c r="H1" s="14"/>
    </row>
    <row r="2" spans="1:8" x14ac:dyDescent="0.3">
      <c r="A2" s="14"/>
      <c r="B2" s="14"/>
      <c r="C2" s="14"/>
      <c r="D2" s="14"/>
      <c r="E2" s="14"/>
      <c r="F2" s="14"/>
      <c r="G2" s="14"/>
      <c r="H2" s="14"/>
    </row>
    <row r="3" spans="1:8" ht="17.399999999999999" x14ac:dyDescent="0.3">
      <c r="A3" s="6"/>
      <c r="B3" s="6"/>
      <c r="C3" s="6"/>
      <c r="D3" s="6"/>
      <c r="E3" s="6"/>
      <c r="F3" s="6"/>
      <c r="G3" s="6"/>
      <c r="H3" s="6"/>
    </row>
    <row r="4" spans="1:8" ht="17.399999999999999" x14ac:dyDescent="0.3">
      <c r="A4" s="6"/>
      <c r="B4" s="6"/>
      <c r="C4" s="6"/>
      <c r="D4" s="6"/>
      <c r="E4" s="6"/>
      <c r="F4" s="6"/>
      <c r="G4" s="6"/>
      <c r="H4" s="6"/>
    </row>
    <row r="5" spans="1:8" x14ac:dyDescent="0.3">
      <c r="A5" s="3"/>
      <c r="B5" s="3"/>
      <c r="C5" s="3"/>
      <c r="D5" s="3"/>
    </row>
    <row r="6" spans="1:8" ht="17.399999999999999" x14ac:dyDescent="0.3">
      <c r="A6" s="15" t="s">
        <v>1</v>
      </c>
      <c r="B6" s="15" t="s">
        <v>2</v>
      </c>
      <c r="C6" s="15" t="s">
        <v>3</v>
      </c>
      <c r="D6" s="15" t="s">
        <v>4</v>
      </c>
    </row>
    <row r="7" spans="1:8" ht="24" customHeight="1" x14ac:dyDescent="0.3">
      <c r="A7" s="5" t="s">
        <v>5</v>
      </c>
      <c r="B7" s="5">
        <v>3000</v>
      </c>
      <c r="C7" s="5">
        <v>6</v>
      </c>
      <c r="D7" s="5">
        <f>B7*C7</f>
        <v>18000</v>
      </c>
    </row>
    <row r="8" spans="1:8" ht="24" customHeight="1" x14ac:dyDescent="0.3">
      <c r="A8" s="5" t="s">
        <v>6</v>
      </c>
      <c r="B8" s="5">
        <v>2000</v>
      </c>
      <c r="C8" s="5">
        <v>5</v>
      </c>
      <c r="D8" s="5">
        <f t="shared" ref="D8:D15" si="0">B8*C8</f>
        <v>10000</v>
      </c>
    </row>
    <row r="9" spans="1:8" ht="24" customHeight="1" x14ac:dyDescent="0.3">
      <c r="A9" s="5" t="s">
        <v>7</v>
      </c>
      <c r="B9" s="5">
        <v>1500</v>
      </c>
      <c r="C9" s="5">
        <v>5</v>
      </c>
      <c r="D9" s="5">
        <f t="shared" si="0"/>
        <v>7500</v>
      </c>
    </row>
    <row r="10" spans="1:8" ht="24" customHeight="1" x14ac:dyDescent="0.3">
      <c r="A10" s="5" t="s">
        <v>8</v>
      </c>
      <c r="B10" s="5">
        <v>2500</v>
      </c>
      <c r="C10" s="5">
        <v>5</v>
      </c>
      <c r="D10" s="5">
        <f t="shared" si="0"/>
        <v>12500</v>
      </c>
    </row>
    <row r="11" spans="1:8" ht="24" customHeight="1" x14ac:dyDescent="0.3">
      <c r="A11" s="5" t="s">
        <v>9</v>
      </c>
      <c r="B11" s="5">
        <v>5000</v>
      </c>
      <c r="C11" s="5">
        <v>1</v>
      </c>
      <c r="D11" s="5">
        <f t="shared" si="0"/>
        <v>5000</v>
      </c>
    </row>
    <row r="12" spans="1:8" ht="24" customHeight="1" x14ac:dyDescent="0.3">
      <c r="A12" s="5" t="s">
        <v>10</v>
      </c>
      <c r="B12" s="5">
        <v>8000</v>
      </c>
      <c r="C12" s="5">
        <v>1</v>
      </c>
      <c r="D12" s="5">
        <v>3500</v>
      </c>
    </row>
    <row r="13" spans="1:8" ht="24" customHeight="1" x14ac:dyDescent="0.3">
      <c r="A13" s="5" t="s">
        <v>11</v>
      </c>
      <c r="B13" s="5">
        <v>650</v>
      </c>
      <c r="C13" s="5">
        <v>2</v>
      </c>
      <c r="D13" s="5">
        <f t="shared" si="0"/>
        <v>1300</v>
      </c>
    </row>
    <row r="14" spans="1:8" ht="24" customHeight="1" x14ac:dyDescent="0.3">
      <c r="A14" s="5" t="s">
        <v>12</v>
      </c>
      <c r="B14" s="5">
        <v>500</v>
      </c>
      <c r="C14" s="5">
        <v>2</v>
      </c>
      <c r="D14" s="5">
        <f t="shared" si="0"/>
        <v>1000</v>
      </c>
    </row>
    <row r="15" spans="1:8" ht="24" customHeight="1" x14ac:dyDescent="0.3">
      <c r="A15" s="5" t="s">
        <v>111</v>
      </c>
      <c r="B15" s="5">
        <v>800</v>
      </c>
      <c r="C15" s="5">
        <v>1</v>
      </c>
      <c r="D15" s="5">
        <f t="shared" si="0"/>
        <v>800</v>
      </c>
    </row>
    <row r="16" spans="1:8" ht="24" customHeight="1" x14ac:dyDescent="0.3">
      <c r="A16" s="5" t="s">
        <v>13</v>
      </c>
      <c r="B16" s="5">
        <v>3500</v>
      </c>
      <c r="C16" s="5">
        <v>1</v>
      </c>
      <c r="D16" s="5">
        <v>8000</v>
      </c>
    </row>
    <row r="17" spans="1:4" ht="24" customHeight="1" x14ac:dyDescent="0.3">
      <c r="A17" s="9"/>
      <c r="B17" s="10"/>
      <c r="C17" s="8" t="s">
        <v>4</v>
      </c>
      <c r="D17" s="11">
        <f>SUM(D7:D16)</f>
        <v>67600</v>
      </c>
    </row>
    <row r="18" spans="1:4" ht="24.6" customHeight="1" x14ac:dyDescent="0.3">
      <c r="A18" s="17" t="s">
        <v>116</v>
      </c>
      <c r="B18" s="18"/>
      <c r="C18" s="19"/>
      <c r="D18" s="11">
        <f>D17-D7</f>
        <v>49600</v>
      </c>
    </row>
    <row r="19" spans="1:4" ht="24.6" customHeight="1" x14ac:dyDescent="0.3">
      <c r="A19" s="20"/>
      <c r="B19" s="20"/>
      <c r="C19" s="20"/>
      <c r="D19" s="21"/>
    </row>
    <row r="22" spans="1:4" x14ac:dyDescent="0.3">
      <c r="A22" s="3" t="s">
        <v>113</v>
      </c>
    </row>
    <row r="25" spans="1:4" ht="24" customHeight="1" x14ac:dyDescent="0.3">
      <c r="A25" s="2" t="s">
        <v>112</v>
      </c>
      <c r="B25" s="2">
        <v>1000</v>
      </c>
    </row>
    <row r="26" spans="1:4" ht="24" customHeight="1" x14ac:dyDescent="0.3">
      <c r="A26" s="2" t="s">
        <v>114</v>
      </c>
      <c r="B26" s="2">
        <v>3000</v>
      </c>
    </row>
    <row r="27" spans="1:4" ht="24" customHeight="1" x14ac:dyDescent="0.3">
      <c r="A27" s="2" t="s">
        <v>115</v>
      </c>
      <c r="B27" s="2">
        <v>2000</v>
      </c>
    </row>
    <row r="33" spans="1:4" x14ac:dyDescent="0.3">
      <c r="A33" s="4" t="s">
        <v>49</v>
      </c>
      <c r="B33" s="4"/>
      <c r="C33" s="4"/>
      <c r="D33" s="3" t="s">
        <v>50</v>
      </c>
    </row>
    <row r="34" spans="1:4" x14ac:dyDescent="0.3">
      <c r="A34" s="3"/>
      <c r="B34" s="3"/>
      <c r="C34" s="3"/>
    </row>
    <row r="35" spans="1:4" x14ac:dyDescent="0.3">
      <c r="A35" s="3"/>
      <c r="B35" s="3"/>
      <c r="C35" s="3"/>
    </row>
    <row r="36" spans="1:4" x14ac:dyDescent="0.3">
      <c r="A36" s="5" t="s">
        <v>51</v>
      </c>
      <c r="B36" s="5" t="s">
        <v>52</v>
      </c>
      <c r="C36" s="5" t="s">
        <v>53</v>
      </c>
    </row>
    <row r="37" spans="1:4" x14ac:dyDescent="0.3">
      <c r="A37" s="52">
        <v>1</v>
      </c>
      <c r="B37" s="5">
        <v>4960</v>
      </c>
      <c r="C37" s="5">
        <v>4960</v>
      </c>
    </row>
    <row r="38" spans="1:4" x14ac:dyDescent="0.3">
      <c r="A38" s="52">
        <v>2</v>
      </c>
      <c r="B38" s="5">
        <v>4960</v>
      </c>
      <c r="C38" s="5">
        <f>C37+B38</f>
        <v>9920</v>
      </c>
    </row>
    <row r="39" spans="1:4" x14ac:dyDescent="0.3">
      <c r="A39" s="52">
        <v>3</v>
      </c>
      <c r="B39" s="5">
        <v>4960</v>
      </c>
      <c r="C39" s="5">
        <f>C38+B39</f>
        <v>14880</v>
      </c>
    </row>
    <row r="40" spans="1:4" x14ac:dyDescent="0.3">
      <c r="A40" s="52">
        <v>4</v>
      </c>
      <c r="B40" s="5">
        <v>4960</v>
      </c>
      <c r="C40" s="5">
        <f>C39+B40</f>
        <v>19840</v>
      </c>
    </row>
    <row r="41" spans="1:4" x14ac:dyDescent="0.3">
      <c r="A41" s="52">
        <v>5</v>
      </c>
      <c r="B41" s="5">
        <v>4960</v>
      </c>
      <c r="C41" s="5">
        <f>C40+B41</f>
        <v>24800</v>
      </c>
    </row>
    <row r="42" spans="1:4" x14ac:dyDescent="0.3">
      <c r="A42" s="52">
        <v>6</v>
      </c>
      <c r="B42" s="5">
        <v>4960</v>
      </c>
      <c r="C42" s="5">
        <f>C41+B42</f>
        <v>29760</v>
      </c>
    </row>
    <row r="43" spans="1:4" x14ac:dyDescent="0.3">
      <c r="A43" s="52">
        <v>7</v>
      </c>
      <c r="B43" s="5">
        <v>4960</v>
      </c>
      <c r="C43" s="5">
        <f>C42+B43</f>
        <v>34720</v>
      </c>
    </row>
    <row r="44" spans="1:4" x14ac:dyDescent="0.3">
      <c r="A44" s="52">
        <v>8</v>
      </c>
      <c r="B44" s="5">
        <v>4960</v>
      </c>
      <c r="C44" s="5">
        <f>C43+B44</f>
        <v>39680</v>
      </c>
    </row>
    <row r="45" spans="1:4" x14ac:dyDescent="0.3">
      <c r="A45" s="52">
        <v>9</v>
      </c>
      <c r="B45" s="5">
        <v>4960</v>
      </c>
      <c r="C45" s="5">
        <f>C44+B45</f>
        <v>44640</v>
      </c>
    </row>
    <row r="46" spans="1:4" x14ac:dyDescent="0.3">
      <c r="A46" s="52">
        <v>10</v>
      </c>
      <c r="B46" s="5">
        <v>4960</v>
      </c>
      <c r="C46" s="5">
        <f>C45+B46</f>
        <v>49600</v>
      </c>
    </row>
  </sheetData>
  <mergeCells count="4">
    <mergeCell ref="A1:H2"/>
    <mergeCell ref="A17:B17"/>
    <mergeCell ref="A18:C18"/>
    <mergeCell ref="A33:C3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3"/>
  <sheetViews>
    <sheetView topLeftCell="A7" workbookViewId="0">
      <selection activeCell="B10" sqref="B10"/>
    </sheetView>
  </sheetViews>
  <sheetFormatPr defaultRowHeight="14.4" x14ac:dyDescent="0.3"/>
  <cols>
    <col min="1" max="1" width="33.77734375" customWidth="1"/>
    <col min="2" max="2" width="18.33203125" customWidth="1"/>
  </cols>
  <sheetData>
    <row r="2" spans="1:7" x14ac:dyDescent="0.3">
      <c r="A2" s="14" t="s">
        <v>15</v>
      </c>
      <c r="B2" s="14"/>
      <c r="C2" s="14"/>
      <c r="D2" s="14"/>
      <c r="E2" s="14"/>
      <c r="F2" s="14"/>
      <c r="G2" s="14"/>
    </row>
    <row r="3" spans="1:7" x14ac:dyDescent="0.3">
      <c r="A3" s="14"/>
      <c r="B3" s="14"/>
      <c r="C3" s="14"/>
      <c r="D3" s="14"/>
      <c r="E3" s="14"/>
      <c r="F3" s="14"/>
      <c r="G3" s="14"/>
    </row>
    <row r="7" spans="1:7" ht="23.4" customHeight="1" x14ac:dyDescent="0.3">
      <c r="A7" s="8" t="s">
        <v>110</v>
      </c>
      <c r="B7" s="8" t="s">
        <v>52</v>
      </c>
    </row>
    <row r="8" spans="1:7" ht="23.4" customHeight="1" x14ac:dyDescent="0.3">
      <c r="A8" s="5" t="s">
        <v>16</v>
      </c>
      <c r="B8" s="5">
        <v>49600</v>
      </c>
    </row>
    <row r="9" spans="1:7" ht="23.4" customHeight="1" x14ac:dyDescent="0.3">
      <c r="A9" s="5" t="s">
        <v>17</v>
      </c>
      <c r="B9" s="5">
        <v>1000</v>
      </c>
    </row>
    <row r="10" spans="1:7" ht="23.4" customHeight="1" x14ac:dyDescent="0.3">
      <c r="A10" s="5" t="s">
        <v>18</v>
      </c>
      <c r="B10" s="5">
        <v>1000</v>
      </c>
    </row>
    <row r="11" spans="1:7" ht="23.4" customHeight="1" x14ac:dyDescent="0.3">
      <c r="A11" s="5" t="s">
        <v>19</v>
      </c>
      <c r="B11" s="5">
        <v>2000</v>
      </c>
    </row>
    <row r="12" spans="1:7" ht="23.4" customHeight="1" x14ac:dyDescent="0.3">
      <c r="A12" s="5" t="s">
        <v>20</v>
      </c>
      <c r="B12" s="5">
        <v>2500</v>
      </c>
    </row>
    <row r="13" spans="1:7" ht="23.4" customHeight="1" x14ac:dyDescent="0.3">
      <c r="A13" s="5" t="s">
        <v>14</v>
      </c>
      <c r="B13" s="5">
        <f>SUM(B8:B12)</f>
        <v>56100</v>
      </c>
    </row>
  </sheetData>
  <mergeCells count="1">
    <mergeCell ref="A2:G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"/>
  <sheetViews>
    <sheetView tabSelected="1" topLeftCell="A7" workbookViewId="0">
      <selection activeCell="E6" sqref="E6"/>
    </sheetView>
  </sheetViews>
  <sheetFormatPr defaultRowHeight="14.4" x14ac:dyDescent="0.3"/>
  <cols>
    <col min="1" max="5" width="35.77734375" style="3" customWidth="1"/>
    <col min="6" max="7" width="8.88671875" style="3"/>
  </cols>
  <sheetData>
    <row r="1" spans="1:7" ht="18" customHeight="1" x14ac:dyDescent="0.3">
      <c r="A1" s="58" t="s">
        <v>22</v>
      </c>
      <c r="B1" s="58"/>
      <c r="C1" s="58"/>
      <c r="D1" s="58"/>
      <c r="E1" s="58"/>
    </row>
    <row r="2" spans="1:7" ht="18" x14ac:dyDescent="0.35">
      <c r="A2" s="22"/>
      <c r="B2" s="23"/>
      <c r="C2" s="24"/>
      <c r="D2" s="25"/>
      <c r="E2" s="25"/>
    </row>
    <row r="3" spans="1:7" ht="18" x14ac:dyDescent="0.35">
      <c r="A3" s="22"/>
      <c r="B3" s="23"/>
      <c r="C3" s="24"/>
      <c r="D3" s="25"/>
      <c r="E3" s="25"/>
    </row>
    <row r="4" spans="1:7" ht="18" x14ac:dyDescent="0.35">
      <c r="A4" s="22"/>
      <c r="B4" s="23"/>
      <c r="C4" s="24"/>
      <c r="D4" s="25"/>
      <c r="E4" s="25"/>
    </row>
    <row r="5" spans="1:7" s="54" customFormat="1" ht="18" x14ac:dyDescent="0.35">
      <c r="A5" s="55" t="s">
        <v>140</v>
      </c>
      <c r="B5" s="56"/>
      <c r="C5" s="57"/>
      <c r="D5" s="57"/>
      <c r="E5" s="57"/>
      <c r="F5" s="53"/>
      <c r="G5" s="53"/>
    </row>
    <row r="6" spans="1:7" ht="18" x14ac:dyDescent="0.35">
      <c r="A6" s="22"/>
      <c r="B6" s="23"/>
      <c r="C6" s="24"/>
      <c r="D6" s="25"/>
      <c r="E6" s="25"/>
    </row>
    <row r="7" spans="1:7" ht="18" x14ac:dyDescent="0.35">
      <c r="A7" s="22"/>
      <c r="B7" s="23"/>
      <c r="C7" s="24"/>
      <c r="D7" s="25"/>
      <c r="E7" s="25"/>
    </row>
    <row r="8" spans="1:7" ht="18" x14ac:dyDescent="0.35">
      <c r="A8" s="22"/>
      <c r="B8" s="23"/>
      <c r="C8" s="24"/>
      <c r="D8" s="25"/>
      <c r="E8" s="25"/>
    </row>
    <row r="10" spans="1:7" ht="15.6" x14ac:dyDescent="0.3">
      <c r="A10" s="26" t="s">
        <v>23</v>
      </c>
      <c r="B10" s="26"/>
      <c r="C10" s="27" t="s">
        <v>24</v>
      </c>
      <c r="D10" s="28" t="s">
        <v>25</v>
      </c>
      <c r="E10" s="29"/>
    </row>
    <row r="11" spans="1:7" ht="15.6" x14ac:dyDescent="0.3">
      <c r="A11" s="30" t="s">
        <v>26</v>
      </c>
      <c r="B11" s="31"/>
      <c r="C11" s="32" t="s">
        <v>27</v>
      </c>
      <c r="D11" s="33" t="s">
        <v>28</v>
      </c>
      <c r="E11" s="34"/>
    </row>
    <row r="12" spans="1:7" ht="15.6" x14ac:dyDescent="0.3">
      <c r="A12" s="35" t="s">
        <v>29</v>
      </c>
      <c r="B12" s="36"/>
      <c r="C12" s="37"/>
      <c r="D12" s="38" t="s">
        <v>30</v>
      </c>
      <c r="E12" s="36">
        <v>5000</v>
      </c>
    </row>
    <row r="13" spans="1:7" ht="15.6" x14ac:dyDescent="0.3">
      <c r="A13" s="35" t="s">
        <v>31</v>
      </c>
      <c r="B13" s="36"/>
      <c r="C13" s="39"/>
      <c r="D13" s="38" t="s">
        <v>32</v>
      </c>
      <c r="E13" s="36"/>
    </row>
    <row r="14" spans="1:7" ht="15.6" x14ac:dyDescent="0.3">
      <c r="A14" s="35" t="s">
        <v>33</v>
      </c>
      <c r="B14" s="36">
        <v>2000</v>
      </c>
      <c r="C14" s="37"/>
      <c r="D14" s="38" t="s">
        <v>34</v>
      </c>
      <c r="E14" s="36"/>
    </row>
    <row r="15" spans="1:7" ht="15.6" x14ac:dyDescent="0.3">
      <c r="A15" s="35" t="s">
        <v>35</v>
      </c>
      <c r="B15" s="36">
        <v>8000</v>
      </c>
      <c r="C15" s="37"/>
      <c r="D15" s="38" t="s">
        <v>36</v>
      </c>
      <c r="E15" s="36"/>
    </row>
    <row r="16" spans="1:7" ht="15.6" x14ac:dyDescent="0.3">
      <c r="A16" s="35" t="s">
        <v>37</v>
      </c>
      <c r="B16" s="36">
        <v>41600</v>
      </c>
      <c r="C16" s="37"/>
      <c r="D16" s="38" t="s">
        <v>36</v>
      </c>
      <c r="E16" s="36"/>
    </row>
    <row r="17" spans="1:5" ht="15.6" x14ac:dyDescent="0.3">
      <c r="A17" s="35" t="s">
        <v>36</v>
      </c>
      <c r="B17" s="36"/>
      <c r="C17" s="37"/>
      <c r="D17" s="40" t="s">
        <v>38</v>
      </c>
      <c r="E17" s="41">
        <f>SUM(E12:E16)</f>
        <v>5000</v>
      </c>
    </row>
    <row r="18" spans="1:5" ht="15.6" x14ac:dyDescent="0.3">
      <c r="A18" s="35" t="s">
        <v>36</v>
      </c>
      <c r="B18" s="36"/>
      <c r="C18" s="37"/>
      <c r="D18" s="33" t="s">
        <v>39</v>
      </c>
      <c r="E18" s="41"/>
    </row>
    <row r="19" spans="1:5" ht="15.6" x14ac:dyDescent="0.3">
      <c r="A19" s="35" t="s">
        <v>36</v>
      </c>
      <c r="B19" s="36"/>
      <c r="C19" s="37"/>
      <c r="D19" s="38" t="s">
        <v>40</v>
      </c>
      <c r="E19" s="36">
        <v>60000</v>
      </c>
    </row>
    <row r="20" spans="1:5" ht="15.6" x14ac:dyDescent="0.3">
      <c r="A20" s="42" t="s">
        <v>38</v>
      </c>
      <c r="B20" s="41">
        <f>SUM(B14:B19)</f>
        <v>51600</v>
      </c>
      <c r="C20" s="43"/>
      <c r="D20" s="38" t="s">
        <v>41</v>
      </c>
      <c r="E20" s="36"/>
    </row>
    <row r="21" spans="1:5" ht="15.6" x14ac:dyDescent="0.3">
      <c r="A21" s="30" t="s">
        <v>42</v>
      </c>
      <c r="B21" s="41">
        <f>E23-B20</f>
        <v>13400</v>
      </c>
      <c r="C21" s="43"/>
      <c r="D21" s="38" t="s">
        <v>36</v>
      </c>
      <c r="E21" s="36"/>
    </row>
    <row r="22" spans="1:5" ht="15.6" x14ac:dyDescent="0.3">
      <c r="A22" s="35"/>
      <c r="B22" s="41"/>
      <c r="C22" s="43"/>
      <c r="D22" s="40" t="s">
        <v>106</v>
      </c>
      <c r="E22" s="41">
        <f>SUM(E19:E21)</f>
        <v>60000</v>
      </c>
    </row>
    <row r="23" spans="1:5" ht="15.6" x14ac:dyDescent="0.3">
      <c r="A23" s="44" t="s">
        <v>43</v>
      </c>
      <c r="B23" s="45">
        <f>B20+B21</f>
        <v>65000</v>
      </c>
      <c r="C23" s="46"/>
      <c r="D23" s="47" t="s">
        <v>44</v>
      </c>
      <c r="E23" s="45">
        <f>E17+E22</f>
        <v>65000</v>
      </c>
    </row>
    <row r="26" spans="1:5" x14ac:dyDescent="0.3">
      <c r="A26" s="59" t="s">
        <v>45</v>
      </c>
      <c r="B26" s="59"/>
      <c r="C26" s="59"/>
      <c r="D26" s="59"/>
      <c r="E26" s="59"/>
    </row>
    <row r="27" spans="1:5" x14ac:dyDescent="0.3">
      <c r="A27" s="59"/>
      <c r="B27" s="59"/>
      <c r="C27" s="59"/>
      <c r="D27" s="59"/>
      <c r="E27" s="59"/>
    </row>
    <row r="28" spans="1:5" ht="17.399999999999999" x14ac:dyDescent="0.3">
      <c r="A28" s="60"/>
      <c r="B28" s="60"/>
      <c r="C28" s="60"/>
      <c r="D28" s="60"/>
      <c r="E28" s="60"/>
    </row>
    <row r="29" spans="1:5" ht="17.399999999999999" x14ac:dyDescent="0.3">
      <c r="A29" s="60"/>
      <c r="B29" s="60"/>
      <c r="C29" s="60"/>
      <c r="D29" s="60"/>
      <c r="E29" s="60"/>
    </row>
    <row r="30" spans="1:5" x14ac:dyDescent="0.3">
      <c r="A30" s="48" t="s">
        <v>117</v>
      </c>
    </row>
    <row r="31" spans="1:5" x14ac:dyDescent="0.3">
      <c r="A31" s="48"/>
    </row>
    <row r="32" spans="1:5" x14ac:dyDescent="0.3">
      <c r="A32" s="48"/>
    </row>
    <row r="33" spans="1:7" ht="15" thickBot="1" x14ac:dyDescent="0.35">
      <c r="A33" s="48"/>
    </row>
    <row r="34" spans="1:7" s="64" customFormat="1" ht="16.2" thickBot="1" x14ac:dyDescent="0.35">
      <c r="A34" s="61" t="s">
        <v>21</v>
      </c>
      <c r="B34" s="62" t="s">
        <v>46</v>
      </c>
      <c r="C34" s="62" t="s">
        <v>47</v>
      </c>
      <c r="D34" s="62" t="s">
        <v>48</v>
      </c>
      <c r="E34" s="63"/>
      <c r="F34" s="63"/>
      <c r="G34" s="63"/>
    </row>
    <row r="35" spans="1:7" ht="15" thickBot="1" x14ac:dyDescent="0.35">
      <c r="A35" s="49">
        <v>60000</v>
      </c>
      <c r="B35" s="50">
        <v>6000</v>
      </c>
      <c r="C35" s="51">
        <f>A35*0.06</f>
        <v>3600</v>
      </c>
      <c r="D35" s="50">
        <f>B35+C35</f>
        <v>9600</v>
      </c>
    </row>
    <row r="36" spans="1:7" ht="15" thickBot="1" x14ac:dyDescent="0.35">
      <c r="A36" s="49">
        <f>A35-D35</f>
        <v>50400</v>
      </c>
      <c r="B36" s="50">
        <v>6000</v>
      </c>
      <c r="C36" s="51">
        <f t="shared" ref="C36:C39" si="0">A36*0.06</f>
        <v>3024</v>
      </c>
      <c r="D36" s="50">
        <v>11550</v>
      </c>
    </row>
    <row r="37" spans="1:7" ht="15" thickBot="1" x14ac:dyDescent="0.35">
      <c r="A37" s="49">
        <f t="shared" ref="A37:A39" si="1">A36-D36</f>
        <v>38850</v>
      </c>
      <c r="B37" s="50">
        <v>6000</v>
      </c>
      <c r="C37" s="51">
        <f t="shared" si="0"/>
        <v>2331</v>
      </c>
      <c r="D37" s="50">
        <v>11100</v>
      </c>
    </row>
    <row r="38" spans="1:7" ht="15" thickBot="1" x14ac:dyDescent="0.35">
      <c r="A38" s="49">
        <f t="shared" si="1"/>
        <v>27750</v>
      </c>
      <c r="B38" s="50">
        <v>6000</v>
      </c>
      <c r="C38" s="51">
        <f t="shared" si="0"/>
        <v>1665</v>
      </c>
      <c r="D38" s="50">
        <v>10650</v>
      </c>
    </row>
    <row r="39" spans="1:7" ht="15" thickBot="1" x14ac:dyDescent="0.35">
      <c r="A39" s="49">
        <f t="shared" si="1"/>
        <v>17100</v>
      </c>
      <c r="B39" s="50">
        <v>6000</v>
      </c>
      <c r="C39" s="51">
        <f t="shared" si="0"/>
        <v>1026</v>
      </c>
      <c r="D39" s="50">
        <v>10200</v>
      </c>
    </row>
    <row r="40" spans="1:7" x14ac:dyDescent="0.3">
      <c r="A40" s="48"/>
    </row>
  </sheetData>
  <mergeCells count="2">
    <mergeCell ref="A1:E1"/>
    <mergeCell ref="A26:E27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topLeftCell="A10" workbookViewId="0">
      <selection activeCell="K13" sqref="K13"/>
    </sheetView>
  </sheetViews>
  <sheetFormatPr defaultRowHeight="14.4" x14ac:dyDescent="0.3"/>
  <cols>
    <col min="1" max="4" width="20.109375" style="101" customWidth="1"/>
    <col min="5" max="5" width="8.88671875" style="101"/>
  </cols>
  <sheetData>
    <row r="1" spans="1:4" x14ac:dyDescent="0.3">
      <c r="A1" s="115" t="s">
        <v>170</v>
      </c>
      <c r="B1" s="115"/>
      <c r="C1" s="115"/>
      <c r="D1" s="115"/>
    </row>
    <row r="2" spans="1:4" x14ac:dyDescent="0.3">
      <c r="A2" s="115"/>
      <c r="B2" s="115"/>
      <c r="C2" s="115"/>
      <c r="D2" s="115"/>
    </row>
    <row r="4" spans="1:4" x14ac:dyDescent="0.3">
      <c r="A4" s="99"/>
      <c r="B4" s="100" t="s">
        <v>54</v>
      </c>
      <c r="C4" s="100" t="s">
        <v>55</v>
      </c>
      <c r="D4" s="100" t="s">
        <v>56</v>
      </c>
    </row>
    <row r="5" spans="1:4" x14ac:dyDescent="0.3">
      <c r="A5" s="99"/>
      <c r="B5" s="99"/>
      <c r="C5" s="99"/>
      <c r="D5" s="99"/>
    </row>
    <row r="6" spans="1:4" x14ac:dyDescent="0.3">
      <c r="A6" s="102" t="s">
        <v>150</v>
      </c>
      <c r="B6" s="103"/>
      <c r="C6" s="103"/>
      <c r="D6" s="103"/>
    </row>
    <row r="7" spans="1:4" x14ac:dyDescent="0.3">
      <c r="A7" s="104" t="s">
        <v>151</v>
      </c>
      <c r="B7" s="105"/>
      <c r="C7" s="105"/>
      <c r="D7" s="105"/>
    </row>
    <row r="8" spans="1:4" x14ac:dyDescent="0.3">
      <c r="A8" s="106" t="s">
        <v>152</v>
      </c>
      <c r="B8" s="107">
        <v>49600</v>
      </c>
      <c r="C8" s="107">
        <v>49600</v>
      </c>
      <c r="D8" s="107">
        <v>49600</v>
      </c>
    </row>
    <row r="9" spans="1:4" x14ac:dyDescent="0.3">
      <c r="A9" s="108" t="s">
        <v>153</v>
      </c>
      <c r="B9" s="109">
        <v>4960</v>
      </c>
      <c r="C9" s="109">
        <v>4960</v>
      </c>
      <c r="D9" s="109">
        <v>4960</v>
      </c>
    </row>
    <row r="10" spans="1:4" x14ac:dyDescent="0.3">
      <c r="A10" s="110" t="s">
        <v>154</v>
      </c>
      <c r="B10" s="107">
        <f>B8-B9</f>
        <v>44640</v>
      </c>
      <c r="C10" s="107">
        <f>C8-C9</f>
        <v>44640</v>
      </c>
      <c r="D10" s="107">
        <f>D8-D9</f>
        <v>44640</v>
      </c>
    </row>
    <row r="11" spans="1:4" ht="27.6" x14ac:dyDescent="0.3">
      <c r="A11" s="111" t="s">
        <v>155</v>
      </c>
      <c r="B11" s="112">
        <f t="shared" ref="B11:D11" si="0">B10</f>
        <v>44640</v>
      </c>
      <c r="C11" s="112">
        <f t="shared" si="0"/>
        <v>44640</v>
      </c>
      <c r="D11" s="112">
        <f t="shared" si="0"/>
        <v>44640</v>
      </c>
    </row>
    <row r="12" spans="1:4" x14ac:dyDescent="0.3">
      <c r="A12" s="104" t="s">
        <v>156</v>
      </c>
      <c r="B12" s="105"/>
      <c r="C12" s="105"/>
      <c r="D12" s="105"/>
    </row>
    <row r="13" spans="1:4" x14ac:dyDescent="0.3">
      <c r="A13" s="113" t="s">
        <v>157</v>
      </c>
      <c r="B13" s="107">
        <v>19058</v>
      </c>
      <c r="C13" s="107">
        <v>25142</v>
      </c>
      <c r="D13" s="107">
        <v>37881</v>
      </c>
    </row>
    <row r="14" spans="1:4" ht="27.6" x14ac:dyDescent="0.3">
      <c r="A14" s="111" t="s">
        <v>158</v>
      </c>
      <c r="B14" s="112">
        <f>SUM(B13:B13)</f>
        <v>19058</v>
      </c>
      <c r="C14" s="112">
        <f>SUM(C13:C13)</f>
        <v>25142</v>
      </c>
      <c r="D14" s="112">
        <f>SUM(D13:D13)</f>
        <v>37881</v>
      </c>
    </row>
    <row r="15" spans="1:4" x14ac:dyDescent="0.3">
      <c r="A15" s="111" t="s">
        <v>159</v>
      </c>
      <c r="B15" s="112">
        <f>B11+B14</f>
        <v>63698</v>
      </c>
      <c r="C15" s="112">
        <f>C11+C14</f>
        <v>69782</v>
      </c>
      <c r="D15" s="112">
        <f>D11+D14</f>
        <v>82521</v>
      </c>
    </row>
    <row r="16" spans="1:4" x14ac:dyDescent="0.3">
      <c r="A16" s="99"/>
      <c r="B16" s="99"/>
      <c r="C16" s="99"/>
      <c r="D16" s="99"/>
    </row>
    <row r="17" spans="1:4" x14ac:dyDescent="0.3">
      <c r="A17" s="102" t="s">
        <v>160</v>
      </c>
      <c r="B17" s="103"/>
      <c r="C17" s="103"/>
      <c r="D17" s="103"/>
    </row>
    <row r="18" spans="1:4" x14ac:dyDescent="0.3">
      <c r="A18" s="104" t="s">
        <v>161</v>
      </c>
      <c r="B18" s="105"/>
      <c r="C18" s="105"/>
      <c r="D18" s="105"/>
    </row>
    <row r="19" spans="1:4" x14ac:dyDescent="0.3">
      <c r="A19" s="108" t="s">
        <v>30</v>
      </c>
      <c r="B19" s="107">
        <v>5000</v>
      </c>
      <c r="C19" s="107">
        <f>B19+SUM([1]Trésorerie!Z12:AK12)+SUM([1]Trésorerie!Z13:AK13)+[1]Investissements!AD3</f>
        <v>5000</v>
      </c>
      <c r="D19" s="107">
        <f>C19+SUM([1]Trésorerie!AL12:AW12)+SUM([1]Trésorerie!AL13:AW13)+[1]Investissements!AG3</f>
        <v>5000</v>
      </c>
    </row>
    <row r="20" spans="1:4" x14ac:dyDescent="0.3">
      <c r="A20" s="108" t="s">
        <v>162</v>
      </c>
      <c r="B20" s="107">
        <v>0</v>
      </c>
      <c r="C20" s="107">
        <v>0</v>
      </c>
      <c r="D20" s="107">
        <v>0</v>
      </c>
    </row>
    <row r="21" spans="1:4" x14ac:dyDescent="0.3">
      <c r="A21" s="108" t="s">
        <v>163</v>
      </c>
      <c r="B21" s="107">
        <v>-1302</v>
      </c>
      <c r="C21" s="107">
        <v>14382</v>
      </c>
      <c r="D21" s="107">
        <v>30031</v>
      </c>
    </row>
    <row r="22" spans="1:4" ht="27.6" x14ac:dyDescent="0.3">
      <c r="A22" s="111" t="s">
        <v>164</v>
      </c>
      <c r="B22" s="112">
        <f t="shared" ref="B22:D22" si="1">SUM(B19:B21)</f>
        <v>3698</v>
      </c>
      <c r="C22" s="112">
        <f t="shared" si="1"/>
        <v>19382</v>
      </c>
      <c r="D22" s="112">
        <f t="shared" si="1"/>
        <v>35031</v>
      </c>
    </row>
    <row r="23" spans="1:4" x14ac:dyDescent="0.3">
      <c r="A23" s="104" t="s">
        <v>165</v>
      </c>
      <c r="B23" s="105"/>
      <c r="C23" s="105"/>
      <c r="D23" s="105"/>
    </row>
    <row r="24" spans="1:4" x14ac:dyDescent="0.3">
      <c r="A24" s="114" t="s">
        <v>166</v>
      </c>
      <c r="B24" s="107">
        <v>60000</v>
      </c>
      <c r="C24" s="107">
        <v>50400</v>
      </c>
      <c r="D24" s="107">
        <v>38850</v>
      </c>
    </row>
    <row r="25" spans="1:4" x14ac:dyDescent="0.3">
      <c r="A25" s="108" t="s">
        <v>167</v>
      </c>
      <c r="B25" s="107">
        <v>0</v>
      </c>
      <c r="C25" s="107">
        <v>0</v>
      </c>
      <c r="D25" s="107">
        <v>0</v>
      </c>
    </row>
    <row r="26" spans="1:4" x14ac:dyDescent="0.3">
      <c r="A26" s="111" t="s">
        <v>168</v>
      </c>
      <c r="B26" s="112">
        <f>SUM(B24:B25)</f>
        <v>60000</v>
      </c>
      <c r="C26" s="112">
        <f>SUM(C24:C25)</f>
        <v>50400</v>
      </c>
      <c r="D26" s="112">
        <f>SUM(D24:D25)</f>
        <v>38850</v>
      </c>
    </row>
    <row r="27" spans="1:4" x14ac:dyDescent="0.3">
      <c r="A27" s="111" t="s">
        <v>169</v>
      </c>
      <c r="B27" s="112">
        <f>B22+B26</f>
        <v>63698</v>
      </c>
      <c r="C27" s="112">
        <f>C22+C26</f>
        <v>69782</v>
      </c>
      <c r="D27" s="112">
        <f>D22+D26</f>
        <v>73881</v>
      </c>
    </row>
  </sheetData>
  <mergeCells count="7">
    <mergeCell ref="A1:D2"/>
    <mergeCell ref="A6:D6"/>
    <mergeCell ref="A7:D7"/>
    <mergeCell ref="A12:D12"/>
    <mergeCell ref="A17:D17"/>
    <mergeCell ref="A18:D18"/>
    <mergeCell ref="A23:D2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9"/>
  <sheetViews>
    <sheetView topLeftCell="A7" zoomScale="70" zoomScaleNormal="70" workbookViewId="0">
      <selection activeCell="M11" sqref="M11"/>
    </sheetView>
  </sheetViews>
  <sheetFormatPr defaultRowHeight="14.4" x14ac:dyDescent="0.3"/>
  <cols>
    <col min="1" max="4" width="32.44140625" style="3" customWidth="1"/>
    <col min="5" max="5" width="8.88671875" style="3"/>
    <col min="11" max="15" width="18.109375" customWidth="1"/>
  </cols>
  <sheetData>
    <row r="1" spans="1:11" x14ac:dyDescent="0.3">
      <c r="A1" s="83" t="s">
        <v>129</v>
      </c>
      <c r="B1" s="83"/>
      <c r="C1" s="83"/>
      <c r="D1" s="83"/>
      <c r="E1" s="83"/>
    </row>
    <row r="2" spans="1:11" x14ac:dyDescent="0.3">
      <c r="A2" s="83"/>
      <c r="B2" s="83"/>
      <c r="C2" s="83"/>
      <c r="D2" s="83"/>
      <c r="E2" s="83"/>
    </row>
    <row r="3" spans="1:11" x14ac:dyDescent="0.3">
      <c r="A3" s="83"/>
      <c r="B3" s="83"/>
      <c r="C3" s="83"/>
      <c r="D3" s="83"/>
      <c r="E3" s="83"/>
    </row>
    <row r="8" spans="1:11" ht="35.4" customHeight="1" x14ac:dyDescent="0.3">
      <c r="A8" s="80"/>
      <c r="B8" s="94" t="s">
        <v>54</v>
      </c>
      <c r="C8" s="94" t="s">
        <v>55</v>
      </c>
      <c r="D8" s="94" t="s">
        <v>56</v>
      </c>
    </row>
    <row r="9" spans="1:11" ht="29.4" customHeight="1" x14ac:dyDescent="0.3">
      <c r="A9" s="5"/>
      <c r="B9" s="5"/>
      <c r="C9" s="5"/>
      <c r="D9" s="5"/>
      <c r="K9">
        <f>1920/150</f>
        <v>12.8</v>
      </c>
    </row>
    <row r="10" spans="1:11" ht="29.4" customHeight="1" x14ac:dyDescent="0.3">
      <c r="A10" s="89" t="s">
        <v>69</v>
      </c>
      <c r="B10" s="90">
        <v>17280</v>
      </c>
      <c r="C10" s="90">
        <v>18144</v>
      </c>
      <c r="D10" s="90">
        <v>19051</v>
      </c>
    </row>
    <row r="11" spans="1:11" ht="29.4" customHeight="1" x14ac:dyDescent="0.3">
      <c r="A11" s="89" t="s">
        <v>70</v>
      </c>
      <c r="B11" s="90">
        <v>50400</v>
      </c>
      <c r="C11" s="90">
        <v>55440</v>
      </c>
      <c r="D11" s="90">
        <v>60984</v>
      </c>
    </row>
    <row r="12" spans="1:11" ht="29.4" customHeight="1" x14ac:dyDescent="0.3">
      <c r="A12" s="89" t="s">
        <v>71</v>
      </c>
      <c r="B12" s="90">
        <v>96000</v>
      </c>
      <c r="C12" s="90">
        <v>110400</v>
      </c>
      <c r="D12" s="90">
        <v>126960</v>
      </c>
    </row>
    <row r="13" spans="1:11" ht="29.4" customHeight="1" x14ac:dyDescent="0.3">
      <c r="A13" s="89" t="s">
        <v>72</v>
      </c>
      <c r="B13" s="90">
        <v>80640</v>
      </c>
      <c r="C13" s="90">
        <v>80640</v>
      </c>
      <c r="D13" s="90">
        <v>80640</v>
      </c>
    </row>
    <row r="14" spans="1:11" ht="29.4" customHeight="1" x14ac:dyDescent="0.3">
      <c r="A14" s="82" t="s">
        <v>57</v>
      </c>
      <c r="B14" s="91">
        <f>SUM(B10:B13)</f>
        <v>244320</v>
      </c>
      <c r="C14" s="91">
        <f>SUM(C10:C13)</f>
        <v>264624</v>
      </c>
      <c r="D14" s="91">
        <f>SUM(D10:D13)</f>
        <v>287635</v>
      </c>
    </row>
    <row r="15" spans="1:11" ht="29.4" customHeight="1" x14ac:dyDescent="0.3">
      <c r="A15" s="80" t="s">
        <v>58</v>
      </c>
      <c r="B15" s="92">
        <v>105216</v>
      </c>
      <c r="C15" s="92">
        <v>105216</v>
      </c>
      <c r="D15" s="92">
        <v>105216</v>
      </c>
    </row>
    <row r="16" spans="1:11" ht="29.4" customHeight="1" x14ac:dyDescent="0.3">
      <c r="A16" s="80" t="s">
        <v>59</v>
      </c>
      <c r="B16" s="92">
        <v>42086</v>
      </c>
      <c r="C16" s="92">
        <v>42086</v>
      </c>
      <c r="D16" s="92">
        <v>44624</v>
      </c>
    </row>
    <row r="17" spans="1:11" ht="29.4" customHeight="1" x14ac:dyDescent="0.3">
      <c r="A17" s="80" t="s">
        <v>60</v>
      </c>
      <c r="B17" s="92">
        <v>29160</v>
      </c>
      <c r="C17" s="92">
        <v>30618</v>
      </c>
      <c r="D17" s="92">
        <v>32149</v>
      </c>
    </row>
    <row r="18" spans="1:11" ht="29.4" customHeight="1" x14ac:dyDescent="0.3">
      <c r="A18" s="82" t="s">
        <v>61</v>
      </c>
      <c r="B18" s="91">
        <f>B14-B15-B16-B17</f>
        <v>67858</v>
      </c>
      <c r="C18" s="91">
        <f t="shared" ref="C18:D18" si="0">C14-C15-C16-C17</f>
        <v>86704</v>
      </c>
      <c r="D18" s="91">
        <f t="shared" si="0"/>
        <v>105646</v>
      </c>
    </row>
    <row r="19" spans="1:11" ht="29.4" customHeight="1" x14ac:dyDescent="0.3">
      <c r="A19" s="80" t="s">
        <v>62</v>
      </c>
      <c r="B19" s="5">
        <v>60000</v>
      </c>
      <c r="C19" s="5">
        <v>61200</v>
      </c>
      <c r="D19" s="5">
        <v>62424</v>
      </c>
    </row>
    <row r="20" spans="1:11" ht="29.4" customHeight="1" x14ac:dyDescent="0.3">
      <c r="A20" s="80" t="s">
        <v>63</v>
      </c>
      <c r="B20" s="93">
        <v>600</v>
      </c>
      <c r="C20" s="93">
        <v>600</v>
      </c>
      <c r="D20" s="93">
        <v>600</v>
      </c>
      <c r="I20">
        <f>244320+1302</f>
        <v>245622</v>
      </c>
    </row>
    <row r="21" spans="1:11" ht="29.4" customHeight="1" x14ac:dyDescent="0.3">
      <c r="A21" s="80" t="s">
        <v>132</v>
      </c>
      <c r="B21" s="92">
        <v>3600</v>
      </c>
      <c r="C21" s="92">
        <v>3024</v>
      </c>
      <c r="D21" s="92">
        <v>2331</v>
      </c>
    </row>
    <row r="22" spans="1:11" ht="29.4" customHeight="1" x14ac:dyDescent="0.3">
      <c r="A22" s="80" t="s">
        <v>64</v>
      </c>
      <c r="B22" s="92">
        <v>4960</v>
      </c>
      <c r="C22" s="92">
        <v>4960</v>
      </c>
      <c r="D22" s="92">
        <v>4960</v>
      </c>
    </row>
    <row r="23" spans="1:11" ht="29.4" customHeight="1" x14ac:dyDescent="0.3">
      <c r="A23" s="81" t="s">
        <v>65</v>
      </c>
      <c r="B23" s="92">
        <f>B18-SUM(B19:B22)</f>
        <v>-1302</v>
      </c>
      <c r="C23" s="92">
        <f t="shared" ref="C23:D23" si="1">C18-SUM(C19:C22)</f>
        <v>16920</v>
      </c>
      <c r="D23" s="92">
        <f t="shared" si="1"/>
        <v>35331</v>
      </c>
    </row>
    <row r="24" spans="1:11" ht="29.4" customHeight="1" x14ac:dyDescent="0.3">
      <c r="A24" s="80" t="s">
        <v>66</v>
      </c>
      <c r="B24" s="92">
        <v>0</v>
      </c>
      <c r="C24" s="92">
        <f>C23*0.15</f>
        <v>2538</v>
      </c>
      <c r="D24" s="92">
        <f>D23*0.15</f>
        <v>5299.65</v>
      </c>
    </row>
    <row r="25" spans="1:11" ht="29.4" customHeight="1" x14ac:dyDescent="0.3">
      <c r="A25" s="82" t="s">
        <v>67</v>
      </c>
      <c r="B25" s="91">
        <f>B23-B24</f>
        <v>-1302</v>
      </c>
      <c r="C25" s="91">
        <f t="shared" ref="C25:D25" si="2">C23-C24</f>
        <v>14382</v>
      </c>
      <c r="D25" s="91">
        <f t="shared" si="2"/>
        <v>30031.35</v>
      </c>
    </row>
    <row r="26" spans="1:11" ht="29.4" customHeight="1" x14ac:dyDescent="0.3">
      <c r="A26" s="82" t="s">
        <v>68</v>
      </c>
      <c r="B26" s="91">
        <f>B25+B22</f>
        <v>3658</v>
      </c>
      <c r="C26" s="91">
        <f t="shared" ref="C26:D26" si="3">C25+C22</f>
        <v>19342</v>
      </c>
      <c r="D26" s="91">
        <f t="shared" si="3"/>
        <v>34991.35</v>
      </c>
      <c r="K26" s="1"/>
    </row>
    <row r="27" spans="1:11" ht="27" customHeight="1" x14ac:dyDescent="0.3"/>
    <row r="29" spans="1:11" ht="15.6" x14ac:dyDescent="0.3">
      <c r="A29" s="88" t="s">
        <v>136</v>
      </c>
      <c r="B29" s="88"/>
      <c r="E29" s="79"/>
      <c r="H29" t="s">
        <v>106</v>
      </c>
    </row>
    <row r="30" spans="1:11" ht="15.6" x14ac:dyDescent="0.3">
      <c r="E30" s="79"/>
    </row>
    <row r="31" spans="1:11" ht="15.6" x14ac:dyDescent="0.3">
      <c r="A31" s="3" t="s">
        <v>137</v>
      </c>
      <c r="B31" s="3">
        <v>42086</v>
      </c>
      <c r="E31" s="79"/>
    </row>
    <row r="32" spans="1:11" ht="15.6" x14ac:dyDescent="0.3">
      <c r="A32" s="3" t="s">
        <v>138</v>
      </c>
      <c r="B32" s="3">
        <v>2538</v>
      </c>
      <c r="E32" s="79"/>
    </row>
    <row r="33" spans="1:5" ht="15.6" x14ac:dyDescent="0.3">
      <c r="A33" s="3" t="s">
        <v>139</v>
      </c>
      <c r="B33" s="3">
        <f>B31+B32</f>
        <v>44624</v>
      </c>
      <c r="E33" s="79"/>
    </row>
    <row r="34" spans="1:5" ht="15.6" x14ac:dyDescent="0.3">
      <c r="E34" s="79"/>
    </row>
    <row r="35" spans="1:5" ht="15.6" x14ac:dyDescent="0.3">
      <c r="E35" s="79"/>
    </row>
    <row r="36" spans="1:5" ht="15.6" x14ac:dyDescent="0.3">
      <c r="E36" s="79"/>
    </row>
    <row r="37" spans="1:5" ht="15.6" x14ac:dyDescent="0.3">
      <c r="E37" s="79"/>
    </row>
    <row r="38" spans="1:5" ht="15.6" x14ac:dyDescent="0.3">
      <c r="E38" s="79"/>
    </row>
    <row r="39" spans="1:5" ht="15.6" x14ac:dyDescent="0.3">
      <c r="E39" s="79"/>
    </row>
    <row r="40" spans="1:5" ht="15.6" x14ac:dyDescent="0.3">
      <c r="E40" s="79"/>
    </row>
    <row r="41" spans="1:5" ht="15.6" x14ac:dyDescent="0.3">
      <c r="E41" s="79"/>
    </row>
    <row r="42" spans="1:5" ht="15.6" x14ac:dyDescent="0.3">
      <c r="E42" s="79"/>
    </row>
    <row r="43" spans="1:5" ht="15.6" x14ac:dyDescent="0.3">
      <c r="E43" s="79"/>
    </row>
    <row r="44" spans="1:5" ht="15.6" x14ac:dyDescent="0.3">
      <c r="E44" s="79"/>
    </row>
    <row r="45" spans="1:5" ht="15.6" x14ac:dyDescent="0.3">
      <c r="E45" s="79"/>
    </row>
    <row r="46" spans="1:5" ht="15.6" x14ac:dyDescent="0.3">
      <c r="E46" s="79"/>
    </row>
    <row r="47" spans="1:5" ht="15.6" x14ac:dyDescent="0.3">
      <c r="E47" s="79"/>
    </row>
    <row r="49" spans="5:5" ht="15.6" x14ac:dyDescent="0.3">
      <c r="E49" s="79"/>
    </row>
  </sheetData>
  <mergeCells count="2">
    <mergeCell ref="A1:E3"/>
    <mergeCell ref="A29:B2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3"/>
  <sheetViews>
    <sheetView workbookViewId="0">
      <selection activeCell="A20" sqref="A20:E20"/>
    </sheetView>
  </sheetViews>
  <sheetFormatPr defaultRowHeight="14.4" x14ac:dyDescent="0.3"/>
  <cols>
    <col min="1" max="1" width="29.88671875" style="3" customWidth="1"/>
    <col min="2" max="5" width="20.88671875" style="3" customWidth="1"/>
    <col min="6" max="6" width="8.88671875" style="3"/>
  </cols>
  <sheetData>
    <row r="2" spans="1:9" x14ac:dyDescent="0.3">
      <c r="A2" s="13" t="s">
        <v>127</v>
      </c>
      <c r="B2" s="13"/>
      <c r="C2" s="13"/>
      <c r="D2" s="13"/>
      <c r="E2" s="13"/>
      <c r="F2" s="13"/>
      <c r="G2" s="13"/>
      <c r="H2" s="13"/>
      <c r="I2" s="13"/>
    </row>
    <row r="3" spans="1:9" x14ac:dyDescent="0.3">
      <c r="A3" s="13"/>
      <c r="B3" s="13"/>
      <c r="C3" s="13"/>
      <c r="D3" s="13"/>
      <c r="E3" s="13"/>
      <c r="F3" s="13"/>
      <c r="G3" s="13"/>
      <c r="H3" s="13"/>
      <c r="I3" s="13"/>
    </row>
    <row r="7" spans="1:9" ht="15.6" x14ac:dyDescent="0.3">
      <c r="A7" s="7"/>
      <c r="B7" s="8" t="s">
        <v>73</v>
      </c>
      <c r="C7" s="8" t="s">
        <v>74</v>
      </c>
      <c r="D7" s="8" t="s">
        <v>75</v>
      </c>
      <c r="E7" s="8" t="s">
        <v>91</v>
      </c>
    </row>
    <row r="8" spans="1:9" ht="15.6" x14ac:dyDescent="0.3">
      <c r="A8" s="7"/>
      <c r="B8" s="5"/>
      <c r="C8" s="5"/>
      <c r="D8" s="5"/>
      <c r="E8" s="5"/>
    </row>
    <row r="9" spans="1:9" ht="15.6" x14ac:dyDescent="0.3">
      <c r="A9" s="77" t="s">
        <v>84</v>
      </c>
      <c r="B9" s="76">
        <v>250</v>
      </c>
      <c r="C9" s="5">
        <f>B9*12</f>
        <v>3000</v>
      </c>
      <c r="D9" s="5">
        <f>C9*1.05</f>
        <v>3150</v>
      </c>
      <c r="E9" s="5">
        <f>D9*1.05</f>
        <v>3307.5</v>
      </c>
    </row>
    <row r="10" spans="1:9" ht="15.6" x14ac:dyDescent="0.3">
      <c r="A10" s="77" t="s">
        <v>85</v>
      </c>
      <c r="B10" s="76">
        <v>400</v>
      </c>
      <c r="C10" s="5">
        <f>B10*12</f>
        <v>4800</v>
      </c>
      <c r="D10" s="5">
        <f t="shared" ref="D10:E10" si="0">C10*1.05</f>
        <v>5040</v>
      </c>
      <c r="E10" s="5">
        <f t="shared" si="0"/>
        <v>5292</v>
      </c>
    </row>
    <row r="11" spans="1:9" ht="15.6" x14ac:dyDescent="0.3">
      <c r="A11" s="77" t="s">
        <v>86</v>
      </c>
      <c r="B11" s="76">
        <v>600</v>
      </c>
      <c r="C11" s="5">
        <f>B11*12</f>
        <v>7200</v>
      </c>
      <c r="D11" s="5">
        <f t="shared" ref="D11:E11" si="1">C11*1.05</f>
        <v>7560</v>
      </c>
      <c r="E11" s="5">
        <f t="shared" si="1"/>
        <v>7938</v>
      </c>
    </row>
    <row r="12" spans="1:9" ht="15.6" x14ac:dyDescent="0.3">
      <c r="A12" s="77" t="s">
        <v>87</v>
      </c>
      <c r="B12" s="76">
        <v>180</v>
      </c>
      <c r="C12" s="5">
        <f>B12*12</f>
        <v>2160</v>
      </c>
      <c r="D12" s="5">
        <f t="shared" ref="D12:E12" si="2">C12*1.05</f>
        <v>2268</v>
      </c>
      <c r="E12" s="5">
        <f t="shared" si="2"/>
        <v>2381.4</v>
      </c>
    </row>
    <row r="13" spans="1:9" ht="15.6" x14ac:dyDescent="0.3">
      <c r="A13" s="77" t="s">
        <v>88</v>
      </c>
      <c r="B13" s="76">
        <v>200</v>
      </c>
      <c r="C13" s="5">
        <f>B13*12</f>
        <v>2400</v>
      </c>
      <c r="D13" s="5">
        <f t="shared" ref="D13:E13" si="3">C13*1.05</f>
        <v>2520</v>
      </c>
      <c r="E13" s="5">
        <f t="shared" si="3"/>
        <v>2646</v>
      </c>
    </row>
    <row r="14" spans="1:9" ht="15.6" x14ac:dyDescent="0.3">
      <c r="A14" s="77" t="s">
        <v>89</v>
      </c>
      <c r="B14" s="76">
        <v>500</v>
      </c>
      <c r="C14" s="5">
        <f>B14*12</f>
        <v>6000</v>
      </c>
      <c r="D14" s="5">
        <f t="shared" ref="D14:E14" si="4">C14*1.05</f>
        <v>6300</v>
      </c>
      <c r="E14" s="5">
        <f t="shared" si="4"/>
        <v>6615</v>
      </c>
    </row>
    <row r="15" spans="1:9" ht="15.6" x14ac:dyDescent="0.3">
      <c r="A15" s="77" t="s">
        <v>90</v>
      </c>
      <c r="B15" s="76">
        <v>300</v>
      </c>
      <c r="C15" s="5">
        <f>B15*12</f>
        <v>3600</v>
      </c>
      <c r="D15" s="5">
        <f t="shared" ref="D15:E15" si="5">C15*1.05</f>
        <v>3780</v>
      </c>
      <c r="E15" s="5">
        <f t="shared" si="5"/>
        <v>3969</v>
      </c>
    </row>
    <row r="16" spans="1:9" ht="15.6" x14ac:dyDescent="0.3">
      <c r="A16" s="77" t="s">
        <v>14</v>
      </c>
      <c r="B16" s="76">
        <f>SUM(B9:B15)</f>
        <v>2430</v>
      </c>
      <c r="C16" s="76">
        <f>SUM(C9:C15)</f>
        <v>29160</v>
      </c>
      <c r="D16" s="5">
        <f t="shared" ref="D16:E16" si="6">C16*1.05</f>
        <v>30618</v>
      </c>
      <c r="E16" s="5">
        <f t="shared" si="6"/>
        <v>32148.9</v>
      </c>
    </row>
    <row r="17" spans="1:5" ht="15.6" x14ac:dyDescent="0.3">
      <c r="A17" s="77"/>
      <c r="B17" s="76"/>
      <c r="C17" s="76"/>
      <c r="D17" s="76"/>
      <c r="E17" s="76"/>
    </row>
    <row r="18" spans="1:5" ht="15.6" x14ac:dyDescent="0.3">
      <c r="A18" s="77" t="s">
        <v>83</v>
      </c>
      <c r="B18" s="76">
        <v>5000</v>
      </c>
      <c r="C18" s="5">
        <f>B18*12</f>
        <v>60000</v>
      </c>
      <c r="D18" s="5">
        <f>C18*1.02</f>
        <v>61200</v>
      </c>
      <c r="E18" s="5">
        <f>D18*1.02</f>
        <v>62424</v>
      </c>
    </row>
    <row r="19" spans="1:5" ht="15.6" x14ac:dyDescent="0.3">
      <c r="A19" s="78"/>
      <c r="B19" s="75"/>
      <c r="C19" s="75"/>
      <c r="D19" s="75"/>
      <c r="E19" s="75"/>
    </row>
    <row r="20" spans="1:5" ht="15.6" x14ac:dyDescent="0.3">
      <c r="A20" s="77" t="s">
        <v>14</v>
      </c>
      <c r="B20" s="76">
        <f>B16+B18</f>
        <v>7430</v>
      </c>
      <c r="C20" s="76">
        <f t="shared" ref="C20:E20" si="7">C16+C18</f>
        <v>89160</v>
      </c>
      <c r="D20" s="76">
        <f t="shared" si="7"/>
        <v>91818</v>
      </c>
      <c r="E20" s="76">
        <f t="shared" si="7"/>
        <v>94572.9</v>
      </c>
    </row>
    <row r="21" spans="1:5" x14ac:dyDescent="0.3">
      <c r="A21" s="74"/>
      <c r="B21" s="75"/>
      <c r="C21" s="75"/>
      <c r="D21" s="75"/>
      <c r="E21" s="75"/>
    </row>
    <row r="22" spans="1:5" x14ac:dyDescent="0.3">
      <c r="A22" s="74"/>
      <c r="B22" s="75"/>
      <c r="C22" s="75"/>
      <c r="D22" s="75"/>
      <c r="E22" s="75"/>
    </row>
    <row r="23" spans="1:5" x14ac:dyDescent="0.3">
      <c r="A23" s="3" t="s">
        <v>128</v>
      </c>
    </row>
  </sheetData>
  <mergeCells count="1">
    <mergeCell ref="A2:I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E13" sqref="E13"/>
    </sheetView>
  </sheetViews>
  <sheetFormatPr defaultRowHeight="14.4" x14ac:dyDescent="0.3"/>
  <cols>
    <col min="1" max="6" width="23.21875" style="3" customWidth="1"/>
    <col min="7" max="7" width="17.6640625" style="3" customWidth="1"/>
    <col min="8" max="8" width="23.21875" style="3" customWidth="1"/>
  </cols>
  <sheetData>
    <row r="1" spans="1:8" ht="14.4" customHeight="1" x14ac:dyDescent="0.3">
      <c r="A1" s="70" t="s">
        <v>92</v>
      </c>
      <c r="B1" s="70" t="s">
        <v>93</v>
      </c>
      <c r="C1" s="70" t="s">
        <v>94</v>
      </c>
      <c r="D1" s="71" t="s">
        <v>95</v>
      </c>
      <c r="E1" s="71" t="s">
        <v>125</v>
      </c>
      <c r="F1" s="71" t="s">
        <v>130</v>
      </c>
      <c r="G1" s="84" t="s">
        <v>131</v>
      </c>
      <c r="H1" s="71" t="s">
        <v>124</v>
      </c>
    </row>
    <row r="2" spans="1:8" ht="30" customHeight="1" x14ac:dyDescent="0.3">
      <c r="A2" s="70"/>
      <c r="B2" s="70"/>
      <c r="C2" s="70"/>
      <c r="D2" s="71"/>
      <c r="E2" s="71"/>
      <c r="F2" s="71"/>
      <c r="G2" s="84"/>
      <c r="H2" s="71"/>
    </row>
    <row r="3" spans="1:8" ht="27.6" customHeight="1" x14ac:dyDescent="0.3">
      <c r="A3" s="72" t="s">
        <v>96</v>
      </c>
      <c r="B3" s="69" t="s">
        <v>97</v>
      </c>
      <c r="C3" s="85">
        <v>2000</v>
      </c>
      <c r="D3" s="85">
        <f>C3*0.4</f>
        <v>800</v>
      </c>
      <c r="E3" s="85">
        <v>2800</v>
      </c>
      <c r="F3" s="16">
        <f>E3*12</f>
        <v>33600</v>
      </c>
      <c r="G3" s="16">
        <f>C3*12</f>
        <v>24000</v>
      </c>
      <c r="H3" s="16">
        <f>F3-G3</f>
        <v>9600</v>
      </c>
    </row>
    <row r="4" spans="1:8" ht="27.6" customHeight="1" x14ac:dyDescent="0.3">
      <c r="A4" s="72" t="s">
        <v>98</v>
      </c>
      <c r="B4" s="69" t="s">
        <v>133</v>
      </c>
      <c r="C4" s="87">
        <v>1600</v>
      </c>
      <c r="D4" s="87">
        <f t="shared" ref="D4" si="0">C4*0.4</f>
        <v>640</v>
      </c>
      <c r="E4" s="87">
        <f>C4+D4</f>
        <v>2240</v>
      </c>
      <c r="F4" s="16">
        <f t="shared" ref="F4:F8" si="1">E4*12</f>
        <v>26880</v>
      </c>
      <c r="G4" s="16">
        <f t="shared" ref="G4:G8" si="2">C4*12</f>
        <v>19200</v>
      </c>
      <c r="H4" s="16">
        <f t="shared" ref="H4:H8" si="3">F4-G4</f>
        <v>7680</v>
      </c>
    </row>
    <row r="5" spans="1:8" ht="27.6" customHeight="1" x14ac:dyDescent="0.3">
      <c r="A5" s="72" t="s">
        <v>99</v>
      </c>
      <c r="B5" s="68" t="s">
        <v>101</v>
      </c>
      <c r="C5" s="86">
        <v>1480</v>
      </c>
      <c r="D5" s="86">
        <v>592</v>
      </c>
      <c r="E5" s="86">
        <f>C5+D5</f>
        <v>2072</v>
      </c>
      <c r="F5" s="16">
        <f>2072*12</f>
        <v>24864</v>
      </c>
      <c r="G5" s="16">
        <f t="shared" si="2"/>
        <v>17760</v>
      </c>
      <c r="H5" s="16">
        <f t="shared" si="3"/>
        <v>7104</v>
      </c>
    </row>
    <row r="6" spans="1:8" ht="27.6" customHeight="1" x14ac:dyDescent="0.3">
      <c r="A6" s="72" t="s">
        <v>100</v>
      </c>
      <c r="B6" s="68"/>
      <c r="C6" s="86"/>
      <c r="D6" s="86"/>
      <c r="E6" s="86"/>
      <c r="F6" s="16">
        <f t="shared" ref="F6" si="4">2072*12</f>
        <v>24864</v>
      </c>
      <c r="G6" s="16">
        <v>17760</v>
      </c>
      <c r="H6" s="16">
        <f t="shared" si="3"/>
        <v>7104</v>
      </c>
    </row>
    <row r="7" spans="1:8" ht="27.6" customHeight="1" x14ac:dyDescent="0.3">
      <c r="A7" s="72" t="s">
        <v>102</v>
      </c>
      <c r="B7" s="69" t="s">
        <v>103</v>
      </c>
      <c r="C7" s="85">
        <f>25*4*12</f>
        <v>1200</v>
      </c>
      <c r="D7" s="85">
        <f>C7*0.4</f>
        <v>480</v>
      </c>
      <c r="E7" s="85">
        <f>C7+D7</f>
        <v>1680</v>
      </c>
      <c r="F7" s="16">
        <f t="shared" si="1"/>
        <v>20160</v>
      </c>
      <c r="G7" s="16">
        <f t="shared" si="2"/>
        <v>14400</v>
      </c>
      <c r="H7" s="16">
        <f t="shared" si="3"/>
        <v>5760</v>
      </c>
    </row>
    <row r="8" spans="1:8" ht="27.6" customHeight="1" x14ac:dyDescent="0.3">
      <c r="A8" s="72" t="s">
        <v>105</v>
      </c>
      <c r="B8" s="69"/>
      <c r="C8" s="85">
        <f>21*4*12</f>
        <v>1008</v>
      </c>
      <c r="D8" s="85">
        <f>C8*0.4</f>
        <v>403.20000000000005</v>
      </c>
      <c r="E8" s="85">
        <f>C8+D8</f>
        <v>1411.2</v>
      </c>
      <c r="F8" s="16">
        <f t="shared" si="1"/>
        <v>16934.400000000001</v>
      </c>
      <c r="G8" s="16">
        <f t="shared" si="2"/>
        <v>12096</v>
      </c>
      <c r="H8" s="16">
        <f t="shared" si="3"/>
        <v>4838.4000000000015</v>
      </c>
    </row>
    <row r="9" spans="1:8" ht="32.4" customHeight="1" x14ac:dyDescent="0.3">
      <c r="A9" s="48"/>
      <c r="E9" s="73" t="s">
        <v>14</v>
      </c>
      <c r="F9" s="16">
        <f>SUM(F3:F8)</f>
        <v>147302.39999999999</v>
      </c>
      <c r="G9" s="5">
        <f>SUM(G3:G8)</f>
        <v>105216</v>
      </c>
      <c r="H9" s="5">
        <f>SUM(H3:H8)</f>
        <v>42086.400000000001</v>
      </c>
    </row>
    <row r="10" spans="1:8" x14ac:dyDescent="0.3">
      <c r="A10" s="48" t="s">
        <v>134</v>
      </c>
    </row>
    <row r="11" spans="1:8" x14ac:dyDescent="0.3">
      <c r="A11" s="48" t="s">
        <v>135</v>
      </c>
    </row>
    <row r="12" spans="1:8" x14ac:dyDescent="0.3">
      <c r="A12" s="48" t="s">
        <v>104</v>
      </c>
    </row>
    <row r="13" spans="1:8" x14ac:dyDescent="0.3">
      <c r="A13" s="3" t="s">
        <v>126</v>
      </c>
    </row>
  </sheetData>
  <mergeCells count="12">
    <mergeCell ref="E1:E2"/>
    <mergeCell ref="F1:F2"/>
    <mergeCell ref="H1:H2"/>
    <mergeCell ref="G1:G2"/>
    <mergeCell ref="B5:B6"/>
    <mergeCell ref="C5:C6"/>
    <mergeCell ref="D5:D6"/>
    <mergeCell ref="E5:E6"/>
    <mergeCell ref="A1:A2"/>
    <mergeCell ref="B1:B2"/>
    <mergeCell ref="C1:C2"/>
    <mergeCell ref="D1:D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29"/>
  <sheetViews>
    <sheetView workbookViewId="0">
      <selection activeCell="A7" sqref="A7:C11"/>
    </sheetView>
  </sheetViews>
  <sheetFormatPr defaultRowHeight="14.4" x14ac:dyDescent="0.3"/>
  <cols>
    <col min="1" max="1" width="36.5546875" style="3" customWidth="1"/>
    <col min="2" max="7" width="15.5546875" style="3" customWidth="1"/>
    <col min="8" max="11" width="8.88671875" style="3"/>
  </cols>
  <sheetData>
    <row r="3" spans="1:8" x14ac:dyDescent="0.3">
      <c r="A3" s="13" t="s">
        <v>118</v>
      </c>
      <c r="B3" s="13"/>
      <c r="C3" s="13"/>
      <c r="D3" s="13"/>
      <c r="E3" s="13"/>
      <c r="F3" s="13"/>
      <c r="G3" s="13"/>
      <c r="H3" s="13"/>
    </row>
    <row r="4" spans="1:8" x14ac:dyDescent="0.3">
      <c r="A4" s="13"/>
      <c r="B4" s="13"/>
      <c r="C4" s="13"/>
      <c r="D4" s="13"/>
      <c r="E4" s="13"/>
      <c r="F4" s="13"/>
      <c r="G4" s="13"/>
      <c r="H4" s="13"/>
    </row>
    <row r="5" spans="1:8" ht="21" customHeight="1" x14ac:dyDescent="0.3"/>
    <row r="6" spans="1:8" ht="22.2" customHeight="1" x14ac:dyDescent="0.3"/>
    <row r="7" spans="1:8" ht="24" customHeight="1" x14ac:dyDescent="0.3">
      <c r="A7" s="8"/>
      <c r="B7" s="8" t="s">
        <v>81</v>
      </c>
      <c r="C7" s="8" t="s">
        <v>3</v>
      </c>
    </row>
    <row r="8" spans="1:8" ht="24" customHeight="1" x14ac:dyDescent="0.3">
      <c r="A8" s="5" t="s">
        <v>119</v>
      </c>
      <c r="B8" s="5">
        <v>40</v>
      </c>
      <c r="C8" s="5">
        <v>36</v>
      </c>
    </row>
    <row r="9" spans="1:8" ht="24" customHeight="1" x14ac:dyDescent="0.3">
      <c r="A9" s="5" t="s">
        <v>78</v>
      </c>
      <c r="B9" s="5">
        <v>60</v>
      </c>
      <c r="C9" s="5">
        <v>70</v>
      </c>
    </row>
    <row r="10" spans="1:8" ht="24" customHeight="1" x14ac:dyDescent="0.3">
      <c r="A10" s="5" t="s">
        <v>79</v>
      </c>
      <c r="B10" s="5">
        <v>90</v>
      </c>
      <c r="C10" s="5">
        <v>80</v>
      </c>
    </row>
    <row r="11" spans="1:8" ht="24" customHeight="1" x14ac:dyDescent="0.3">
      <c r="A11" s="5" t="s">
        <v>72</v>
      </c>
      <c r="B11" s="5" t="s">
        <v>120</v>
      </c>
      <c r="C11" s="5">
        <v>1920</v>
      </c>
    </row>
    <row r="16" spans="1:8" x14ac:dyDescent="0.3">
      <c r="A16" s="13" t="s">
        <v>121</v>
      </c>
      <c r="B16" s="13"/>
      <c r="C16" s="13"/>
      <c r="D16" s="13"/>
      <c r="E16" s="13"/>
      <c r="F16" s="13"/>
      <c r="G16" s="13"/>
      <c r="H16" s="13"/>
    </row>
    <row r="17" spans="1:8" x14ac:dyDescent="0.3">
      <c r="A17" s="13"/>
      <c r="B17" s="13"/>
      <c r="C17" s="13"/>
      <c r="D17" s="13"/>
      <c r="E17" s="13"/>
      <c r="F17" s="13"/>
      <c r="G17" s="13"/>
      <c r="H17" s="13"/>
    </row>
    <row r="18" spans="1:8" ht="21" customHeight="1" x14ac:dyDescent="0.35">
      <c r="A18" s="65"/>
      <c r="B18" s="65"/>
      <c r="C18" s="65"/>
      <c r="D18" s="65"/>
      <c r="E18" s="65"/>
      <c r="F18" s="65"/>
      <c r="G18" s="65"/>
      <c r="H18" s="65"/>
    </row>
    <row r="19" spans="1:8" ht="21" customHeight="1" x14ac:dyDescent="0.35">
      <c r="A19" s="65"/>
      <c r="B19" s="65"/>
      <c r="C19" s="65"/>
      <c r="D19" s="65"/>
      <c r="E19" s="65"/>
      <c r="F19" s="65"/>
      <c r="G19" s="65"/>
      <c r="H19" s="65"/>
    </row>
    <row r="20" spans="1:8" ht="21" customHeight="1" x14ac:dyDescent="0.3">
      <c r="A20" s="66" t="s">
        <v>122</v>
      </c>
      <c r="B20" s="66"/>
      <c r="C20" s="66"/>
      <c r="D20" s="66"/>
      <c r="E20" s="66"/>
      <c r="F20" s="66"/>
      <c r="G20" s="66"/>
      <c r="H20" s="66"/>
    </row>
    <row r="21" spans="1:8" ht="21" customHeight="1" x14ac:dyDescent="0.35">
      <c r="A21" s="67" t="s">
        <v>123</v>
      </c>
      <c r="B21" s="67"/>
      <c r="C21" s="67"/>
      <c r="D21" s="67"/>
      <c r="E21" s="67"/>
      <c r="F21" s="67"/>
      <c r="G21" s="67"/>
      <c r="H21" s="65"/>
    </row>
    <row r="22" spans="1:8" ht="21" customHeight="1" x14ac:dyDescent="0.35">
      <c r="A22" s="65"/>
      <c r="B22" s="65"/>
      <c r="C22" s="65"/>
      <c r="D22" s="65"/>
      <c r="E22" s="65"/>
      <c r="F22" s="65"/>
      <c r="G22" s="65"/>
      <c r="H22" s="65"/>
    </row>
    <row r="23" spans="1:8" ht="21" customHeight="1" x14ac:dyDescent="0.35">
      <c r="A23" s="65"/>
      <c r="B23" s="65"/>
      <c r="C23" s="65"/>
      <c r="D23" s="65"/>
      <c r="E23" s="65"/>
      <c r="F23" s="65"/>
      <c r="G23" s="65"/>
      <c r="H23" s="65"/>
    </row>
    <row r="24" spans="1:8" ht="25.2" customHeight="1" x14ac:dyDescent="0.3">
      <c r="A24" s="7"/>
      <c r="B24" s="8" t="s">
        <v>81</v>
      </c>
      <c r="C24" s="8" t="s">
        <v>82</v>
      </c>
      <c r="D24" s="8" t="s">
        <v>73</v>
      </c>
      <c r="E24" s="8" t="s">
        <v>74</v>
      </c>
      <c r="F24" s="8" t="s">
        <v>75</v>
      </c>
      <c r="G24" s="8" t="s">
        <v>76</v>
      </c>
    </row>
    <row r="25" spans="1:8" ht="25.2" customHeight="1" x14ac:dyDescent="0.3">
      <c r="A25" s="7" t="s">
        <v>77</v>
      </c>
      <c r="B25" s="5">
        <v>40</v>
      </c>
      <c r="C25" s="5">
        <f>200*0.18</f>
        <v>36</v>
      </c>
      <c r="D25" s="5">
        <f>B25*C25</f>
        <v>1440</v>
      </c>
      <c r="E25" s="5">
        <f>D25*12</f>
        <v>17280</v>
      </c>
      <c r="F25" s="5">
        <f>E25*1.05</f>
        <v>18144</v>
      </c>
      <c r="G25" s="5">
        <f>F25*1.05</f>
        <v>19051.2</v>
      </c>
    </row>
    <row r="26" spans="1:8" ht="25.2" customHeight="1" x14ac:dyDescent="0.3">
      <c r="A26" s="7" t="s">
        <v>78</v>
      </c>
      <c r="B26" s="5">
        <v>60</v>
      </c>
      <c r="C26" s="5">
        <v>70</v>
      </c>
      <c r="D26" s="5">
        <f>B26*C26</f>
        <v>4200</v>
      </c>
      <c r="E26" s="5">
        <f>D26*12</f>
        <v>50400</v>
      </c>
      <c r="F26" s="5">
        <f>E26*1.1</f>
        <v>55440.000000000007</v>
      </c>
      <c r="G26" s="5">
        <f>F26*1.1</f>
        <v>60984.000000000015</v>
      </c>
    </row>
    <row r="27" spans="1:8" ht="25.2" customHeight="1" x14ac:dyDescent="0.3">
      <c r="A27" s="7" t="s">
        <v>79</v>
      </c>
      <c r="B27" s="5">
        <v>100</v>
      </c>
      <c r="C27" s="5">
        <v>80</v>
      </c>
      <c r="D27" s="5">
        <f>B27*C27</f>
        <v>8000</v>
      </c>
      <c r="E27" s="5">
        <f>D27*12</f>
        <v>96000</v>
      </c>
      <c r="F27" s="5">
        <f>E27*1.15</f>
        <v>110399.99999999999</v>
      </c>
      <c r="G27" s="5">
        <f>F27*1.15</f>
        <v>126959.99999999997</v>
      </c>
    </row>
    <row r="28" spans="1:8" ht="25.2" customHeight="1" x14ac:dyDescent="0.3">
      <c r="A28" s="7" t="s">
        <v>80</v>
      </c>
      <c r="B28" s="5">
        <v>3.5</v>
      </c>
      <c r="C28" s="5">
        <f>8*6*4*10</f>
        <v>1920</v>
      </c>
      <c r="D28" s="5">
        <f>B28*C28</f>
        <v>6720</v>
      </c>
      <c r="E28" s="5">
        <f>D28*12</f>
        <v>80640</v>
      </c>
      <c r="F28" s="5">
        <v>80640</v>
      </c>
      <c r="G28" s="5">
        <v>80640</v>
      </c>
    </row>
    <row r="29" spans="1:8" ht="25.2" customHeight="1" x14ac:dyDescent="0.3">
      <c r="A29" s="7" t="s">
        <v>4</v>
      </c>
      <c r="B29" s="5"/>
      <c r="C29" s="5"/>
      <c r="D29" s="5"/>
      <c r="E29" s="5">
        <f>SUM(E25:E28)</f>
        <v>244320</v>
      </c>
      <c r="F29" s="5">
        <f>SUM(F25:F28)</f>
        <v>264624</v>
      </c>
      <c r="G29" s="5">
        <f>SUM(G25:G28)</f>
        <v>287635.19999999995</v>
      </c>
    </row>
  </sheetData>
  <mergeCells count="3">
    <mergeCell ref="A3:H4"/>
    <mergeCell ref="A16:H17"/>
    <mergeCell ref="A20:H20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20"/>
  <sheetViews>
    <sheetView topLeftCell="A2" workbookViewId="0">
      <selection activeCell="G26" sqref="G26"/>
    </sheetView>
  </sheetViews>
  <sheetFormatPr defaultRowHeight="14.4" x14ac:dyDescent="0.3"/>
  <cols>
    <col min="1" max="1" width="22.5546875" style="3" customWidth="1"/>
    <col min="2" max="4" width="15.6640625" style="3" customWidth="1"/>
    <col min="5" max="5" width="21" style="3" customWidth="1"/>
    <col min="6" max="6" width="15.6640625" style="3" customWidth="1"/>
    <col min="7" max="7" width="20.5546875" style="3" customWidth="1"/>
    <col min="8" max="8" width="15.44140625" style="3" customWidth="1"/>
    <col min="9" max="9" width="13.21875" style="3" customWidth="1"/>
    <col min="10" max="12" width="8.88671875" style="3"/>
  </cols>
  <sheetData>
    <row r="3" spans="1:12" x14ac:dyDescent="0.3">
      <c r="A3" s="95" t="s">
        <v>141</v>
      </c>
      <c r="B3" s="95"/>
      <c r="C3" s="95"/>
      <c r="D3" s="95"/>
      <c r="E3" s="95"/>
      <c r="F3" s="95"/>
      <c r="G3" s="95"/>
      <c r="H3" s="95"/>
    </row>
    <row r="4" spans="1:12" x14ac:dyDescent="0.3">
      <c r="A4" s="95"/>
      <c r="B4" s="95"/>
      <c r="C4" s="95"/>
      <c r="D4" s="95"/>
      <c r="E4" s="95"/>
      <c r="F4" s="95"/>
      <c r="G4" s="95"/>
      <c r="H4" s="95"/>
    </row>
    <row r="9" spans="1:12" ht="15.6" x14ac:dyDescent="0.3">
      <c r="A9" s="96" t="s">
        <v>142</v>
      </c>
    </row>
    <row r="10" spans="1:12" ht="15.6" x14ac:dyDescent="0.3">
      <c r="A10" s="96"/>
    </row>
    <row r="11" spans="1:12" ht="15.6" x14ac:dyDescent="0.3">
      <c r="A11" s="12" t="s">
        <v>109</v>
      </c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</row>
    <row r="12" spans="1:12" ht="15.6" x14ac:dyDescent="0.3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</row>
    <row r="13" spans="1:12" ht="15.6" x14ac:dyDescent="0.3">
      <c r="A13" s="12" t="s">
        <v>107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</row>
    <row r="14" spans="1:12" ht="15.6" x14ac:dyDescent="0.3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</row>
    <row r="15" spans="1:12" ht="15.6" x14ac:dyDescent="0.3">
      <c r="A15" s="12" t="s">
        <v>143</v>
      </c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</row>
    <row r="17" spans="1:6" ht="24" customHeight="1" x14ac:dyDescent="0.3">
      <c r="A17" s="98" t="s">
        <v>144</v>
      </c>
      <c r="B17" s="98" t="s">
        <v>145</v>
      </c>
      <c r="C17" s="98" t="s">
        <v>146</v>
      </c>
      <c r="D17" s="98" t="s">
        <v>147</v>
      </c>
      <c r="E17" s="98" t="s">
        <v>108</v>
      </c>
      <c r="F17" s="98" t="s">
        <v>148</v>
      </c>
    </row>
    <row r="18" spans="1:6" ht="24" customHeight="1" x14ac:dyDescent="0.3">
      <c r="A18" s="98">
        <v>1</v>
      </c>
      <c r="B18" s="5">
        <v>244320</v>
      </c>
      <c r="C18" s="5">
        <v>257336</v>
      </c>
      <c r="D18" s="5">
        <v>257336</v>
      </c>
      <c r="E18" s="52" t="s">
        <v>149</v>
      </c>
      <c r="F18" s="5"/>
    </row>
    <row r="19" spans="1:6" ht="24" customHeight="1" x14ac:dyDescent="0.3">
      <c r="A19" s="98">
        <v>2</v>
      </c>
      <c r="B19" s="5">
        <v>262624</v>
      </c>
      <c r="C19" s="5">
        <v>250242</v>
      </c>
      <c r="D19" s="5">
        <v>250242</v>
      </c>
      <c r="E19" s="11">
        <f>250242/262624*12</f>
        <v>11.434232971853294</v>
      </c>
      <c r="F19" s="97">
        <v>43082</v>
      </c>
    </row>
    <row r="20" spans="1:6" ht="24" customHeight="1" x14ac:dyDescent="0.3">
      <c r="A20" s="98">
        <v>3</v>
      </c>
      <c r="B20" s="5">
        <v>287635</v>
      </c>
      <c r="C20" s="5">
        <v>250526</v>
      </c>
      <c r="D20" s="5">
        <v>250526</v>
      </c>
      <c r="E20" s="11">
        <f>250526/287635*12</f>
        <v>10.451829575677507</v>
      </c>
      <c r="F20" s="97">
        <v>43052</v>
      </c>
    </row>
  </sheetData>
  <mergeCells count="1">
    <mergeCell ref="A3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Immobilisation </vt:lpstr>
      <vt:lpstr>charges création</vt:lpstr>
      <vt:lpstr>financement</vt:lpstr>
      <vt:lpstr>Bilan </vt:lpstr>
      <vt:lpstr>compte de résultat </vt:lpstr>
      <vt:lpstr>frais généraux</vt:lpstr>
      <vt:lpstr>charge du personnel</vt:lpstr>
      <vt:lpstr>CA Prévisionnel</vt:lpstr>
      <vt:lpstr>Seuil de rentabilité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2017-06-25T21:27:57Z</dcterms:modified>
</cp:coreProperties>
</file>