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quipe local\bdd ligne existante\SharePoint\"/>
    </mc:Choice>
  </mc:AlternateContent>
  <xr:revisionPtr revIDLastSave="0" documentId="8_{D30F7018-8ACB-4831-80D3-F451BFF6036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Métadonnée" sheetId="4" r:id="rId1"/>
    <sheet name="bus urbain" sheetId="5" r:id="rId2"/>
    <sheet name="bus suburbain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5" l="1"/>
  <c r="AM13" i="6" l="1"/>
  <c r="AM6" i="5" l="1"/>
  <c r="AM10" i="5"/>
  <c r="AM14" i="5"/>
  <c r="AM16" i="5"/>
  <c r="AM17" i="5"/>
  <c r="AM19" i="5"/>
  <c r="AM20" i="5"/>
  <c r="AM21" i="5"/>
  <c r="AM22" i="5"/>
  <c r="AM24" i="5"/>
  <c r="AM26" i="5"/>
  <c r="AM27" i="5"/>
  <c r="AM28" i="5"/>
  <c r="AM29" i="5"/>
  <c r="AM30" i="5"/>
  <c r="AM33" i="5"/>
  <c r="AM35" i="5"/>
  <c r="AM36" i="5"/>
  <c r="AM37" i="5"/>
  <c r="AM38" i="5"/>
  <c r="AM39" i="5"/>
  <c r="AM40" i="5"/>
  <c r="AM41" i="5"/>
  <c r="AM42" i="5"/>
  <c r="AM43" i="5"/>
  <c r="AM44" i="5"/>
  <c r="AM45" i="5"/>
  <c r="AM47" i="5"/>
  <c r="AM49" i="5"/>
  <c r="AM51" i="5"/>
  <c r="AM52" i="5"/>
  <c r="AM53" i="5"/>
  <c r="AM54" i="5"/>
  <c r="AM55" i="5"/>
  <c r="AM56" i="5"/>
  <c r="AM57" i="5"/>
  <c r="AM61" i="5"/>
  <c r="AM62" i="5"/>
  <c r="AM63" i="5"/>
  <c r="AM64" i="5"/>
  <c r="AM50" i="5"/>
  <c r="AM7" i="5"/>
  <c r="AM8" i="5"/>
  <c r="AM31" i="5"/>
  <c r="AM46" i="5"/>
  <c r="AM58" i="5"/>
  <c r="AM11" i="5"/>
  <c r="AM13" i="5"/>
  <c r="AM15" i="5"/>
  <c r="AM34" i="5"/>
  <c r="AM48" i="5"/>
  <c r="AM59" i="5"/>
  <c r="AM12" i="5"/>
  <c r="AM32" i="5"/>
  <c r="AM25" i="5"/>
  <c r="AM5" i="5"/>
  <c r="AM65" i="5" l="1"/>
  <c r="AN13" i="6"/>
  <c r="AD13" i="6"/>
  <c r="L5" i="6"/>
  <c r="L6" i="6"/>
  <c r="L8" i="6"/>
  <c r="L9" i="6"/>
  <c r="L10" i="6"/>
  <c r="L11" i="6"/>
  <c r="L12" i="6"/>
  <c r="L13" i="6"/>
  <c r="L7" i="6"/>
  <c r="A14" i="6"/>
  <c r="AN58" i="5"/>
  <c r="AN11" i="5"/>
  <c r="AN13" i="5"/>
  <c r="AN15" i="5"/>
  <c r="AN34" i="5"/>
  <c r="AN48" i="5"/>
  <c r="AN59" i="5"/>
  <c r="AN12" i="5"/>
  <c r="AN32" i="5"/>
  <c r="AN25" i="5"/>
  <c r="AN8" i="5"/>
  <c r="AN31" i="5"/>
  <c r="AN63" i="5"/>
  <c r="AN64" i="5"/>
  <c r="AN50" i="5"/>
  <c r="AN51" i="5"/>
  <c r="AN52" i="5"/>
  <c r="AN53" i="5"/>
  <c r="AN54" i="5"/>
  <c r="AN55" i="5"/>
  <c r="AN56" i="5"/>
  <c r="AN57" i="5"/>
  <c r="AN61" i="5"/>
  <c r="AN35" i="5"/>
  <c r="AN36" i="5"/>
  <c r="AN37" i="5"/>
  <c r="AN38" i="5"/>
  <c r="AN39" i="5"/>
  <c r="AN40" i="5"/>
  <c r="AN41" i="5"/>
  <c r="AN42" i="5"/>
  <c r="AN43" i="5"/>
  <c r="AN44" i="5"/>
  <c r="AN45" i="5"/>
  <c r="AN47" i="5"/>
  <c r="AN6" i="5"/>
  <c r="AN10" i="5"/>
  <c r="AN14" i="5"/>
  <c r="AN16" i="5"/>
  <c r="AN17" i="5"/>
  <c r="AN19" i="5"/>
  <c r="AN20" i="5"/>
  <c r="AN21" i="5"/>
  <c r="AN22" i="5"/>
  <c r="AN24" i="5"/>
  <c r="AN26" i="5"/>
  <c r="AN27" i="5"/>
  <c r="AN28" i="5"/>
  <c r="AN29" i="5"/>
  <c r="AN30" i="5"/>
  <c r="AN33" i="5"/>
  <c r="AN5" i="5"/>
  <c r="AE59" i="5"/>
  <c r="AE12" i="5"/>
  <c r="AE32" i="5"/>
  <c r="AE25" i="5"/>
  <c r="AE58" i="5"/>
  <c r="AE11" i="5"/>
  <c r="AE13" i="5"/>
  <c r="AE15" i="5"/>
  <c r="AE34" i="5"/>
  <c r="AE31" i="5"/>
  <c r="AE63" i="5"/>
  <c r="AE64" i="5"/>
  <c r="AE50" i="5"/>
  <c r="AE51" i="5"/>
  <c r="AE52" i="5"/>
  <c r="AE53" i="5"/>
  <c r="AE54" i="5"/>
  <c r="AE55" i="5"/>
  <c r="AE56" i="5"/>
  <c r="AE57" i="5"/>
  <c r="AE61" i="5"/>
  <c r="AE37" i="5"/>
  <c r="AE38" i="5"/>
  <c r="AE39" i="5"/>
  <c r="AE40" i="5"/>
  <c r="AE41" i="5"/>
  <c r="AE42" i="5"/>
  <c r="AE43" i="5"/>
  <c r="AE44" i="5"/>
  <c r="AE45" i="5"/>
  <c r="AE47" i="5"/>
  <c r="AE36" i="5"/>
  <c r="AE6" i="5"/>
  <c r="AE10" i="5"/>
  <c r="AE14" i="5"/>
  <c r="AE16" i="5"/>
  <c r="AE17" i="5"/>
  <c r="AE19" i="5"/>
  <c r="AE20" i="5"/>
  <c r="AE21" i="5"/>
  <c r="AE22" i="5"/>
  <c r="AE24" i="5"/>
  <c r="AE26" i="5"/>
  <c r="AE27" i="5"/>
  <c r="AE28" i="5"/>
  <c r="AE29" i="5"/>
  <c r="AE30" i="5"/>
  <c r="AD59" i="5"/>
  <c r="AD12" i="5"/>
  <c r="AD32" i="5"/>
  <c r="AD25" i="5"/>
  <c r="AD58" i="5"/>
  <c r="AD11" i="5"/>
  <c r="AD13" i="5"/>
  <c r="AD15" i="5"/>
  <c r="AD34" i="5"/>
  <c r="AD31" i="5"/>
  <c r="AD63" i="5"/>
  <c r="AD64" i="5"/>
  <c r="AD50" i="5"/>
  <c r="AD51" i="5"/>
  <c r="AD52" i="5"/>
  <c r="AD53" i="5"/>
  <c r="AD55" i="5"/>
  <c r="AD56" i="5"/>
  <c r="AD57" i="5"/>
  <c r="AD61" i="5"/>
  <c r="AD35" i="5"/>
  <c r="AD36" i="5"/>
  <c r="AD37" i="5"/>
  <c r="AD38" i="5"/>
  <c r="AD39" i="5"/>
  <c r="AD40" i="5"/>
  <c r="AD41" i="5"/>
  <c r="AD42" i="5"/>
  <c r="AD43" i="5"/>
  <c r="AD44" i="5"/>
  <c r="AD45" i="5"/>
  <c r="AD47" i="5"/>
  <c r="AD6" i="5"/>
  <c r="AD10" i="5"/>
  <c r="AD14" i="5"/>
  <c r="AD16" i="5"/>
  <c r="AD17" i="5"/>
  <c r="AD19" i="5"/>
  <c r="AD20" i="5"/>
  <c r="AD21" i="5"/>
  <c r="AD22" i="5"/>
  <c r="AD24" i="5"/>
  <c r="AD26" i="5"/>
  <c r="AD27" i="5"/>
  <c r="AD28" i="5"/>
  <c r="AD29" i="5"/>
  <c r="AD30" i="5"/>
  <c r="L6" i="5" l="1"/>
  <c r="L9" i="5"/>
  <c r="L10" i="5"/>
  <c r="L14" i="5"/>
  <c r="L16" i="5"/>
  <c r="L17" i="5"/>
  <c r="L18" i="5"/>
  <c r="L19" i="5"/>
  <c r="L20" i="5"/>
  <c r="L21" i="5"/>
  <c r="L22" i="5"/>
  <c r="L23" i="5"/>
  <c r="L24" i="5"/>
  <c r="L26" i="5"/>
  <c r="L27" i="5"/>
  <c r="L28" i="5"/>
  <c r="L29" i="5"/>
  <c r="L30" i="5"/>
  <c r="L33" i="5"/>
  <c r="L35" i="5"/>
  <c r="L36" i="5"/>
  <c r="L37" i="5"/>
  <c r="L38" i="5"/>
  <c r="L39" i="5"/>
  <c r="L40" i="5"/>
  <c r="L41" i="5"/>
  <c r="L42" i="5"/>
  <c r="L43" i="5"/>
  <c r="L44" i="5"/>
  <c r="L45" i="5"/>
  <c r="L47" i="5"/>
  <c r="L49" i="5"/>
  <c r="L51" i="5"/>
  <c r="L52" i="5"/>
  <c r="L53" i="5"/>
  <c r="L54" i="5"/>
  <c r="L55" i="5"/>
  <c r="L56" i="5"/>
  <c r="L57" i="5"/>
  <c r="L61" i="5"/>
  <c r="L62" i="5"/>
  <c r="L63" i="5"/>
  <c r="L64" i="5"/>
  <c r="L50" i="5"/>
  <c r="L7" i="5"/>
  <c r="L8" i="5"/>
  <c r="L31" i="5"/>
  <c r="L46" i="5"/>
  <c r="L58" i="5"/>
  <c r="L11" i="5"/>
  <c r="L13" i="5"/>
  <c r="L15" i="5"/>
  <c r="L34" i="5"/>
  <c r="L48" i="5"/>
  <c r="L59" i="5"/>
  <c r="L60" i="5"/>
  <c r="L12" i="5"/>
  <c r="L32" i="5"/>
  <c r="L25" i="5"/>
  <c r="L5" i="5"/>
  <c r="G65" i="5"/>
  <c r="A65" i="5"/>
  <c r="K14" i="6"/>
  <c r="J14" i="6"/>
  <c r="AL65" i="5"/>
  <c r="AC65" i="5"/>
  <c r="AB65" i="5"/>
  <c r="T65" i="5"/>
  <c r="V65" i="5"/>
  <c r="X65" i="5"/>
  <c r="R65" i="5"/>
  <c r="Q65" i="5"/>
  <c r="K65" i="5"/>
  <c r="J65" i="5"/>
  <c r="U35" i="5"/>
  <c r="U45" i="5"/>
  <c r="X6" i="6"/>
  <c r="T6" i="6"/>
  <c r="R6" i="6"/>
  <c r="Q6" i="6"/>
  <c r="AC7" i="6"/>
  <c r="AB7" i="6"/>
  <c r="T7" i="6"/>
  <c r="Q7" i="6"/>
  <c r="AL12" i="6"/>
  <c r="AC12" i="6"/>
  <c r="AB12" i="6"/>
  <c r="X12" i="6"/>
  <c r="T12" i="6"/>
  <c r="Q12" i="6"/>
  <c r="Q11" i="6"/>
  <c r="T11" i="6"/>
  <c r="X11" i="6"/>
  <c r="AB11" i="6"/>
  <c r="AD11" i="6" s="1"/>
  <c r="AL11" i="6"/>
  <c r="X7" i="6"/>
  <c r="AL7" i="6"/>
  <c r="U56" i="5"/>
  <c r="Q8" i="6"/>
  <c r="T8" i="6"/>
  <c r="X8" i="6"/>
  <c r="AB8" i="6"/>
  <c r="AC8" i="6"/>
  <c r="AD8" i="6" s="1"/>
  <c r="AL8" i="6"/>
  <c r="R8" i="6"/>
  <c r="AL9" i="6"/>
  <c r="AC9" i="6"/>
  <c r="AB9" i="6"/>
  <c r="X9" i="6"/>
  <c r="T9" i="6"/>
  <c r="Q9" i="6"/>
  <c r="V9" i="6"/>
  <c r="R9" i="6"/>
  <c r="AL10" i="6"/>
  <c r="AB10" i="6"/>
  <c r="T10" i="6"/>
  <c r="R10" i="6"/>
  <c r="Q10" i="6"/>
  <c r="AC10" i="6"/>
  <c r="V10" i="6"/>
  <c r="AL6" i="6"/>
  <c r="AB6" i="6"/>
  <c r="AC6" i="6"/>
  <c r="AD6" i="6" s="1"/>
  <c r="X10" i="6"/>
  <c r="S39" i="5"/>
  <c r="V14" i="6" l="1"/>
  <c r="Q14" i="6"/>
  <c r="R14" i="6"/>
  <c r="AD10" i="6"/>
  <c r="X14" i="6"/>
  <c r="AM8" i="6"/>
  <c r="AN8" i="6"/>
  <c r="AC14" i="6"/>
  <c r="AM10" i="6"/>
  <c r="AN10" i="6"/>
  <c r="AM11" i="6"/>
  <c r="AN11" i="6"/>
  <c r="AD12" i="6"/>
  <c r="AM12" i="6"/>
  <c r="AN12" i="6"/>
  <c r="AD9" i="6"/>
  <c r="AM9" i="6"/>
  <c r="AN9" i="6"/>
  <c r="AM6" i="6"/>
  <c r="AN6" i="6"/>
  <c r="AM7" i="6"/>
  <c r="AN7" i="6"/>
  <c r="AD7" i="6"/>
  <c r="Y38" i="5"/>
  <c r="U27" i="5"/>
  <c r="U57" i="5"/>
  <c r="U50" i="5"/>
  <c r="U61" i="5"/>
  <c r="U54" i="5"/>
  <c r="U44" i="5" l="1"/>
  <c r="U29" i="5"/>
  <c r="U20" i="5"/>
  <c r="U7" i="6"/>
  <c r="U6" i="6"/>
  <c r="U12" i="6"/>
  <c r="S17" i="5"/>
  <c r="S55" i="5" l="1"/>
  <c r="U53" i="5"/>
  <c r="U52" i="5"/>
  <c r="U51" i="5"/>
  <c r="S47" i="5"/>
  <c r="S34" i="5"/>
  <c r="Y59" i="5"/>
  <c r="S43" i="5" l="1"/>
  <c r="S18" i="5"/>
  <c r="S49" i="5"/>
  <c r="U36" i="5"/>
  <c r="U5" i="5"/>
  <c r="U8" i="5"/>
  <c r="U5" i="6"/>
  <c r="S21" i="5" l="1"/>
  <c r="U42" i="5"/>
  <c r="U63" i="5"/>
  <c r="U64" i="5"/>
  <c r="U40" i="5"/>
  <c r="U14" i="5"/>
  <c r="Y13" i="5"/>
  <c r="U11" i="5"/>
  <c r="U10" i="6" l="1"/>
  <c r="U11" i="6"/>
  <c r="U8" i="6"/>
  <c r="Y26" i="5"/>
  <c r="U15" i="5"/>
  <c r="U28" i="5"/>
  <c r="S16" i="5"/>
  <c r="Y19" i="5" l="1"/>
  <c r="U30" i="5"/>
  <c r="U60" i="5"/>
  <c r="U12" i="5"/>
  <c r="U62" i="5"/>
  <c r="Y31" i="5"/>
  <c r="U9" i="5" l="1"/>
  <c r="U33" i="5"/>
  <c r="S22" i="5"/>
  <c r="U48" i="5" l="1"/>
  <c r="U41" i="5"/>
  <c r="Y37" i="5"/>
  <c r="Y32" i="5" l="1"/>
  <c r="Y7" i="5" l="1"/>
  <c r="U24" i="5"/>
  <c r="U46" i="5"/>
  <c r="Y6" i="5"/>
  <c r="Y9" i="6"/>
  <c r="Y13" i="6" l="1"/>
  <c r="Y58" i="5" l="1"/>
  <c r="Y25" i="5"/>
  <c r="S23" i="5"/>
  <c r="AE33" i="5" l="1"/>
  <c r="AD33" i="5"/>
  <c r="AN49" i="5"/>
  <c r="AE49" i="5"/>
  <c r="AD49" i="5"/>
  <c r="AN46" i="5"/>
  <c r="AN62" i="5"/>
  <c r="AE46" i="5"/>
  <c r="AD46" i="5"/>
  <c r="AE62" i="5"/>
  <c r="AD62" i="5"/>
  <c r="AN7" i="5"/>
  <c r="AE7" i="5"/>
  <c r="T5" i="6"/>
  <c r="T14" i="6" s="1"/>
  <c r="AL5" i="6"/>
  <c r="AM5" i="6" l="1"/>
  <c r="AM14" i="6" s="1"/>
  <c r="AN5" i="6"/>
  <c r="AL14" i="6"/>
  <c r="AD48" i="5"/>
  <c r="AE48" i="5"/>
  <c r="AE5" i="5"/>
  <c r="AD5" i="5"/>
  <c r="AA6" i="5" l="1"/>
  <c r="AA9" i="5"/>
  <c r="AA10" i="5"/>
  <c r="AA14" i="5"/>
  <c r="AA16" i="5"/>
  <c r="AA17" i="5"/>
  <c r="AA18" i="5"/>
  <c r="AA19" i="5"/>
  <c r="AA20" i="5"/>
  <c r="AA21" i="5"/>
  <c r="AA22" i="5"/>
  <c r="AA23" i="5"/>
  <c r="AA24" i="5"/>
  <c r="AA26" i="5"/>
  <c r="AA27" i="5"/>
  <c r="AA28" i="5"/>
  <c r="AA29" i="5"/>
  <c r="AA30" i="5"/>
  <c r="AA33" i="5"/>
  <c r="AA35" i="5"/>
  <c r="AA36" i="5"/>
  <c r="AA37" i="5"/>
  <c r="AA38" i="5"/>
  <c r="AA39" i="5"/>
  <c r="AA40" i="5"/>
  <c r="AA41" i="5"/>
  <c r="AA42" i="5"/>
  <c r="AA43" i="5"/>
  <c r="AA44" i="5"/>
  <c r="AA45" i="5"/>
  <c r="AA47" i="5"/>
  <c r="AA49" i="5"/>
  <c r="AA51" i="5"/>
  <c r="AA52" i="5"/>
  <c r="AA53" i="5"/>
  <c r="AA54" i="5"/>
  <c r="AA55" i="5"/>
  <c r="AA56" i="5"/>
  <c r="AA57" i="5"/>
  <c r="AA61" i="5"/>
  <c r="AA62" i="5"/>
  <c r="AA63" i="5"/>
  <c r="AA64" i="5"/>
  <c r="AA50" i="5"/>
  <c r="AA7" i="5"/>
  <c r="AA8" i="5"/>
  <c r="AA31" i="5"/>
  <c r="AA46" i="5"/>
  <c r="AA58" i="5"/>
  <c r="AA11" i="5"/>
  <c r="AA13" i="5"/>
  <c r="AA15" i="5"/>
  <c r="AA34" i="5"/>
  <c r="AA48" i="5"/>
  <c r="AA59" i="5"/>
  <c r="AA60" i="5"/>
  <c r="AA12" i="5"/>
  <c r="AA32" i="5"/>
  <c r="AA25" i="5"/>
  <c r="AA6" i="6"/>
  <c r="AA7" i="6"/>
  <c r="AA8" i="6"/>
  <c r="AA9" i="6"/>
  <c r="AA10" i="6"/>
  <c r="AA11" i="6"/>
  <c r="AA12" i="6"/>
  <c r="AA13" i="6"/>
  <c r="AE12" i="6"/>
  <c r="AE10" i="6"/>
  <c r="AE9" i="6"/>
  <c r="AE7" i="6"/>
  <c r="AE6" i="6"/>
  <c r="AE11" i="6"/>
  <c r="AE8" i="6"/>
  <c r="AE13" i="6"/>
  <c r="AB5" i="6"/>
  <c r="AA5" i="6"/>
  <c r="AA5" i="5"/>
  <c r="AE5" i="6" l="1"/>
  <c r="AD5" i="6"/>
  <c r="AB14" i="6"/>
</calcChain>
</file>

<file path=xl/sharedStrings.xml><?xml version="1.0" encoding="utf-8"?>
<sst xmlns="http://schemas.openxmlformats.org/spreadsheetml/2006/main" count="1624" uniqueCount="489">
  <si>
    <t>Auteur</t>
  </si>
  <si>
    <t>Codatu Madagascar</t>
  </si>
  <si>
    <t>Date de création</t>
  </si>
  <si>
    <t>Lieu de création</t>
  </si>
  <si>
    <t>Grand Antananarivo</t>
  </si>
  <si>
    <t>Type du fichier</t>
  </si>
  <si>
    <t>xlsx Excel</t>
  </si>
  <si>
    <t>Taille du fichier</t>
  </si>
  <si>
    <t>90 Ko</t>
  </si>
  <si>
    <t>Protocole de mise à jour</t>
  </si>
  <si>
    <t>Création de nouvelle feuille au format "nom_AAAAMMJJ" et insertion date de dernière mise à jour à la colonne correspondante sur  la feuille Métadonnée</t>
  </si>
  <si>
    <t>Base De Données Lignes existantes</t>
  </si>
  <si>
    <t>source</t>
  </si>
  <si>
    <t>format</t>
  </si>
  <si>
    <t>formule</t>
  </si>
  <si>
    <t>date d'acquisition</t>
  </si>
  <si>
    <t>date mise à jour</t>
  </si>
  <si>
    <t xml:space="preserve">LIGNE N° </t>
  </si>
  <si>
    <t>Numéro de la ligne ou nom de l'axe</t>
  </si>
  <si>
    <t>CUA données urbaines - ATT données suburbaines</t>
  </si>
  <si>
    <t>nombre à 3 chiffres ou lettre majuscule</t>
  </si>
  <si>
    <t>Nom de la coopérative</t>
  </si>
  <si>
    <t>Nom de la coopérative à laquelle appartient la ligne</t>
  </si>
  <si>
    <t>texte</t>
  </si>
  <si>
    <t>STRUCTURE</t>
  </si>
  <si>
    <t>Ligne à antennes</t>
  </si>
  <si>
    <t>Oui ou non : existence de plusieurs ramifications et/ou terminus</t>
  </si>
  <si>
    <t>CUA - ATT - BDD SIG IPAM</t>
  </si>
  <si>
    <t>Nombre d'antennes</t>
  </si>
  <si>
    <t>nombre entier</t>
  </si>
  <si>
    <t>Primus</t>
  </si>
  <si>
    <t>Primus du tronc commun</t>
  </si>
  <si>
    <t>Terminus</t>
  </si>
  <si>
    <t>Terminus de l'antenne principale</t>
  </si>
  <si>
    <t>Equipements primus Terminus</t>
  </si>
  <si>
    <t>Aménagement du lieu d'attente 
0 = Pas d'équipements
1 = Equipement sommaire 
2 = Equipé</t>
  </si>
  <si>
    <t>enquête CODATU chauffeur-receveur Mai 2024 auprès de 196 chauffeurs</t>
  </si>
  <si>
    <t>nombre 0 ou 1 ou 2</t>
  </si>
  <si>
    <t>07-14/05/2024</t>
  </si>
  <si>
    <t>Distance  Primus &gt; Terminus</t>
  </si>
  <si>
    <t>en Km, primus-terminus sur le tronc commun + antenne principale</t>
  </si>
  <si>
    <t>BDD SIG IPAM</t>
  </si>
  <si>
    <t>nombre décimal</t>
  </si>
  <si>
    <t>Distance Aller-Retour</t>
  </si>
  <si>
    <t>en Km, distance du trajet dans les deux sens Primus-Terminus et Terminus-Primus</t>
  </si>
  <si>
    <t>Nombre total arrêts</t>
  </si>
  <si>
    <t>sur les itinéraires de la ligne en aller et retour</t>
  </si>
  <si>
    <t>Nombre abribus</t>
  </si>
  <si>
    <t>% arrêts équipés</t>
  </si>
  <si>
    <t>proportion entre les abribus et les arrêts</t>
  </si>
  <si>
    <t>calcul interne</t>
  </si>
  <si>
    <t>fraction 1/10</t>
  </si>
  <si>
    <t>rapport entre nombre abribus et nombre total arrêts</t>
  </si>
  <si>
    <t>Passage par hypercentre</t>
  </si>
  <si>
    <t>Oui ou non</t>
  </si>
  <si>
    <t>Passage par une ou des zones d'activités</t>
  </si>
  <si>
    <t>Type de zone d'activité</t>
  </si>
  <si>
    <t>Zone d'activités : zone industrielle, marché, gare routière</t>
  </si>
  <si>
    <t>Intermodalité avec la ligne rocade Iarivo</t>
  </si>
  <si>
    <t>PARC DE MINIBUS</t>
  </si>
  <si>
    <t>Nombre</t>
  </si>
  <si>
    <t>Nombre de minibus sur la ligne</t>
  </si>
  <si>
    <t>enquête CODATU coopérative Juin 2024 auprès de 85 Présidents de coopératives
enquête CODATU pointeur Juin 2024 auprès de 38 pointeurs</t>
  </si>
  <si>
    <t>14-27/06/2024</t>
  </si>
  <si>
    <t>dont Mazda 18 places</t>
  </si>
  <si>
    <t>Nombre de minibus Mazda sur la ligne dont les effectifs de places sont 18</t>
  </si>
  <si>
    <t>enquête coopérative
enquête pointeur</t>
  </si>
  <si>
    <t>Consommation L/100 km</t>
  </si>
  <si>
    <t>Consommation en carburants du Mazda</t>
  </si>
  <si>
    <t>diviser le budget carburant journalier par le produit du prix du litre, du nombre de tours et de la distance aller-retour, le tout multiplié par 100</t>
  </si>
  <si>
    <t>dont Sprinter 27 à 32 places</t>
  </si>
  <si>
    <t>Nombre de minibus Sprinter sur la ligne dont les effectifs de places sont 27 à 32</t>
  </si>
  <si>
    <t>Consommation en carburants du Sprinter</t>
  </si>
  <si>
    <t>dont Crafter  27 à 32 places</t>
  </si>
  <si>
    <t>Consommation en carburants du Crafter</t>
  </si>
  <si>
    <t>dont autres 27 places</t>
  </si>
  <si>
    <t>Nombre des autres minibus tels que 307D-308D-309D, J5 sur la ligne dont les effectifs de places sont 20 à 27</t>
  </si>
  <si>
    <t>Consommation en carburants des autres minibus</t>
  </si>
  <si>
    <t>Age Moyen du parc</t>
  </si>
  <si>
    <r>
      <rPr>
        <sz val="12"/>
        <rFont val="Calibri"/>
        <family val="2"/>
        <scheme val="minor"/>
      </rPr>
      <t>par tranches d'âges</t>
    </r>
    <r>
      <rPr>
        <sz val="12"/>
        <color theme="1"/>
        <rFont val="Calibri"/>
        <family val="2"/>
        <scheme val="minor"/>
      </rPr>
      <t xml:space="preserve">   3 si </t>
    </r>
    <r>
      <rPr>
        <sz val="12"/>
        <color theme="1"/>
        <rFont val="Calibri"/>
        <family val="2"/>
      </rPr>
      <t>≤10 ans    2  si 10 à 20    1 si 21 à 30   0 si &gt; 30</t>
    </r>
    <r>
      <rPr>
        <sz val="12"/>
        <color theme="1"/>
        <rFont val="Calibri"/>
        <family val="2"/>
        <scheme val="minor"/>
      </rPr>
      <t xml:space="preserve">
Date de première mise en circulation</t>
    </r>
  </si>
  <si>
    <t>nombre 0 ou 1 ou 2 ou 3</t>
  </si>
  <si>
    <t>Rapport Distance A-R/ nb minibus</t>
  </si>
  <si>
    <t>Faible écart entre minibus : peut traduire la saturation de l'exploitation en HP</t>
  </si>
  <si>
    <t>Rapport entre le nombre de distance aller-retour et nombre de minibus</t>
  </si>
  <si>
    <t xml:space="preserve">Nb de propriétaires </t>
  </si>
  <si>
    <t>Nombre total de propriétaires de minibus sur la ligne</t>
  </si>
  <si>
    <t>dont Nb propriétaires-conducteurs</t>
  </si>
  <si>
    <t>Nombre total des propriétaires qui conduisent aussi leurs minibus</t>
  </si>
  <si>
    <t>% propriétaires opérateurs</t>
  </si>
  <si>
    <t xml:space="preserve">Proportion des propriétaires-conducteurs </t>
  </si>
  <si>
    <t>Rapport entre le nombre de propriétaires-conducteurs et propriétaires</t>
  </si>
  <si>
    <t xml:space="preserve">Nb moyen minibus par propriétaire </t>
  </si>
  <si>
    <t>Nombre des minibus par propriétaire sur la ligne</t>
  </si>
  <si>
    <t>Rapport entre le nombre de minibus et propriétaire</t>
  </si>
  <si>
    <t>EXPLOITATION</t>
  </si>
  <si>
    <t>Nombre de rotations/bus/Jour</t>
  </si>
  <si>
    <t>Nombre de tours ou nombre d'aller-retour</t>
  </si>
  <si>
    <t>Régulation en primus &amp; terminus</t>
  </si>
  <si>
    <t>oui = 1  non = 0
Existence de cadenceurs ou pointeurs</t>
  </si>
  <si>
    <t>nombre 0 ou 1</t>
  </si>
  <si>
    <t>Régulation en ligne</t>
  </si>
  <si>
    <t>Nb de bus en ligne  en HC</t>
  </si>
  <si>
    <t>oui = 1  non = 0
Utilisation tout le temps des minibus même en heures creuses</t>
  </si>
  <si>
    <t xml:space="preserve">Amplitude d'exploitation </t>
  </si>
  <si>
    <t>Nombre d'heures
A quelle heure on commence, à quelle heure on finit?</t>
  </si>
  <si>
    <t>heure</t>
  </si>
  <si>
    <t>Nombre d'heures de travail d'un conducteur</t>
  </si>
  <si>
    <t>Différence entre heure fin et heure début</t>
  </si>
  <si>
    <t>TRAFIC</t>
  </si>
  <si>
    <t xml:space="preserve">Ligne : nombre de passagers/jour </t>
  </si>
  <si>
    <t>Nombre de passagers par jour pour la ligne</t>
  </si>
  <si>
    <t>calcul externe de coopérative ou pointeur suivant les enquêtes CODATU coopérative Juin 2024 auprès de 85 coopératives et 38 pointeurs</t>
  </si>
  <si>
    <t>Valeur approximative du produit du nombre de tour effectué par le nombre de taxi-be et le nombre de places le tout fois deux</t>
  </si>
  <si>
    <t xml:space="preserve">Nombre passagers moyen/bus/ j </t>
  </si>
  <si>
    <t>Nombre de passagers par minibus par jour</t>
  </si>
  <si>
    <t>Rapport entre le nombre de passagers et le nombre de minibus</t>
  </si>
  <si>
    <t>ÉQUIPEMENTS</t>
  </si>
  <si>
    <t>Billetterie (ou billettique)</t>
  </si>
  <si>
    <t>Usage système billetique ou ticket de taxi-be</t>
  </si>
  <si>
    <t>oui ou non</t>
  </si>
  <si>
    <t>GPS -&gt; suivi des véhicules</t>
  </si>
  <si>
    <t xml:space="preserve">Usage système GPS </t>
  </si>
  <si>
    <t xml:space="preserve">Mise en place de porte latérale </t>
  </si>
  <si>
    <t>Usage porte latérale</t>
  </si>
  <si>
    <t>Autres</t>
  </si>
  <si>
    <t>Usage équipements modernes</t>
  </si>
  <si>
    <t>EQUIPEMENTS</t>
  </si>
  <si>
    <t>Ajout 040424</t>
  </si>
  <si>
    <t>Enquête</t>
  </si>
  <si>
    <t>Date d'ajout</t>
  </si>
  <si>
    <t>Enquête chauffeur/receveur</t>
  </si>
  <si>
    <t xml:space="preserve">LIGNE    </t>
  </si>
  <si>
    <t>Equipts primus Terminus</t>
  </si>
  <si>
    <t>Distance  Primus--&gt; Terminus</t>
  </si>
  <si>
    <t>Nombre total arrêts
(A_R)</t>
  </si>
  <si>
    <t>Nombre de bus sur la ligne</t>
  </si>
  <si>
    <t>dont Mazda  18 places</t>
  </si>
  <si>
    <t>Nombre de passagers/jour * 75%</t>
  </si>
  <si>
    <t>UNITE</t>
  </si>
  <si>
    <t>Colonne1</t>
  </si>
  <si>
    <t>oui / non</t>
  </si>
  <si>
    <t>Colonne2</t>
  </si>
  <si>
    <t>Colonne3</t>
  </si>
  <si>
    <t>Colonne4</t>
  </si>
  <si>
    <t>0 ou 1 ou 2</t>
  </si>
  <si>
    <t>km</t>
  </si>
  <si>
    <t>Km_</t>
  </si>
  <si>
    <t>arrêt</t>
  </si>
  <si>
    <t>abribus</t>
  </si>
  <si>
    <t>abribus/arrêt</t>
  </si>
  <si>
    <t>oui / non6</t>
  </si>
  <si>
    <t>oui / non7</t>
  </si>
  <si>
    <t>Colonne8</t>
  </si>
  <si>
    <t>oui / non9</t>
  </si>
  <si>
    <t>bus</t>
  </si>
  <si>
    <t>Mazda</t>
  </si>
  <si>
    <t>L/100km</t>
  </si>
  <si>
    <t>Sprinter</t>
  </si>
  <si>
    <t>L/100km10</t>
  </si>
  <si>
    <t>Crafter</t>
  </si>
  <si>
    <t>L/100km11</t>
  </si>
  <si>
    <t>Colonne12</t>
  </si>
  <si>
    <t>L/100km13</t>
  </si>
  <si>
    <t>3 ou 2 ou 1 ou 0</t>
  </si>
  <si>
    <t>km/bus</t>
  </si>
  <si>
    <t>Homme</t>
  </si>
  <si>
    <t>Homme_</t>
  </si>
  <si>
    <t>Colonne15</t>
  </si>
  <si>
    <t>bus/propriétaire</t>
  </si>
  <si>
    <t>tours</t>
  </si>
  <si>
    <t>oui(1) / non(0)</t>
  </si>
  <si>
    <t>oui(1) / non(0)_</t>
  </si>
  <si>
    <t>oui(1) / non(0)-</t>
  </si>
  <si>
    <t>Heure</t>
  </si>
  <si>
    <t>Heure18</t>
  </si>
  <si>
    <t>Homme19</t>
  </si>
  <si>
    <t>Homme20</t>
  </si>
  <si>
    <t>Homme/bus</t>
  </si>
  <si>
    <t>oui / non21</t>
  </si>
  <si>
    <t>oui / non22</t>
  </si>
  <si>
    <t>oui / non23</t>
  </si>
  <si>
    <t>Colonne24</t>
  </si>
  <si>
    <t>Colonne25</t>
  </si>
  <si>
    <t>Coopérative</t>
  </si>
  <si>
    <t>Colonne26</t>
  </si>
  <si>
    <t>Chauffeur/ Receveur</t>
  </si>
  <si>
    <t>Dépense  carburants/j/bus</t>
  </si>
  <si>
    <t>Travail HC</t>
  </si>
  <si>
    <t>Chauffeur-femme</t>
  </si>
  <si>
    <t>Receveur-femme</t>
  </si>
  <si>
    <t>SITRAKA</t>
  </si>
  <si>
    <t>oui</t>
  </si>
  <si>
    <t>Antananandrano</t>
  </si>
  <si>
    <t>marché</t>
  </si>
  <si>
    <t>04h-19h</t>
  </si>
  <si>
    <t>non</t>
  </si>
  <si>
    <t>80000Ar (Sprinter)</t>
  </si>
  <si>
    <t>pour</t>
  </si>
  <si>
    <t>MALAKIA</t>
  </si>
  <si>
    <t>Antanetibe</t>
  </si>
  <si>
    <t>pointeur</t>
  </si>
  <si>
    <t>80000Ar (309 D)</t>
  </si>
  <si>
    <t xml:space="preserve"> contre</t>
  </si>
  <si>
    <t>009</t>
  </si>
  <si>
    <t>FIMAFIRE</t>
  </si>
  <si>
    <t>Anosizato</t>
  </si>
  <si>
    <t>Tsaralalana</t>
  </si>
  <si>
    <t>03h30-19h30</t>
  </si>
  <si>
    <t>80000Ar (307)</t>
  </si>
  <si>
    <t>015</t>
  </si>
  <si>
    <t>VOLAVITA</t>
  </si>
  <si>
    <t>Mandroseza</t>
  </si>
  <si>
    <t>67 ha</t>
  </si>
  <si>
    <t>marché
zone Industrielle</t>
  </si>
  <si>
    <t>x</t>
  </si>
  <si>
    <t>04h30-19h30</t>
  </si>
  <si>
    <t>140000Ar (Sprinter)</t>
  </si>
  <si>
    <t>017</t>
  </si>
  <si>
    <t>COTRAL</t>
  </si>
  <si>
    <t>Ambohipo</t>
  </si>
  <si>
    <t>Mahamasina</t>
  </si>
  <si>
    <t>05h-20h</t>
  </si>
  <si>
    <t>200000Ar (Sprinter)</t>
  </si>
  <si>
    <t>104</t>
  </si>
  <si>
    <t>TSIORY TRANSP'OR</t>
  </si>
  <si>
    <t>Ambohimiandra</t>
  </si>
  <si>
    <t>Ankadimbahoaka</t>
  </si>
  <si>
    <t>04h-20h</t>
  </si>
  <si>
    <t>50000Ar (Mazda)</t>
  </si>
  <si>
    <t>contre</t>
  </si>
  <si>
    <t>105</t>
  </si>
  <si>
    <t>KOFIMAVA</t>
  </si>
  <si>
    <t>Anosisoa</t>
  </si>
  <si>
    <t>marché
zone industrielle</t>
  </si>
  <si>
    <t>190000Ar (Sprinter)</t>
  </si>
  <si>
    <t>110</t>
  </si>
  <si>
    <t>KOFIMAMI</t>
  </si>
  <si>
    <t>Anosizato Ouest</t>
  </si>
  <si>
    <t>Isotry</t>
  </si>
  <si>
    <t>70000Ar (Sprinter)</t>
  </si>
  <si>
    <t>112</t>
  </si>
  <si>
    <t>Ambohibao</t>
  </si>
  <si>
    <t>120000Ar (Sprinter)</t>
  </si>
  <si>
    <t>113</t>
  </si>
  <si>
    <t>KOTAFI</t>
  </si>
  <si>
    <t>Mahazoarivo</t>
  </si>
  <si>
    <t>Sonatra (Analakely)</t>
  </si>
  <si>
    <t>114</t>
  </si>
  <si>
    <t>SOAMIRA</t>
  </si>
  <si>
    <t>Ambatolampy</t>
  </si>
  <si>
    <t>zone industrielle</t>
  </si>
  <si>
    <t>TV</t>
  </si>
  <si>
    <t>90000Ar (Sprinter)</t>
  </si>
  <si>
    <t>115</t>
  </si>
  <si>
    <t>MDI</t>
  </si>
  <si>
    <t>Tsimbazaza</t>
  </si>
  <si>
    <t>SICAM</t>
  </si>
  <si>
    <t>05h30-19h30</t>
  </si>
  <si>
    <t>70000Ar (Mazda)</t>
  </si>
  <si>
    <t>117</t>
  </si>
  <si>
    <t>EZAKA</t>
  </si>
  <si>
    <t>Ambohitsoa</t>
  </si>
  <si>
    <t>Ambohijatovo</t>
  </si>
  <si>
    <t>119</t>
  </si>
  <si>
    <t>AINGAVAO</t>
  </si>
  <si>
    <t>Ankatso</t>
  </si>
  <si>
    <t>67 ha Ny Havana</t>
  </si>
  <si>
    <t>80000Ar (Mazda)</t>
  </si>
  <si>
    <t>120</t>
  </si>
  <si>
    <t>Cisco Analakely</t>
  </si>
  <si>
    <t>Amboditanimena</t>
  </si>
  <si>
    <t>05h30-20h30</t>
  </si>
  <si>
    <t>70000Ar (Mercedes)</t>
  </si>
  <si>
    <t>122</t>
  </si>
  <si>
    <t>COMATRA</t>
  </si>
  <si>
    <t>Antanimena</t>
  </si>
  <si>
    <t>100000Ar (Sprinter)</t>
  </si>
  <si>
    <t>127</t>
  </si>
  <si>
    <t>MINEX</t>
  </si>
  <si>
    <t>Andravoahangy Ambony</t>
  </si>
  <si>
    <t>Rasalama</t>
  </si>
  <si>
    <t>05h30-18h30</t>
  </si>
  <si>
    <t>128</t>
  </si>
  <si>
    <t>MIRAY</t>
  </si>
  <si>
    <t>06h-20h</t>
  </si>
  <si>
    <t>120000Ar (Mazda)</t>
  </si>
  <si>
    <t>129</t>
  </si>
  <si>
    <t>Analakely</t>
  </si>
  <si>
    <t>100000Ar (Mazda)</t>
  </si>
  <si>
    <t>133</t>
  </si>
  <si>
    <t>AMBININTSOA</t>
  </si>
  <si>
    <t>Ambohimamory</t>
  </si>
  <si>
    <t>Ambodifilao</t>
  </si>
  <si>
    <t>134</t>
  </si>
  <si>
    <t>ROVA</t>
  </si>
  <si>
    <t>Manjakamiadana</t>
  </si>
  <si>
    <t>70000Ar (Peugeot)</t>
  </si>
  <si>
    <t>135</t>
  </si>
  <si>
    <t>FIFIAMA</t>
  </si>
  <si>
    <t>Ambohimahitsy</t>
  </si>
  <si>
    <t>Andrefan'Ambohijanahary</t>
  </si>
  <si>
    <t>marché
gare routière</t>
  </si>
  <si>
    <t>140000Ar (307)</t>
  </si>
  <si>
    <t>137</t>
  </si>
  <si>
    <t>SOAMIAFARA</t>
  </si>
  <si>
    <t>Iavoloha</t>
  </si>
  <si>
    <t>industrielle</t>
  </si>
  <si>
    <t>Plaque publicitaire</t>
  </si>
  <si>
    <t>138</t>
  </si>
  <si>
    <t>KAOMPIMI</t>
  </si>
  <si>
    <t>Anosipatrana</t>
  </si>
  <si>
    <t>03h-20h</t>
  </si>
  <si>
    <t>139</t>
  </si>
  <si>
    <t>NOAH</t>
  </si>
  <si>
    <t>140</t>
  </si>
  <si>
    <t>KAOMAMPITA</t>
  </si>
  <si>
    <t>Ampitatafika</t>
  </si>
  <si>
    <t>141</t>
  </si>
  <si>
    <t>Andraisoro</t>
  </si>
  <si>
    <t xml:space="preserve">90000Ar </t>
  </si>
  <si>
    <t>142</t>
  </si>
  <si>
    <t>KOFIASOA</t>
  </si>
  <si>
    <t>Soanierana</t>
  </si>
  <si>
    <t>Ambatomena</t>
  </si>
  <si>
    <t>80000Ar (J5)</t>
  </si>
  <si>
    <t>143</t>
  </si>
  <si>
    <t>KOFITAMA</t>
  </si>
  <si>
    <t>Itaosy Cité</t>
  </si>
  <si>
    <t>KOFITAM ZU</t>
  </si>
  <si>
    <t>144</t>
  </si>
  <si>
    <t>MITSINJO</t>
  </si>
  <si>
    <t>Besarety</t>
  </si>
  <si>
    <t>146</t>
  </si>
  <si>
    <t>FITSEMA/TSELATRA</t>
  </si>
  <si>
    <t>Mausolé</t>
  </si>
  <si>
    <t>Anosy</t>
  </si>
  <si>
    <t>07/05/2024
14/06/2024</t>
  </si>
  <si>
    <t>147</t>
  </si>
  <si>
    <t>TSELATRA</t>
  </si>
  <si>
    <t>Société Akanjo</t>
  </si>
  <si>
    <t>04h30-20h30</t>
  </si>
  <si>
    <t>150</t>
  </si>
  <si>
    <t>CTA/CTS</t>
  </si>
  <si>
    <t>Androhibe</t>
  </si>
  <si>
    <t>Anosibe</t>
  </si>
  <si>
    <t>02h-20h</t>
  </si>
  <si>
    <t>120000Ar (Mercedes)</t>
  </si>
  <si>
    <t>151</t>
  </si>
  <si>
    <t>100000Ar</t>
  </si>
  <si>
    <t>153</t>
  </si>
  <si>
    <t>CTE</t>
  </si>
  <si>
    <t>Ampandrana</t>
  </si>
  <si>
    <t>06h-19h</t>
  </si>
  <si>
    <t>154</t>
  </si>
  <si>
    <t>MIORINA</t>
  </si>
  <si>
    <t>Amboditsiry</t>
  </si>
  <si>
    <t>Tanjombato</t>
  </si>
  <si>
    <t>03h-21h</t>
  </si>
  <si>
    <t>157</t>
  </si>
  <si>
    <t>Manjakaray</t>
  </si>
  <si>
    <t>159</t>
  </si>
  <si>
    <t>MIRBUS</t>
  </si>
  <si>
    <t>Andranomena</t>
  </si>
  <si>
    <t>160</t>
  </si>
  <si>
    <t>SOLA</t>
  </si>
  <si>
    <t>161</t>
  </si>
  <si>
    <t>MIRATRANS</t>
  </si>
  <si>
    <t>Ambatobe</t>
  </si>
  <si>
    <t>162</t>
  </si>
  <si>
    <t>AVOTRA</t>
  </si>
  <si>
    <t>Atsonjombe</t>
  </si>
  <si>
    <t>Caméra</t>
  </si>
  <si>
    <t>163</t>
  </si>
  <si>
    <t>MIRINDRA</t>
  </si>
  <si>
    <t>Ankadikely Ilafy</t>
  </si>
  <si>
    <t>Alasora</t>
  </si>
  <si>
    <t>zone Industrielle</t>
  </si>
  <si>
    <t>05h-19h</t>
  </si>
  <si>
    <t>Logiciel de Gestion de Coopérative</t>
  </si>
  <si>
    <t>164</t>
  </si>
  <si>
    <t>FIMPA</t>
  </si>
  <si>
    <t>165</t>
  </si>
  <si>
    <t>MIHARY</t>
  </si>
  <si>
    <t>Mahatony</t>
  </si>
  <si>
    <t>150000Ar (Sprinter)</t>
  </si>
  <si>
    <t>166</t>
  </si>
  <si>
    <t>TAMBATRA</t>
  </si>
  <si>
    <t>90000Ar (Mazda)</t>
  </si>
  <si>
    <t>172</t>
  </si>
  <si>
    <t>KOFIA</t>
  </si>
  <si>
    <t>Andoharanofotsy</t>
  </si>
  <si>
    <t>178</t>
  </si>
  <si>
    <t>180</t>
  </si>
  <si>
    <t>KOFIANTA</t>
  </si>
  <si>
    <t>Pulman</t>
  </si>
  <si>
    <t>Ambolokandrina</t>
  </si>
  <si>
    <t>182</t>
  </si>
  <si>
    <t>FIMPA/FIMPAMA</t>
  </si>
  <si>
    <t>Antsobolo</t>
  </si>
  <si>
    <t>Ampefiloha</t>
  </si>
  <si>
    <t>183</t>
  </si>
  <si>
    <t>CAT</t>
  </si>
  <si>
    <t>Masinandriana</t>
  </si>
  <si>
    <t>184</t>
  </si>
  <si>
    <t>KOFIM</t>
  </si>
  <si>
    <t>Tsiadana</t>
  </si>
  <si>
    <t>60000Ar (Sprinter)</t>
  </si>
  <si>
    <t>186</t>
  </si>
  <si>
    <t>MITSIMBINA</t>
  </si>
  <si>
    <t>Antsonjombe</t>
  </si>
  <si>
    <t>187</t>
  </si>
  <si>
    <t>190</t>
  </si>
  <si>
    <t>LA HAUTE</t>
  </si>
  <si>
    <t>Andohamandry</t>
  </si>
  <si>
    <t>100000Ar (J5)</t>
  </si>
  <si>
    <t>191</t>
  </si>
  <si>
    <t>Soamanandrariny</t>
  </si>
  <si>
    <t>120000Ar</t>
  </si>
  <si>
    <t>192</t>
  </si>
  <si>
    <t>ONJA</t>
  </si>
  <si>
    <t>Ambohimanambola</t>
  </si>
  <si>
    <t>Ilafy</t>
  </si>
  <si>
    <t>193</t>
  </si>
  <si>
    <t>MAILAKA</t>
  </si>
  <si>
    <t>Analamahitsy</t>
  </si>
  <si>
    <t>05h-21h</t>
  </si>
  <si>
    <t>194</t>
  </si>
  <si>
    <t>Ambanidia</t>
  </si>
  <si>
    <t>marché
zone Industrielle
gare routière</t>
  </si>
  <si>
    <r>
      <t xml:space="preserve">Logiciel de Gestion de Coopérative
</t>
    </r>
    <r>
      <rPr>
        <sz val="11"/>
        <color theme="3" tint="0.79998168889431442"/>
        <rFont val="Calibri"/>
        <family val="2"/>
        <scheme val="minor"/>
      </rPr>
      <t>TV</t>
    </r>
  </si>
  <si>
    <t>130000Ar (Sprinter)</t>
  </si>
  <si>
    <t>196</t>
  </si>
  <si>
    <t>ALPHA</t>
  </si>
  <si>
    <t>199</t>
  </si>
  <si>
    <t>SOTRA AVOTRA</t>
  </si>
  <si>
    <t>Alarobia</t>
  </si>
  <si>
    <t>Soavina</t>
  </si>
  <si>
    <t>Ajout 070524</t>
  </si>
  <si>
    <t>km_</t>
  </si>
  <si>
    <t>Homme14</t>
  </si>
  <si>
    <t>oui(1) / non(0)_2</t>
  </si>
  <si>
    <t>Chauffeur /Receveur</t>
  </si>
  <si>
    <t>A</t>
  </si>
  <si>
    <t>KOFITAMA
FIFAFIMA</t>
  </si>
  <si>
    <t>Itaosy</t>
  </si>
  <si>
    <t>03h-19h</t>
  </si>
  <si>
    <t>110000Ar (Sprinter)</t>
  </si>
  <si>
    <t>B</t>
  </si>
  <si>
    <t>KOFIBAMI,
FIBAM,
FIBAMI,
KOFIZA</t>
  </si>
  <si>
    <t>Ambohitrimanjaka</t>
  </si>
  <si>
    <t>gare routière</t>
  </si>
  <si>
    <t>KOFIZA
FIBAMI</t>
  </si>
  <si>
    <t>D</t>
  </si>
  <si>
    <t>FANATENANA,
FIFIABE,
KOFIAMA,
KOFMAD,
TRANS LAN</t>
  </si>
  <si>
    <t>Vassacos</t>
  </si>
  <si>
    <t>Mahitsy</t>
  </si>
  <si>
    <t>marché
aéroport</t>
  </si>
  <si>
    <t>20/06/2024
24/06/2024</t>
  </si>
  <si>
    <t>E</t>
  </si>
  <si>
    <t>KOFIATRA, KOFIHA, KOLOINA, TRANS EXPRESSES, TRANS TSARARINDRA, KOPFMM, KOFIATRA SARLU</t>
  </si>
  <si>
    <t>Mahazo</t>
  </si>
  <si>
    <t>Antsahamarina</t>
  </si>
  <si>
    <t>KOPFMM
KOFIATRA</t>
  </si>
  <si>
    <t>20/06/2024
18/06/2024</t>
  </si>
  <si>
    <t>F</t>
  </si>
  <si>
    <t>KOFIAVO, KOMAFILA, KOFIA, TSIFERANA, KOFITA, KOMPIMA</t>
  </si>
  <si>
    <t>CNAPS</t>
  </si>
  <si>
    <t>Tsinjony</t>
  </si>
  <si>
    <t>19/06/2024
18/06/2024
20/06/2024</t>
  </si>
  <si>
    <t>80000Ar (207)</t>
  </si>
  <si>
    <t>G</t>
  </si>
  <si>
    <t>KOFIAMO, KOFIAMO TRANS,
KOMAFILA COTRANSMAR,FIFIAM, KOFIMI, TCSF, VOROMBOLA</t>
  </si>
  <si>
    <t>Imerintsiatosika</t>
  </si>
  <si>
    <t>21/06/2024
24/06/2024
19/06/2024</t>
  </si>
  <si>
    <t>H</t>
  </si>
  <si>
    <t>KOFIFIMA, KOFAFIAVA, KOFILA</t>
  </si>
  <si>
    <t>Ambodivona</t>
  </si>
  <si>
    <t>Ambolo</t>
  </si>
  <si>
    <r>
      <t xml:space="preserve">Ecran publicitaire
</t>
    </r>
    <r>
      <rPr>
        <sz val="11"/>
        <color theme="3" tint="0.79998168889431442"/>
        <rFont val="Calibri"/>
        <family val="2"/>
        <scheme val="minor"/>
      </rPr>
      <t>GPS</t>
    </r>
  </si>
  <si>
    <t>KOFAFIAVA</t>
  </si>
  <si>
    <t>19/06/2024
20/06/2024</t>
  </si>
  <si>
    <t>I</t>
  </si>
  <si>
    <t>KOFIMASI, KOMI, JTRANS, FIFITSA, SCOMATRA, STAT</t>
  </si>
  <si>
    <t>Anjeva</t>
  </si>
  <si>
    <t>25/06/2024
21/06/2024
19/06/2024</t>
  </si>
  <si>
    <t>J</t>
  </si>
  <si>
    <t>SOFIMAMI
KOFIAMO
KOFIAMO TRANS</t>
  </si>
  <si>
    <t>ALATSINAINY AMBAZAHA</t>
  </si>
  <si>
    <t>90000Ar (308 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</si>
</sst>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/10"/>
  </numFmts>
  <fonts count="1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 vertical="center" wrapText="1"/>
    </xf>
    <xf numFmtId="14" fontId="0" fillId="7" borderId="0" xfId="0" applyNumberFormat="1" applyFill="1"/>
    <xf numFmtId="14" fontId="0" fillId="8" borderId="0" xfId="0" applyNumberFormat="1" applyFill="1"/>
    <xf numFmtId="14" fontId="0" fillId="8" borderId="0" xfId="0" applyNumberFormat="1" applyFill="1" applyAlignment="1">
      <alignment horizontal="center" vertical="center"/>
    </xf>
    <xf numFmtId="14" fontId="0" fillId="8" borderId="0" xfId="0" applyNumberFormat="1" applyFill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8" borderId="0" xfId="0" applyNumberFormat="1" applyFill="1" applyAlignment="1">
      <alignment wrapText="1"/>
    </xf>
    <xf numFmtId="0" fontId="8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1" xfId="0" applyBorder="1"/>
    <xf numFmtId="0" fontId="7" fillId="0" borderId="4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0" borderId="0" xfId="0" applyFont="1"/>
    <xf numFmtId="0" fontId="7" fillId="6" borderId="5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1" fontId="6" fillId="0" borderId="0" xfId="0" applyNumberFormat="1" applyFont="1"/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5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0" fontId="6" fillId="0" borderId="1" xfId="0" applyFont="1" applyBorder="1" applyAlignment="1">
      <alignment horizontal="center" vertical="center" textRotation="255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255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2F000000}"/>
  </cellStyles>
  <dxfs count="10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dd/mm/yyyy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\ ?/1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\ ?/1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</dxf>
    <dxf>
      <numFmt numFmtId="165" formatCode="dd/mm/yyyy"/>
      <fill>
        <patternFill patternType="solid">
          <fgColor indexed="64"/>
          <bgColor theme="3" tint="0.79998168889431442"/>
        </patternFill>
      </fill>
    </dxf>
    <dxf>
      <numFmt numFmtId="165" formatCode="dd/mm/yyyy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\ ?/1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\ ?/1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304801</xdr:colOff>
      <xdr:row>0</xdr:row>
      <xdr:rowOff>0</xdr:rowOff>
    </xdr:from>
    <xdr:to>
      <xdr:col>4</xdr:col>
      <xdr:colOff>2307909</xdr:colOff>
      <xdr:row>3</xdr:row>
      <xdr:rowOff>76200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32E391E-9607-4716-8640-19FD207D8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5326" y="0"/>
          <a:ext cx="2003108" cy="6572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CFC7C6-3F94-4F81-8475-E26CFA322AAE}" name="Tableau6" displayName="Tableau6" ref="A4:AZ64" totalsRowShown="0" headerRowDxfId="102" tableBorderDxfId="101">
  <autoFilter ref="A4:AZ64" xr:uid="{3B538E85-0093-46C9-8457-2868914103DA}"/>
  <sortState xmlns:xlrd2="http://schemas.microsoft.com/office/spreadsheetml/2017/richdata2" ref="A5:AZ64">
    <sortCondition ref="A4:A64"/>
  </sortState>
  <tableColumns count="52">
    <tableColumn id="1" xr3:uid="{E277750B-7FDD-4394-A0C4-B5705E3799A7}" name="UNITE" dataDxfId="100"/>
    <tableColumn id="2" xr3:uid="{141D074A-3E08-48E1-B5EB-A0CF044932A3}" name="Colonne1" dataDxfId="99"/>
    <tableColumn id="3" xr3:uid="{A80F370D-6AB8-4033-85F6-6C3B511FE795}" name="oui / non" dataDxfId="98"/>
    <tableColumn id="4" xr3:uid="{47331DCD-AE47-467C-9F37-A0F94AEB28CD}" name="Colonne2" dataDxfId="97"/>
    <tableColumn id="5" xr3:uid="{EAD7625B-9DCE-4D7F-BD25-EDA9FFC1EB69}" name="Colonne3" dataDxfId="96"/>
    <tableColumn id="6" xr3:uid="{832E6E58-07ED-4E73-9A05-D2CE214E0FAC}" name="Colonne4" dataDxfId="95"/>
    <tableColumn id="7" xr3:uid="{8B061F05-DF42-4A2B-8776-693F4EE61D60}" name="0 ou 1 ou 2" dataDxfId="94"/>
    <tableColumn id="8" xr3:uid="{E2954CBC-5D23-4CC3-825B-D88A35E742E1}" name="km" dataDxfId="93"/>
    <tableColumn id="9" xr3:uid="{8C0E64F2-48FA-43DA-8946-4DD8252DF9A8}" name="Km_" dataDxfId="92"/>
    <tableColumn id="10" xr3:uid="{6E35F34D-6CFA-4EA5-A639-0468EAF03A77}" name="arrêt" dataDxfId="91"/>
    <tableColumn id="11" xr3:uid="{5F8EDEE0-ACB0-485A-9D3D-0C59A6538CCF}" name="abribus" dataDxfId="90"/>
    <tableColumn id="12" xr3:uid="{BBB832A9-CFA2-4006-A926-77FB4D2AD641}" name="abribus/arrêt" dataDxfId="89">
      <calculatedColumnFormula>K5/J5</calculatedColumnFormula>
    </tableColumn>
    <tableColumn id="13" xr3:uid="{22FB742D-E81D-4F7E-9A23-F6429CC8C4B7}" name="oui / non6" dataDxfId="88"/>
    <tableColumn id="14" xr3:uid="{79634F28-26CE-4EE6-9F2B-D1CED6E312E4}" name="oui / non7" dataDxfId="87"/>
    <tableColumn id="15" xr3:uid="{47F0D1C5-064C-4368-A83A-532DC943A2BC}" name="Colonne8" dataDxfId="86"/>
    <tableColumn id="16" xr3:uid="{0797F0DE-9628-49B4-B043-F91BA3C00838}" name="oui / non9" dataDxfId="85"/>
    <tableColumn id="17" xr3:uid="{51A07725-364C-44F8-B792-09D99B7621D6}" name="bus" dataDxfId="84"/>
    <tableColumn id="18" xr3:uid="{DC1DC557-DCDA-4B62-B065-0875B18AFA0D}" name="Mazda" dataDxfId="83"/>
    <tableColumn id="19" xr3:uid="{BA0F6C59-8E56-4441-9480-E46C4C476DA7}" name="L/100km" dataDxfId="82"/>
    <tableColumn id="20" xr3:uid="{81DCF7C8-3AFE-405D-8C35-68CA013F3D49}" name="Sprinter" dataDxfId="81"/>
    <tableColumn id="21" xr3:uid="{BDED8970-B723-4EDB-8B27-2FCDD5EF77CA}" name="L/100km10" dataDxfId="80"/>
    <tableColumn id="22" xr3:uid="{72231215-7FFF-4602-B77A-A070D0FB433B}" name="Crafter" dataDxfId="79"/>
    <tableColumn id="23" xr3:uid="{3311EE7A-F529-471B-A1D0-F9E2C9E5D8B9}" name="L/100km11" dataDxfId="78"/>
    <tableColumn id="24" xr3:uid="{5CAE4BD2-47B7-4A7B-9131-C271DAA197AE}" name="Colonne12" dataDxfId="77"/>
    <tableColumn id="25" xr3:uid="{084AED93-413A-4F37-B4E1-36EF6A6FA9DB}" name="L/100km13" dataDxfId="76"/>
    <tableColumn id="26" xr3:uid="{081BBE05-77AB-413F-87D7-F730E55D159A}" name="3 ou 2 ou 1 ou 0" dataDxfId="75"/>
    <tableColumn id="27" xr3:uid="{21DB524F-D0FE-40F7-AB32-4AA7829AFCEB}" name="km/bus" dataDxfId="74">
      <calculatedColumnFormula>I5/Q5</calculatedColumnFormula>
    </tableColumn>
    <tableColumn id="28" xr3:uid="{BB63BF6E-82E1-4DB6-B92F-9736C128CEB5}" name="Homme" dataDxfId="73"/>
    <tableColumn id="29" xr3:uid="{E6F9AC4E-9075-4215-8A51-D4792F03922C}" name="Homme_" dataDxfId="72"/>
    <tableColumn id="30" xr3:uid="{8F02AA0D-9982-4EDC-8BCE-BBE4AAC8098D}" name="Colonne15" dataDxfId="71">
      <calculatedColumnFormula>AC5/AB5</calculatedColumnFormula>
    </tableColumn>
    <tableColumn id="31" xr3:uid="{07DD8D47-8FB4-4072-8C83-45D20736323E}" name="bus/propriétaire" dataDxfId="70">
      <calculatedColumnFormula>Q5/AB5</calculatedColumnFormula>
    </tableColumn>
    <tableColumn id="32" xr3:uid="{9F87DF74-9D86-4388-9561-4AB5B0CA4768}" name="tours" dataDxfId="69"/>
    <tableColumn id="33" xr3:uid="{F55973CA-976F-446E-8D2F-B46316E03D08}" name="oui(1) / non(0)" dataDxfId="68"/>
    <tableColumn id="34" xr3:uid="{62A8F89D-67D1-40FA-B346-0FCAD616422D}" name="oui(1) / non(0)_" dataDxfId="67"/>
    <tableColumn id="35" xr3:uid="{910EF0CE-491F-4597-9078-E82182CA0CC3}" name="oui(1) / non(0)-" dataDxfId="66"/>
    <tableColumn id="36" xr3:uid="{9E68DB11-0005-4A8E-B85D-15179FCB3829}" name="Heure" dataDxfId="65"/>
    <tableColumn id="37" xr3:uid="{C188D576-40CF-4B75-A9A6-6481CE67E297}" name="Heure18" dataDxfId="64"/>
    <tableColumn id="38" xr3:uid="{550D3818-AD24-4A6F-879F-1BABABC61215}" name="Homme19" dataDxfId="63"/>
    <tableColumn id="39" xr3:uid="{4BF4129A-C3BD-4B14-9B5E-072406ECD16D}" name="Homme20" dataDxfId="62">
      <calculatedColumnFormula>0.75*AL5</calculatedColumnFormula>
    </tableColumn>
    <tableColumn id="40" xr3:uid="{0150F295-52B0-4F22-B578-BF7F9B5A0D2C}" name="Homme/bus" dataDxfId="61">
      <calculatedColumnFormula>AL5/Q5</calculatedColumnFormula>
    </tableColumn>
    <tableColumn id="41" xr3:uid="{69FBFA3A-E59A-4A48-AAC3-89686A057F38}" name="oui / non21" dataDxfId="60"/>
    <tableColumn id="42" xr3:uid="{E458FF80-101F-44D6-87E3-8BFB32356CDA}" name="oui / non22" dataDxfId="59"/>
    <tableColumn id="43" xr3:uid="{2807CF88-49A5-43BC-9C64-EE7D6D59001C}" name="oui / non23" dataDxfId="58"/>
    <tableColumn id="44" xr3:uid="{065020A1-CDDF-4B64-B337-88BD3F9351A2}" name="Colonne24" dataDxfId="57"/>
    <tableColumn id="45" xr3:uid="{2F7E6AE9-FD3B-41EB-B735-FCAD4FB9FD2D}" name="Colonne25"/>
    <tableColumn id="46" xr3:uid="{749B8C40-ABA9-4B5C-83D4-F3AA9DF64E4C}" name="Coopérative"/>
    <tableColumn id="47" xr3:uid="{A77A3A5B-EE02-474F-BA9A-D1E7A73A7A48}" name="Colonne26" dataDxfId="56"/>
    <tableColumn id="48" xr3:uid="{9B34879A-246B-46CA-9903-F0FBEAB70252}" name="Chauffeur/ Receveur" dataDxfId="55"/>
    <tableColumn id="49" xr3:uid="{D8B940EC-1060-4BD2-839B-C62190803DAA}" name="Dépense  carburants/j/bus"/>
    <tableColumn id="50" xr3:uid="{F5C708E9-8002-4E17-856F-B5E5951CF5AC}" name="Travail HC"/>
    <tableColumn id="51" xr3:uid="{679E3C21-29A2-4278-9FA3-8773FD9AFB28}" name="Chauffeur-femme"/>
    <tableColumn id="52" xr3:uid="{A9A07AC7-AA1E-42C7-A91E-93BEF5A08463}" name="Receveur-fem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270B3B-8FA0-4B88-ACB2-078567FB7F7A}" name="Tableau1" displayName="Tableau1" ref="A4:AZ13" totalsRowShown="0" headerRowDxfId="54" dataDxfId="53" tableBorderDxfId="52">
  <autoFilter ref="A4:AZ13" xr:uid="{87844BB3-3CC8-4CDE-BA49-C46F88380829}"/>
  <tableColumns count="52">
    <tableColumn id="1" xr3:uid="{3451DA88-DB90-4501-877B-C2AEAAE569B1}" name="UNITE" dataDxfId="51"/>
    <tableColumn id="2" xr3:uid="{0D1DA73F-4B35-4AF7-AF34-F90C2A2E476F}" name="Colonne1" dataDxfId="50"/>
    <tableColumn id="3" xr3:uid="{1A2FFA1E-823A-45CB-8DC8-CB70F543BEBA}" name="oui / non" dataDxfId="49"/>
    <tableColumn id="4" xr3:uid="{9BB56BCA-E76A-4525-B586-11AAA13D7DCF}" name="Colonne2" dataDxfId="48"/>
    <tableColumn id="5" xr3:uid="{7A21B1D5-1AF0-4EC1-80DF-8B193C7EEDDA}" name="Colonne3" dataDxfId="47"/>
    <tableColumn id="6" xr3:uid="{274E9A9C-1839-4F4E-9D23-F979DD57395D}" name="Colonne4" dataDxfId="46"/>
    <tableColumn id="7" xr3:uid="{3F5EBD0B-2039-436A-84F4-A371493AB725}" name="0 ou 1 ou 2" dataDxfId="45"/>
    <tableColumn id="8" xr3:uid="{587EB986-ACAC-4C16-9FC4-D4E088F7BB0A}" name="km" dataDxfId="44"/>
    <tableColumn id="9" xr3:uid="{AAED9BCB-A3DE-4A65-B23E-3B2EC6FE1DCC}" name="km_" dataDxfId="43"/>
    <tableColumn id="10" xr3:uid="{BE4D7FA3-670E-4C22-BCAE-C8CC7ED15BA8}" name="arrêt" dataDxfId="42"/>
    <tableColumn id="11" xr3:uid="{A3AC5357-6730-439C-909E-9576D3E548B5}" name="abribus" dataDxfId="41"/>
    <tableColumn id="12" xr3:uid="{EC7F00CD-4B2F-439C-A22F-8EC3A5AA8B1D}" name="abribus/arrêt" dataDxfId="40">
      <calculatedColumnFormula>K5/J5</calculatedColumnFormula>
    </tableColumn>
    <tableColumn id="13" xr3:uid="{1E01123C-DA39-440B-8AA4-FA7F813B0476}" name="oui / non6" dataDxfId="39"/>
    <tableColumn id="14" xr3:uid="{C9A1266B-66F4-4FCB-9A7E-A3F8CF813C09}" name="oui / non7" dataDxfId="38"/>
    <tableColumn id="15" xr3:uid="{5A20E201-CEB2-497B-B1FD-8714177AAA84}" name="Colonne8" dataDxfId="37"/>
    <tableColumn id="16" xr3:uid="{B500888A-456D-4BFC-BB72-E036B4929D02}" name="oui / non9" dataDxfId="36"/>
    <tableColumn id="17" xr3:uid="{7351C0B9-2411-4CBA-BA9C-F6D76646A598}" name="bus" dataDxfId="35"/>
    <tableColumn id="18" xr3:uid="{ABA675C4-E63D-4284-96CD-65E5D9D72E0A}" name="Mazda" dataDxfId="34"/>
    <tableColumn id="19" xr3:uid="{5AC6A5CA-3199-4D19-824E-735BBFB56A49}" name="L/100km" dataDxfId="33"/>
    <tableColumn id="20" xr3:uid="{0CC17378-1BC6-4742-8739-BA77CAB47778}" name="Sprinter" dataDxfId="32"/>
    <tableColumn id="21" xr3:uid="{7BFC501D-05D1-4837-8058-AA6A39FA5821}" name="L/100km10" dataDxfId="31"/>
    <tableColumn id="22" xr3:uid="{C9AF1F09-06F4-45C9-B1C7-2F62CD5868A1}" name="Crafter" dataDxfId="30"/>
    <tableColumn id="23" xr3:uid="{00D8179A-861C-4B8A-8051-457FCF5213D3}" name="L/100km11" dataDxfId="29"/>
    <tableColumn id="24" xr3:uid="{3288F6D3-A511-49C2-BB3C-8AC26FA3D088}" name="Colonne12" dataDxfId="28"/>
    <tableColumn id="25" xr3:uid="{D321BEED-84E9-4863-9659-518A5D59DDF2}" name="L/100km13" dataDxfId="27"/>
    <tableColumn id="26" xr3:uid="{34B3FA3C-C62A-4F03-BBB5-C64F0EFE0FB4}" name="3 ou 2 ou 1 ou 0" dataDxfId="26"/>
    <tableColumn id="27" xr3:uid="{AC9BADDF-9A9E-4ED5-8485-F21A3FC9DDF7}" name="km/bus" dataDxfId="25">
      <calculatedColumnFormula>I5/Q5</calculatedColumnFormula>
    </tableColumn>
    <tableColumn id="28" xr3:uid="{C2EFBC30-18B2-454F-BD5A-FDA1A8584968}" name="Homme" dataDxfId="24"/>
    <tableColumn id="29" xr3:uid="{3F329CF1-7980-42D5-9CC6-F9E28437DC93}" name="Homme14" dataDxfId="23"/>
    <tableColumn id="30" xr3:uid="{51867620-756A-4B22-A65B-3A38DBBCC95E}" name="Colonne15" dataDxfId="22">
      <calculatedColumnFormula>AC5/AB5</calculatedColumnFormula>
    </tableColumn>
    <tableColumn id="31" xr3:uid="{F4FBF972-4184-47F9-9B29-886D76A28C2C}" name="bus/propriétaire" dataDxfId="21">
      <calculatedColumnFormula>Q5/AB5</calculatedColumnFormula>
    </tableColumn>
    <tableColumn id="32" xr3:uid="{DF1697B8-AE16-475F-8CA0-1A04BB2FB354}" name="tours" dataDxfId="20"/>
    <tableColumn id="33" xr3:uid="{1DBB5B8B-94DB-4C92-93DC-43C67CC35A14}" name="oui(1) / non(0)" dataDxfId="19"/>
    <tableColumn id="34" xr3:uid="{A9EED84C-3F80-4460-B745-18894F35923D}" name="oui(1) / non(0)-" dataDxfId="18"/>
    <tableColumn id="35" xr3:uid="{582DF6D3-65C2-4A8C-941F-E2EE58FACA74}" name="oui(1) / non(0)_2" dataDxfId="17"/>
    <tableColumn id="36" xr3:uid="{EBC5D2D0-C40D-4207-818F-E425C26632E3}" name="Heure" dataDxfId="16"/>
    <tableColumn id="37" xr3:uid="{7101E56F-C4AC-4CE6-9CC4-15CCC49B06F5}" name="Heure18" dataDxfId="15"/>
    <tableColumn id="38" xr3:uid="{7C52BDDC-375A-4F2E-B052-E76E5F82582C}" name="Homme19" dataDxfId="14"/>
    <tableColumn id="39" xr3:uid="{CD6FEE17-C192-4BF5-A411-31B2063D7D00}" name="Homme20" dataDxfId="13">
      <calculatedColumnFormula>AL5*0.75</calculatedColumnFormula>
    </tableColumn>
    <tableColumn id="40" xr3:uid="{5EF56C93-95B2-44A2-B4EA-370967399B27}" name="Homme/bus" dataDxfId="12">
      <calculatedColumnFormula>AL5/Q5</calculatedColumnFormula>
    </tableColumn>
    <tableColumn id="41" xr3:uid="{37C79DA2-E448-4E9A-8111-0D6C89204E2A}" name="oui / non21" dataDxfId="11"/>
    <tableColumn id="42" xr3:uid="{A66FFD04-0FE6-46EC-9F30-548AF8053729}" name="oui / non22" dataDxfId="10"/>
    <tableColumn id="43" xr3:uid="{3B562E36-E9A9-45D8-BAEB-72B01275CD62}" name="oui / non23" dataDxfId="9"/>
    <tableColumn id="44" xr3:uid="{0C3E1591-0E90-4E8F-B2F8-C73FC387BFD3}" name="Colonne24" dataDxfId="8"/>
    <tableColumn id="45" xr3:uid="{CF7E4CFD-F6C0-4987-B758-B9A81C0E71C3}" name="Colonne25" dataDxfId="7"/>
    <tableColumn id="46" xr3:uid="{AF20DC02-305E-4192-98D0-40860EECF257}" name="Coopérative" dataDxfId="6"/>
    <tableColumn id="47" xr3:uid="{7450845B-AF59-4B1C-A790-1CBC03187D2B}" name="Colonne26" dataDxfId="5"/>
    <tableColumn id="48" xr3:uid="{A0906596-95DF-44EB-B4CC-6F3153FF984A}" name="Chauffeur /Receveur" dataDxfId="4"/>
    <tableColumn id="49" xr3:uid="{74569533-727F-47CB-B5AB-60D0DC56B151}" name="Dépense  carburants/j/bus" dataDxfId="3"/>
    <tableColumn id="50" xr3:uid="{74845B65-BBB4-4581-A28B-C53A89C7A7D0}" name="Travail HC" dataDxfId="2"/>
    <tableColumn id="51" xr3:uid="{5DB2C718-CB35-4325-8768-8DBCF0CE63A9}" name="Chauffeur-femme" dataDxfId="1"/>
    <tableColumn id="52" xr3:uid="{972447A6-BB5A-4479-B527-6CCC4A1DEF64}" name="Receveur-fem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5B62-0D5F-492C-AF63-3640CB41ABD2}">
  <dimension ref="A1:H84"/>
  <sheetViews>
    <sheetView showGridLines="0" tabSelected="1" topLeftCell="B1" workbookViewId="0">
      <selection activeCell="D8" sqref="D8:E8"/>
    </sheetView>
  </sheetViews>
  <sheetFormatPr defaultColWidth="11.42578125" defaultRowHeight="15"/>
  <cols>
    <col min="2" max="2" width="32.5703125" style="2" customWidth="1"/>
    <col min="3" max="3" width="83.140625" customWidth="1"/>
    <col min="4" max="4" width="50.140625" customWidth="1"/>
    <col min="5" max="5" width="37.7109375" bestFit="1" customWidth="1"/>
    <col min="6" max="6" width="38.7109375" bestFit="1" customWidth="1"/>
    <col min="7" max="7" width="16.85546875" bestFit="1" customWidth="1"/>
    <col min="8" max="8" width="15.140625" bestFit="1" customWidth="1"/>
  </cols>
  <sheetData>
    <row r="1" spans="1:8">
      <c r="B1" t="s">
        <v>0</v>
      </c>
      <c r="C1" s="58" t="s">
        <v>1</v>
      </c>
    </row>
    <row r="2" spans="1:8">
      <c r="B2" t="s">
        <v>2</v>
      </c>
      <c r="C2" s="59">
        <v>45503</v>
      </c>
    </row>
    <row r="3" spans="1:8" ht="15.75">
      <c r="B3" s="1" t="s">
        <v>3</v>
      </c>
      <c r="C3" s="60" t="s">
        <v>4</v>
      </c>
    </row>
    <row r="4" spans="1:8">
      <c r="B4" t="s">
        <v>5</v>
      </c>
      <c r="C4" s="58" t="s">
        <v>6</v>
      </c>
    </row>
    <row r="5" spans="1:8">
      <c r="B5" t="s">
        <v>7</v>
      </c>
      <c r="C5" s="58" t="s">
        <v>8</v>
      </c>
    </row>
    <row r="6" spans="1:8" ht="30">
      <c r="B6" t="s">
        <v>9</v>
      </c>
      <c r="C6" s="65" t="s">
        <v>10</v>
      </c>
    </row>
    <row r="7" spans="1:8" ht="16.5" thickBot="1">
      <c r="D7" s="1"/>
      <c r="E7" s="1"/>
    </row>
    <row r="8" spans="1:8" ht="19.5" thickBot="1">
      <c r="D8" s="71" t="s">
        <v>11</v>
      </c>
      <c r="E8" s="72"/>
    </row>
    <row r="9" spans="1:8" ht="18.75">
      <c r="B9" s="49"/>
      <c r="C9" s="17"/>
      <c r="D9" s="1"/>
      <c r="E9" s="1"/>
    </row>
    <row r="10" spans="1:8" ht="15.75">
      <c r="D10" s="56" t="s">
        <v>12</v>
      </c>
      <c r="E10" s="56" t="s">
        <v>13</v>
      </c>
      <c r="F10" s="57" t="s">
        <v>14</v>
      </c>
      <c r="G10" s="57" t="s">
        <v>15</v>
      </c>
      <c r="H10" s="57" t="s">
        <v>16</v>
      </c>
    </row>
    <row r="11" spans="1:8" ht="15.75">
      <c r="B11" s="52" t="s">
        <v>17</v>
      </c>
      <c r="C11" s="61" t="s">
        <v>18</v>
      </c>
      <c r="D11" s="52" t="s">
        <v>19</v>
      </c>
      <c r="E11" s="53" t="s">
        <v>20</v>
      </c>
      <c r="F11" s="54"/>
      <c r="G11" s="55">
        <v>45341</v>
      </c>
      <c r="H11" s="55">
        <v>45425</v>
      </c>
    </row>
    <row r="12" spans="1:8" ht="15.75">
      <c r="B12" s="52" t="s">
        <v>21</v>
      </c>
      <c r="C12" s="61" t="s">
        <v>22</v>
      </c>
      <c r="D12" s="52" t="s">
        <v>19</v>
      </c>
      <c r="E12" s="53" t="s">
        <v>23</v>
      </c>
      <c r="F12" s="54"/>
      <c r="G12" s="55">
        <v>45341</v>
      </c>
      <c r="H12" s="55">
        <v>45425</v>
      </c>
    </row>
    <row r="13" spans="1:8" ht="15.75">
      <c r="A13" s="66" t="s">
        <v>24</v>
      </c>
      <c r="B13" s="67"/>
      <c r="C13" s="68"/>
      <c r="D13" s="68"/>
      <c r="E13" s="68"/>
      <c r="F13" s="68"/>
      <c r="G13" s="68"/>
      <c r="H13" s="69"/>
    </row>
    <row r="14" spans="1:8" ht="15.75">
      <c r="A14" s="66"/>
      <c r="B14" s="50" t="s">
        <v>25</v>
      </c>
      <c r="C14" s="61" t="s">
        <v>26</v>
      </c>
      <c r="D14" s="53" t="s">
        <v>27</v>
      </c>
      <c r="E14" s="53" t="s">
        <v>23</v>
      </c>
      <c r="F14" s="54"/>
      <c r="G14" s="55">
        <v>45341</v>
      </c>
      <c r="H14" s="54"/>
    </row>
    <row r="15" spans="1:8" ht="15.75">
      <c r="A15" s="66"/>
      <c r="B15" s="50" t="s">
        <v>28</v>
      </c>
      <c r="C15" s="61" t="s">
        <v>28</v>
      </c>
      <c r="D15" s="53" t="s">
        <v>27</v>
      </c>
      <c r="E15" s="53" t="s">
        <v>29</v>
      </c>
      <c r="F15" s="54"/>
      <c r="G15" s="55">
        <v>45341</v>
      </c>
      <c r="H15" s="54"/>
    </row>
    <row r="16" spans="1:8" ht="15.75">
      <c r="A16" s="66"/>
      <c r="B16" s="50" t="s">
        <v>30</v>
      </c>
      <c r="C16" s="61" t="s">
        <v>31</v>
      </c>
      <c r="D16" s="53" t="s">
        <v>27</v>
      </c>
      <c r="E16" s="53" t="s">
        <v>23</v>
      </c>
      <c r="F16" s="54"/>
      <c r="G16" s="55">
        <v>45341</v>
      </c>
      <c r="H16" s="54"/>
    </row>
    <row r="17" spans="1:8" ht="15.75">
      <c r="A17" s="66"/>
      <c r="B17" s="50" t="s">
        <v>32</v>
      </c>
      <c r="C17" s="61" t="s">
        <v>33</v>
      </c>
      <c r="D17" s="53" t="s">
        <v>27</v>
      </c>
      <c r="E17" s="53" t="s">
        <v>23</v>
      </c>
      <c r="F17" s="54"/>
      <c r="G17" s="55">
        <v>45341</v>
      </c>
      <c r="H17" s="54"/>
    </row>
    <row r="18" spans="1:8" s="26" customFormat="1" ht="63">
      <c r="A18" s="66"/>
      <c r="B18" s="50" t="s">
        <v>34</v>
      </c>
      <c r="C18" s="51" t="s">
        <v>35</v>
      </c>
      <c r="D18" s="52" t="s">
        <v>36</v>
      </c>
      <c r="E18" s="53" t="s">
        <v>37</v>
      </c>
      <c r="F18" s="54"/>
      <c r="G18" s="54" t="s">
        <v>38</v>
      </c>
      <c r="H18" s="55">
        <v>45462</v>
      </c>
    </row>
    <row r="19" spans="1:8" ht="15.75">
      <c r="A19" s="66"/>
      <c r="B19" s="50" t="s">
        <v>39</v>
      </c>
      <c r="C19" s="61" t="s">
        <v>40</v>
      </c>
      <c r="D19" s="53" t="s">
        <v>41</v>
      </c>
      <c r="E19" s="53" t="s">
        <v>42</v>
      </c>
      <c r="F19" s="54"/>
      <c r="G19" s="55">
        <v>45342</v>
      </c>
      <c r="H19" s="54"/>
    </row>
    <row r="20" spans="1:8" ht="15.75">
      <c r="A20" s="66"/>
      <c r="B20" s="50" t="s">
        <v>43</v>
      </c>
      <c r="C20" s="61" t="s">
        <v>44</v>
      </c>
      <c r="D20" s="53" t="s">
        <v>41</v>
      </c>
      <c r="E20" s="53" t="s">
        <v>42</v>
      </c>
      <c r="F20" s="54"/>
      <c r="G20" s="55">
        <v>45342</v>
      </c>
      <c r="H20" s="54"/>
    </row>
    <row r="21" spans="1:8" ht="31.5">
      <c r="A21" s="66"/>
      <c r="B21" s="50" t="s">
        <v>45</v>
      </c>
      <c r="C21" s="61" t="s">
        <v>46</v>
      </c>
      <c r="D21" s="52" t="s">
        <v>36</v>
      </c>
      <c r="E21" s="53" t="s">
        <v>29</v>
      </c>
      <c r="F21" s="54"/>
      <c r="G21" s="54" t="s">
        <v>38</v>
      </c>
      <c r="H21" s="55">
        <v>45460</v>
      </c>
    </row>
    <row r="22" spans="1:8" ht="31.5">
      <c r="A22" s="66"/>
      <c r="B22" s="52" t="s">
        <v>47</v>
      </c>
      <c r="C22" s="61" t="s">
        <v>46</v>
      </c>
      <c r="D22" s="52" t="s">
        <v>36</v>
      </c>
      <c r="E22" s="53" t="s">
        <v>29</v>
      </c>
      <c r="F22" s="54"/>
      <c r="G22" s="54" t="s">
        <v>38</v>
      </c>
      <c r="H22" s="55">
        <v>45460</v>
      </c>
    </row>
    <row r="23" spans="1:8" ht="30">
      <c r="A23" s="66"/>
      <c r="B23" s="62" t="s">
        <v>48</v>
      </c>
      <c r="C23" s="61" t="s">
        <v>49</v>
      </c>
      <c r="D23" s="53" t="s">
        <v>50</v>
      </c>
      <c r="E23" s="53" t="s">
        <v>51</v>
      </c>
      <c r="F23" s="63" t="s">
        <v>52</v>
      </c>
      <c r="G23" s="55">
        <v>45425</v>
      </c>
      <c r="H23" s="54"/>
    </row>
    <row r="24" spans="1:8" ht="15.75">
      <c r="A24" s="66"/>
      <c r="B24" s="52" t="s">
        <v>53</v>
      </c>
      <c r="C24" s="64" t="s">
        <v>54</v>
      </c>
      <c r="D24" s="53" t="s">
        <v>41</v>
      </c>
      <c r="E24" s="53" t="s">
        <v>23</v>
      </c>
      <c r="F24" s="54"/>
      <c r="G24" s="55">
        <v>45342</v>
      </c>
      <c r="H24" s="54"/>
    </row>
    <row r="25" spans="1:8" ht="31.5">
      <c r="A25" s="66"/>
      <c r="B25" s="52" t="s">
        <v>55</v>
      </c>
      <c r="C25" s="64" t="s">
        <v>54</v>
      </c>
      <c r="D25" s="53" t="s">
        <v>41</v>
      </c>
      <c r="E25" s="53" t="s">
        <v>23</v>
      </c>
      <c r="F25" s="54"/>
      <c r="G25" s="55">
        <v>45342</v>
      </c>
      <c r="H25" s="54"/>
    </row>
    <row r="26" spans="1:8" ht="15.75">
      <c r="A26" s="66"/>
      <c r="B26" s="52" t="s">
        <v>56</v>
      </c>
      <c r="C26" s="61" t="s">
        <v>57</v>
      </c>
      <c r="D26" s="53" t="s">
        <v>41</v>
      </c>
      <c r="E26" s="53" t="s">
        <v>23</v>
      </c>
      <c r="F26" s="54"/>
      <c r="G26" s="55">
        <v>45342</v>
      </c>
      <c r="H26" s="54"/>
    </row>
    <row r="27" spans="1:8" ht="31.5">
      <c r="A27" s="66"/>
      <c r="B27" s="52" t="s">
        <v>58</v>
      </c>
      <c r="C27" s="61" t="s">
        <v>54</v>
      </c>
      <c r="D27" s="53" t="s">
        <v>41</v>
      </c>
      <c r="E27" s="53" t="s">
        <v>23</v>
      </c>
      <c r="F27" s="54"/>
      <c r="G27" s="55">
        <v>45342</v>
      </c>
      <c r="H27" s="54"/>
    </row>
    <row r="28" spans="1:8" ht="15.75">
      <c r="A28" s="66" t="s">
        <v>59</v>
      </c>
      <c r="B28" s="67"/>
      <c r="C28" s="68"/>
      <c r="D28" s="68"/>
      <c r="E28" s="68"/>
      <c r="F28" s="68"/>
      <c r="G28" s="68"/>
      <c r="H28" s="69"/>
    </row>
    <row r="29" spans="1:8" ht="63">
      <c r="A29" s="66"/>
      <c r="B29" s="52" t="s">
        <v>60</v>
      </c>
      <c r="C29" s="61" t="s">
        <v>61</v>
      </c>
      <c r="D29" s="52" t="s">
        <v>62</v>
      </c>
      <c r="E29" s="53" t="s">
        <v>29</v>
      </c>
      <c r="F29" s="54"/>
      <c r="G29" s="53" t="s">
        <v>63</v>
      </c>
      <c r="H29" s="54"/>
    </row>
    <row r="30" spans="1:8" ht="31.5">
      <c r="A30" s="66"/>
      <c r="B30" s="52" t="s">
        <v>64</v>
      </c>
      <c r="C30" s="61" t="s">
        <v>65</v>
      </c>
      <c r="D30" s="52" t="s">
        <v>66</v>
      </c>
      <c r="E30" s="53" t="s">
        <v>29</v>
      </c>
      <c r="F30" s="54"/>
      <c r="G30" s="53" t="s">
        <v>63</v>
      </c>
      <c r="H30" s="54"/>
    </row>
    <row r="31" spans="1:8" ht="60">
      <c r="A31" s="66"/>
      <c r="B31" s="52" t="s">
        <v>67</v>
      </c>
      <c r="C31" s="61" t="s">
        <v>68</v>
      </c>
      <c r="D31" s="52" t="s">
        <v>36</v>
      </c>
      <c r="E31" s="53" t="s">
        <v>42</v>
      </c>
      <c r="F31" s="63" t="s">
        <v>69</v>
      </c>
      <c r="G31" s="54" t="s">
        <v>38</v>
      </c>
      <c r="H31" s="54"/>
    </row>
    <row r="32" spans="1:8" ht="63">
      <c r="A32" s="66"/>
      <c r="B32" s="52" t="s">
        <v>70</v>
      </c>
      <c r="C32" s="61" t="s">
        <v>71</v>
      </c>
      <c r="D32" s="52" t="s">
        <v>62</v>
      </c>
      <c r="E32" s="53" t="s">
        <v>29</v>
      </c>
      <c r="F32" s="54"/>
      <c r="G32" s="53" t="s">
        <v>63</v>
      </c>
      <c r="H32" s="54"/>
    </row>
    <row r="33" spans="1:8" ht="60">
      <c r="A33" s="66"/>
      <c r="B33" s="52" t="s">
        <v>67</v>
      </c>
      <c r="C33" s="61" t="s">
        <v>72</v>
      </c>
      <c r="D33" s="52" t="s">
        <v>36</v>
      </c>
      <c r="E33" s="53" t="s">
        <v>42</v>
      </c>
      <c r="F33" s="63" t="s">
        <v>69</v>
      </c>
      <c r="G33" s="54" t="s">
        <v>38</v>
      </c>
      <c r="H33" s="54"/>
    </row>
    <row r="34" spans="1:8" ht="63">
      <c r="A34" s="66"/>
      <c r="B34" s="52" t="s">
        <v>73</v>
      </c>
      <c r="C34" s="61" t="s">
        <v>71</v>
      </c>
      <c r="D34" s="52" t="s">
        <v>62</v>
      </c>
      <c r="E34" s="53" t="s">
        <v>29</v>
      </c>
      <c r="F34" s="54"/>
      <c r="G34" s="53" t="s">
        <v>63</v>
      </c>
      <c r="H34" s="54"/>
    </row>
    <row r="35" spans="1:8" ht="60">
      <c r="A35" s="66"/>
      <c r="B35" s="52" t="s">
        <v>67</v>
      </c>
      <c r="C35" s="61" t="s">
        <v>74</v>
      </c>
      <c r="D35" s="52" t="s">
        <v>36</v>
      </c>
      <c r="E35" s="53" t="s">
        <v>42</v>
      </c>
      <c r="F35" s="63" t="s">
        <v>69</v>
      </c>
      <c r="G35" s="54" t="s">
        <v>38</v>
      </c>
      <c r="H35" s="54"/>
    </row>
    <row r="36" spans="1:8" ht="63">
      <c r="A36" s="66"/>
      <c r="B36" s="52" t="s">
        <v>75</v>
      </c>
      <c r="C36" s="64" t="s">
        <v>76</v>
      </c>
      <c r="D36" s="52" t="s">
        <v>62</v>
      </c>
      <c r="E36" s="53" t="s">
        <v>29</v>
      </c>
      <c r="F36" s="54"/>
      <c r="G36" s="53" t="s">
        <v>63</v>
      </c>
      <c r="H36" s="54"/>
    </row>
    <row r="37" spans="1:8" ht="60">
      <c r="A37" s="66"/>
      <c r="B37" s="52" t="s">
        <v>67</v>
      </c>
      <c r="C37" s="61" t="s">
        <v>77</v>
      </c>
      <c r="D37" s="52" t="s">
        <v>36</v>
      </c>
      <c r="E37" s="53" t="s">
        <v>42</v>
      </c>
      <c r="F37" s="63" t="s">
        <v>69</v>
      </c>
      <c r="G37" s="54" t="s">
        <v>38</v>
      </c>
      <c r="H37" s="54"/>
    </row>
    <row r="38" spans="1:8" ht="63">
      <c r="A38" s="66"/>
      <c r="B38" s="52" t="s">
        <v>78</v>
      </c>
      <c r="C38" s="64" t="s">
        <v>79</v>
      </c>
      <c r="D38" s="52" t="s">
        <v>62</v>
      </c>
      <c r="E38" s="53" t="s">
        <v>80</v>
      </c>
      <c r="F38" s="54"/>
      <c r="G38" s="53" t="s">
        <v>63</v>
      </c>
      <c r="H38" s="54"/>
    </row>
    <row r="39" spans="1:8" ht="31.5">
      <c r="A39" s="66"/>
      <c r="B39" s="62" t="s">
        <v>81</v>
      </c>
      <c r="C39" s="61" t="s">
        <v>82</v>
      </c>
      <c r="D39" s="53" t="s">
        <v>50</v>
      </c>
      <c r="E39" s="53" t="s">
        <v>42</v>
      </c>
      <c r="F39" s="63" t="s">
        <v>83</v>
      </c>
      <c r="G39" s="54" t="s">
        <v>38</v>
      </c>
      <c r="H39" s="54"/>
    </row>
    <row r="40" spans="1:8" ht="63">
      <c r="A40" s="66"/>
      <c r="B40" s="52" t="s">
        <v>84</v>
      </c>
      <c r="C40" s="61" t="s">
        <v>85</v>
      </c>
      <c r="D40" s="52" t="s">
        <v>62</v>
      </c>
      <c r="E40" s="53" t="s">
        <v>29</v>
      </c>
      <c r="F40" s="54"/>
      <c r="G40" s="53" t="s">
        <v>63</v>
      </c>
      <c r="H40" s="54"/>
    </row>
    <row r="41" spans="1:8" ht="63">
      <c r="A41" s="66"/>
      <c r="B41" s="52" t="s">
        <v>86</v>
      </c>
      <c r="C41" s="61" t="s">
        <v>87</v>
      </c>
      <c r="D41" s="52" t="s">
        <v>62</v>
      </c>
      <c r="E41" s="53" t="s">
        <v>29</v>
      </c>
      <c r="F41" s="54"/>
      <c r="G41" s="53" t="s">
        <v>63</v>
      </c>
      <c r="H41" s="54"/>
    </row>
    <row r="42" spans="1:8" ht="30">
      <c r="A42" s="66"/>
      <c r="B42" s="62" t="s">
        <v>88</v>
      </c>
      <c r="C42" s="61" t="s">
        <v>89</v>
      </c>
      <c r="D42" s="53" t="s">
        <v>50</v>
      </c>
      <c r="E42" s="53" t="s">
        <v>51</v>
      </c>
      <c r="F42" s="63" t="s">
        <v>90</v>
      </c>
      <c r="G42" s="55">
        <v>45471</v>
      </c>
      <c r="H42" s="54"/>
    </row>
    <row r="43" spans="1:8" ht="31.5">
      <c r="A43" s="66"/>
      <c r="B43" s="62" t="s">
        <v>91</v>
      </c>
      <c r="C43" s="61" t="s">
        <v>92</v>
      </c>
      <c r="D43" s="53" t="s">
        <v>50</v>
      </c>
      <c r="E43" s="53" t="s">
        <v>29</v>
      </c>
      <c r="F43" s="63" t="s">
        <v>93</v>
      </c>
      <c r="G43" s="55">
        <v>45471</v>
      </c>
      <c r="H43" s="54"/>
    </row>
    <row r="44" spans="1:8" ht="15.75">
      <c r="A44" s="66" t="s">
        <v>94</v>
      </c>
      <c r="B44" s="67"/>
      <c r="C44" s="68"/>
      <c r="D44" s="68"/>
      <c r="E44" s="68"/>
      <c r="F44" s="68"/>
      <c r="G44" s="68"/>
      <c r="H44" s="69"/>
    </row>
    <row r="45" spans="1:8" ht="31.5">
      <c r="A45" s="66"/>
      <c r="B45" s="52" t="s">
        <v>95</v>
      </c>
      <c r="C45" s="61" t="s">
        <v>96</v>
      </c>
      <c r="D45" s="52" t="s">
        <v>36</v>
      </c>
      <c r="E45" s="53" t="s">
        <v>29</v>
      </c>
      <c r="F45" s="54"/>
      <c r="G45" s="54" t="s">
        <v>38</v>
      </c>
      <c r="H45" s="54"/>
    </row>
    <row r="46" spans="1:8" ht="15.75">
      <c r="A46" s="66"/>
      <c r="B46" s="52"/>
      <c r="C46" s="61"/>
      <c r="D46" s="53"/>
      <c r="E46" s="53"/>
      <c r="F46" s="54"/>
      <c r="G46" s="54"/>
      <c r="H46" s="54"/>
    </row>
    <row r="47" spans="1:8" ht="31.5">
      <c r="A47" s="66"/>
      <c r="B47" s="52" t="s">
        <v>97</v>
      </c>
      <c r="C47" s="51" t="s">
        <v>98</v>
      </c>
      <c r="D47" s="52" t="s">
        <v>36</v>
      </c>
      <c r="E47" s="53" t="s">
        <v>99</v>
      </c>
      <c r="F47" s="54"/>
      <c r="G47" s="54" t="s">
        <v>38</v>
      </c>
      <c r="H47" s="54"/>
    </row>
    <row r="48" spans="1:8" ht="31.5">
      <c r="A48" s="66"/>
      <c r="B48" s="52" t="s">
        <v>100</v>
      </c>
      <c r="C48" s="51" t="s">
        <v>98</v>
      </c>
      <c r="D48" s="52" t="s">
        <v>36</v>
      </c>
      <c r="E48" s="53" t="s">
        <v>99</v>
      </c>
      <c r="F48" s="54"/>
      <c r="G48" s="54" t="s">
        <v>38</v>
      </c>
      <c r="H48" s="54"/>
    </row>
    <row r="49" spans="1:8" ht="31.5">
      <c r="A49" s="66"/>
      <c r="B49" s="52" t="s">
        <v>101</v>
      </c>
      <c r="C49" s="64" t="s">
        <v>102</v>
      </c>
      <c r="D49" s="52" t="s">
        <v>36</v>
      </c>
      <c r="E49" s="53" t="s">
        <v>99</v>
      </c>
      <c r="F49" s="54"/>
      <c r="G49" s="54" t="s">
        <v>38</v>
      </c>
      <c r="H49" s="54"/>
    </row>
    <row r="50" spans="1:8" ht="31.5">
      <c r="A50" s="66"/>
      <c r="B50" s="52" t="s">
        <v>103</v>
      </c>
      <c r="C50" s="64" t="s">
        <v>104</v>
      </c>
      <c r="D50" s="52" t="s">
        <v>36</v>
      </c>
      <c r="E50" s="53" t="s">
        <v>105</v>
      </c>
      <c r="F50" s="54"/>
      <c r="G50" s="54" t="s">
        <v>38</v>
      </c>
      <c r="H50" s="54"/>
    </row>
    <row r="51" spans="1:8" ht="31.5">
      <c r="A51" s="66"/>
      <c r="B51" s="52" t="s">
        <v>106</v>
      </c>
      <c r="C51" s="61"/>
      <c r="D51" s="53" t="s">
        <v>50</v>
      </c>
      <c r="E51" s="53" t="s">
        <v>29</v>
      </c>
      <c r="F51" s="54" t="s">
        <v>107</v>
      </c>
      <c r="G51" s="54"/>
      <c r="H51" s="54"/>
    </row>
    <row r="52" spans="1:8" ht="15.75">
      <c r="A52" s="66" t="s">
        <v>108</v>
      </c>
      <c r="B52" s="67"/>
      <c r="C52" s="68"/>
      <c r="D52" s="68"/>
      <c r="E52" s="68"/>
      <c r="F52" s="68"/>
      <c r="G52" s="68"/>
      <c r="H52" s="69"/>
    </row>
    <row r="53" spans="1:8" ht="63">
      <c r="A53" s="66"/>
      <c r="B53" s="52" t="s">
        <v>109</v>
      </c>
      <c r="C53" s="61" t="s">
        <v>110</v>
      </c>
      <c r="D53" s="52" t="s">
        <v>111</v>
      </c>
      <c r="E53" s="53" t="s">
        <v>29</v>
      </c>
      <c r="F53" s="52" t="s">
        <v>112</v>
      </c>
      <c r="G53" s="54" t="s">
        <v>38</v>
      </c>
      <c r="H53" s="54"/>
    </row>
    <row r="54" spans="1:8" ht="31.5">
      <c r="A54" s="66"/>
      <c r="B54" s="62" t="s">
        <v>113</v>
      </c>
      <c r="C54" s="61" t="s">
        <v>114</v>
      </c>
      <c r="D54" s="53" t="s">
        <v>50</v>
      </c>
      <c r="E54" s="53" t="s">
        <v>29</v>
      </c>
      <c r="F54" s="52" t="s">
        <v>115</v>
      </c>
      <c r="G54" s="55">
        <v>45471</v>
      </c>
      <c r="H54" s="54"/>
    </row>
    <row r="55" spans="1:8" ht="15.75">
      <c r="A55" s="70" t="s">
        <v>116</v>
      </c>
      <c r="B55" s="67"/>
      <c r="C55" s="68"/>
      <c r="D55" s="68"/>
      <c r="E55" s="68"/>
      <c r="F55" s="68"/>
      <c r="G55" s="68"/>
      <c r="H55" s="69"/>
    </row>
    <row r="56" spans="1:8" ht="31.5">
      <c r="A56" s="70"/>
      <c r="B56" s="52" t="s">
        <v>117</v>
      </c>
      <c r="C56" s="26" t="s">
        <v>118</v>
      </c>
      <c r="D56" s="52" t="s">
        <v>36</v>
      </c>
      <c r="E56" s="53" t="s">
        <v>119</v>
      </c>
      <c r="F56" s="54"/>
      <c r="G56" s="54" t="s">
        <v>38</v>
      </c>
      <c r="H56" s="54"/>
    </row>
    <row r="57" spans="1:8" ht="63">
      <c r="A57" s="70"/>
      <c r="B57" s="52" t="s">
        <v>120</v>
      </c>
      <c r="C57" s="61" t="s">
        <v>121</v>
      </c>
      <c r="D57" s="52" t="s">
        <v>62</v>
      </c>
      <c r="E57" s="53" t="s">
        <v>119</v>
      </c>
      <c r="F57" s="54"/>
      <c r="G57" s="55">
        <v>45471</v>
      </c>
      <c r="H57" s="54"/>
    </row>
    <row r="58" spans="1:8" ht="31.5">
      <c r="A58" s="70"/>
      <c r="B58" s="52" t="s">
        <v>122</v>
      </c>
      <c r="C58" s="61" t="s">
        <v>123</v>
      </c>
      <c r="D58" s="52" t="s">
        <v>36</v>
      </c>
      <c r="E58" s="53" t="s">
        <v>119</v>
      </c>
      <c r="F58" s="54"/>
      <c r="G58" s="54" t="s">
        <v>38</v>
      </c>
      <c r="H58" s="54"/>
    </row>
    <row r="59" spans="1:8" ht="31.5">
      <c r="A59" s="70"/>
      <c r="B59" s="52" t="s">
        <v>124</v>
      </c>
      <c r="C59" s="61" t="s">
        <v>125</v>
      </c>
      <c r="D59" s="52" t="s">
        <v>36</v>
      </c>
      <c r="E59" s="53" t="s">
        <v>23</v>
      </c>
      <c r="F59" s="54"/>
      <c r="G59" s="54" t="s">
        <v>38</v>
      </c>
      <c r="H59" s="54"/>
    </row>
    <row r="60" spans="1:8" ht="15.75">
      <c r="D60" s="1"/>
      <c r="E60" s="1"/>
    </row>
    <row r="61" spans="1:8" ht="15.75">
      <c r="D61" s="1"/>
      <c r="E61" s="1"/>
    </row>
    <row r="62" spans="1:8" ht="15.75">
      <c r="D62" s="1"/>
      <c r="E62" s="1"/>
    </row>
    <row r="63" spans="1:8" ht="15.75">
      <c r="D63" s="1"/>
      <c r="E63" s="1"/>
    </row>
    <row r="64" spans="1:8" ht="15.75">
      <c r="D64" s="1"/>
      <c r="E64" s="1"/>
    </row>
    <row r="65" spans="4:5" ht="15.75">
      <c r="D65" s="1"/>
      <c r="E65" s="1"/>
    </row>
    <row r="66" spans="4:5" ht="15.75">
      <c r="D66" s="1"/>
      <c r="E66" s="1"/>
    </row>
    <row r="67" spans="4:5" ht="15.75">
      <c r="D67" s="1"/>
      <c r="E67" s="1"/>
    </row>
    <row r="68" spans="4:5" ht="15.75">
      <c r="D68" s="1"/>
      <c r="E68" s="1"/>
    </row>
    <row r="69" spans="4:5" ht="15.75">
      <c r="D69" s="1"/>
      <c r="E69" s="1"/>
    </row>
    <row r="70" spans="4:5" ht="15.75">
      <c r="D70" s="1"/>
      <c r="E70" s="1"/>
    </row>
    <row r="71" spans="4:5" ht="15.75">
      <c r="D71" s="1"/>
      <c r="E71" s="1"/>
    </row>
    <row r="72" spans="4:5" ht="15.75">
      <c r="D72" s="1"/>
      <c r="E72" s="1"/>
    </row>
    <row r="73" spans="4:5" ht="15.75">
      <c r="D73" s="1"/>
      <c r="E73" s="1"/>
    </row>
    <row r="74" spans="4:5" ht="15.75">
      <c r="D74" s="1"/>
      <c r="E74" s="1"/>
    </row>
    <row r="75" spans="4:5" ht="15.75">
      <c r="D75" s="1"/>
      <c r="E75" s="1"/>
    </row>
    <row r="76" spans="4:5" ht="15.75">
      <c r="D76" s="1"/>
      <c r="E76" s="1"/>
    </row>
    <row r="77" spans="4:5" ht="15.75">
      <c r="D77" s="1"/>
      <c r="E77" s="1"/>
    </row>
    <row r="78" spans="4:5" ht="15.75">
      <c r="D78" s="1"/>
      <c r="E78" s="1"/>
    </row>
    <row r="79" spans="4:5" ht="15.75">
      <c r="D79" s="1"/>
      <c r="E79" s="1"/>
    </row>
    <row r="80" spans="4:5" ht="15.75">
      <c r="D80" s="1"/>
      <c r="E80" s="1"/>
    </row>
    <row r="81" spans="2:5" ht="15.75">
      <c r="D81" s="1"/>
      <c r="E81" s="1"/>
    </row>
    <row r="82" spans="2:5" ht="15.75">
      <c r="D82" s="1"/>
      <c r="E82" s="1"/>
    </row>
    <row r="83" spans="2:5" ht="15.75">
      <c r="D83" s="1"/>
      <c r="E83" s="1"/>
    </row>
    <row r="84" spans="2:5" ht="15.75">
      <c r="B84" s="3"/>
      <c r="C84" s="1"/>
      <c r="D84" s="1"/>
      <c r="E84" s="1"/>
    </row>
  </sheetData>
  <mergeCells count="11">
    <mergeCell ref="A52:A54"/>
    <mergeCell ref="B52:H52"/>
    <mergeCell ref="A55:A59"/>
    <mergeCell ref="B55:H55"/>
    <mergeCell ref="D8:E8"/>
    <mergeCell ref="A13:A27"/>
    <mergeCell ref="A28:A43"/>
    <mergeCell ref="A44:A51"/>
    <mergeCell ref="B13:H13"/>
    <mergeCell ref="B28:H28"/>
    <mergeCell ref="B44:H4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76B25-1CEA-49D8-969D-56CA949E814F}">
  <dimension ref="A2:AZ65"/>
  <sheetViews>
    <sheetView topLeftCell="A3" zoomScale="70" zoomScaleNormal="70" workbookViewId="0">
      <selection activeCell="F26" sqref="F26"/>
    </sheetView>
  </sheetViews>
  <sheetFormatPr defaultColWidth="11.42578125" defaultRowHeight="15"/>
  <cols>
    <col min="1" max="1" width="11.42578125" style="5"/>
    <col min="2" max="2" width="21" bestFit="1" customWidth="1"/>
    <col min="3" max="3" width="11.85546875" customWidth="1"/>
    <col min="4" max="4" width="12.42578125" customWidth="1"/>
    <col min="5" max="5" width="24.5703125" bestFit="1" customWidth="1"/>
    <col min="6" max="6" width="27.5703125" bestFit="1" customWidth="1"/>
    <col min="7" max="7" width="13.42578125" customWidth="1"/>
    <col min="12" max="12" width="15.85546875" customWidth="1"/>
    <col min="13" max="14" width="13" customWidth="1"/>
    <col min="15" max="15" width="12.42578125" customWidth="1"/>
    <col min="16" max="16" width="13" customWidth="1"/>
    <col min="19" max="19" width="11.85546875" customWidth="1"/>
    <col min="21" max="21" width="14.28515625" customWidth="1"/>
    <col min="23" max="23" width="14.28515625" customWidth="1"/>
    <col min="24" max="24" width="13.7109375" customWidth="1"/>
    <col min="25" max="25" width="14.28515625" customWidth="1"/>
    <col min="26" max="26" width="18" customWidth="1"/>
    <col min="27" max="27" width="11.42578125" customWidth="1"/>
    <col min="29" max="29" width="13.28515625" customWidth="1"/>
    <col min="30" max="30" width="13.7109375" customWidth="1"/>
    <col min="31" max="31" width="19.140625" customWidth="1"/>
    <col min="33" max="34" width="14.28515625" customWidth="1"/>
    <col min="36" max="36" width="13" bestFit="1" customWidth="1"/>
    <col min="37" max="37" width="11.5703125" customWidth="1"/>
    <col min="38" max="39" width="13.28515625" customWidth="1"/>
    <col min="40" max="40" width="15.140625" customWidth="1"/>
    <col min="41" max="43" width="14.28515625" customWidth="1"/>
    <col min="44" max="45" width="15.7109375" customWidth="1"/>
    <col min="46" max="46" width="19.5703125" bestFit="1" customWidth="1"/>
    <col min="47" max="47" width="13.7109375" customWidth="1"/>
    <col min="48" max="48" width="22.85546875" customWidth="1"/>
    <col min="49" max="49" width="33.28515625" customWidth="1"/>
    <col min="50" max="50" width="14.85546875" customWidth="1"/>
    <col min="51" max="51" width="23.28515625" customWidth="1"/>
    <col min="52" max="52" width="22.85546875" customWidth="1"/>
  </cols>
  <sheetData>
    <row r="2" spans="1:52" ht="15.75" customHeight="1">
      <c r="A2" s="6"/>
      <c r="B2" s="75" t="s">
        <v>24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7"/>
      <c r="Q2" s="75" t="s">
        <v>59</v>
      </c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7"/>
      <c r="AF2" s="75" t="s">
        <v>94</v>
      </c>
      <c r="AG2" s="76"/>
      <c r="AH2" s="76"/>
      <c r="AI2" s="76"/>
      <c r="AJ2" s="76"/>
      <c r="AK2" s="77"/>
      <c r="AL2" s="75" t="s">
        <v>108</v>
      </c>
      <c r="AM2" s="76"/>
      <c r="AN2" s="77"/>
      <c r="AO2" s="75" t="s">
        <v>126</v>
      </c>
      <c r="AP2" s="76"/>
      <c r="AQ2" s="76"/>
      <c r="AR2" s="77"/>
      <c r="AT2" s="20" t="s">
        <v>127</v>
      </c>
      <c r="AU2" s="20" t="s">
        <v>128</v>
      </c>
      <c r="AV2" s="20" t="s">
        <v>129</v>
      </c>
      <c r="AW2" s="73" t="s">
        <v>130</v>
      </c>
      <c r="AX2" s="74"/>
      <c r="AY2" s="74"/>
      <c r="AZ2" s="74"/>
    </row>
    <row r="3" spans="1:52" ht="94.5">
      <c r="A3" s="4" t="s">
        <v>131</v>
      </c>
      <c r="B3" s="7" t="s">
        <v>21</v>
      </c>
      <c r="C3" s="7" t="s">
        <v>25</v>
      </c>
      <c r="D3" s="7" t="s">
        <v>28</v>
      </c>
      <c r="E3" s="7" t="s">
        <v>30</v>
      </c>
      <c r="F3" s="7" t="s">
        <v>32</v>
      </c>
      <c r="G3" s="7" t="s">
        <v>132</v>
      </c>
      <c r="H3" s="7" t="s">
        <v>133</v>
      </c>
      <c r="I3" s="7" t="s">
        <v>43</v>
      </c>
      <c r="J3" s="7" t="s">
        <v>134</v>
      </c>
      <c r="K3" s="7" t="s">
        <v>47</v>
      </c>
      <c r="L3" s="8" t="s">
        <v>48</v>
      </c>
      <c r="M3" s="7" t="s">
        <v>53</v>
      </c>
      <c r="N3" s="7" t="s">
        <v>55</v>
      </c>
      <c r="O3" s="7" t="s">
        <v>56</v>
      </c>
      <c r="P3" s="7" t="s">
        <v>58</v>
      </c>
      <c r="Q3" s="9" t="s">
        <v>135</v>
      </c>
      <c r="R3" s="9" t="s">
        <v>136</v>
      </c>
      <c r="S3" s="9" t="s">
        <v>67</v>
      </c>
      <c r="T3" s="9" t="s">
        <v>70</v>
      </c>
      <c r="U3" s="9" t="s">
        <v>67</v>
      </c>
      <c r="V3" s="9" t="s">
        <v>73</v>
      </c>
      <c r="W3" s="9" t="s">
        <v>67</v>
      </c>
      <c r="X3" s="9" t="s">
        <v>75</v>
      </c>
      <c r="Y3" s="9" t="s">
        <v>67</v>
      </c>
      <c r="Z3" s="9" t="s">
        <v>78</v>
      </c>
      <c r="AA3" s="10" t="s">
        <v>81</v>
      </c>
      <c r="AB3" s="9" t="s">
        <v>84</v>
      </c>
      <c r="AC3" s="9" t="s">
        <v>86</v>
      </c>
      <c r="AD3" s="10" t="s">
        <v>88</v>
      </c>
      <c r="AE3" s="10" t="s">
        <v>91</v>
      </c>
      <c r="AF3" s="11" t="s">
        <v>95</v>
      </c>
      <c r="AG3" s="11" t="s">
        <v>97</v>
      </c>
      <c r="AH3" s="11" t="s">
        <v>100</v>
      </c>
      <c r="AI3" s="11" t="s">
        <v>101</v>
      </c>
      <c r="AJ3" s="11" t="s">
        <v>103</v>
      </c>
      <c r="AK3" s="11" t="s">
        <v>106</v>
      </c>
      <c r="AL3" s="12" t="s">
        <v>109</v>
      </c>
      <c r="AM3" s="12" t="s">
        <v>137</v>
      </c>
      <c r="AN3" s="13" t="s">
        <v>113</v>
      </c>
      <c r="AO3" s="14" t="s">
        <v>117</v>
      </c>
      <c r="AP3" s="14" t="s">
        <v>120</v>
      </c>
      <c r="AQ3" s="14" t="s">
        <v>122</v>
      </c>
      <c r="AR3" s="14" t="s">
        <v>124</v>
      </c>
    </row>
    <row r="4" spans="1:52" s="43" customFormat="1" ht="31.5">
      <c r="A4" s="40" t="s">
        <v>138</v>
      </c>
      <c r="B4" s="8" t="s">
        <v>139</v>
      </c>
      <c r="C4" s="8" t="s">
        <v>140</v>
      </c>
      <c r="D4" s="8" t="s">
        <v>141</v>
      </c>
      <c r="E4" s="8" t="s">
        <v>142</v>
      </c>
      <c r="F4" s="8" t="s">
        <v>143</v>
      </c>
      <c r="G4" s="8" t="s">
        <v>144</v>
      </c>
      <c r="H4" s="8" t="s">
        <v>145</v>
      </c>
      <c r="I4" s="8" t="s">
        <v>146</v>
      </c>
      <c r="J4" s="8" t="s">
        <v>147</v>
      </c>
      <c r="K4" s="8" t="s">
        <v>148</v>
      </c>
      <c r="L4" s="8" t="s">
        <v>149</v>
      </c>
      <c r="M4" s="8" t="s">
        <v>150</v>
      </c>
      <c r="N4" s="8" t="s">
        <v>151</v>
      </c>
      <c r="O4" s="8" t="s">
        <v>152</v>
      </c>
      <c r="P4" s="8" t="s">
        <v>153</v>
      </c>
      <c r="Q4" s="10" t="s">
        <v>154</v>
      </c>
      <c r="R4" s="10" t="s">
        <v>155</v>
      </c>
      <c r="S4" s="10" t="s">
        <v>156</v>
      </c>
      <c r="T4" s="10" t="s">
        <v>157</v>
      </c>
      <c r="U4" s="10" t="s">
        <v>158</v>
      </c>
      <c r="V4" s="10" t="s">
        <v>159</v>
      </c>
      <c r="W4" s="10" t="s">
        <v>160</v>
      </c>
      <c r="X4" s="10" t="s">
        <v>161</v>
      </c>
      <c r="Y4" s="10" t="s">
        <v>162</v>
      </c>
      <c r="Z4" s="10" t="s">
        <v>163</v>
      </c>
      <c r="AA4" s="10" t="s">
        <v>164</v>
      </c>
      <c r="AB4" s="10" t="s">
        <v>165</v>
      </c>
      <c r="AC4" s="10" t="s">
        <v>166</v>
      </c>
      <c r="AD4" s="10" t="s">
        <v>167</v>
      </c>
      <c r="AE4" s="10" t="s">
        <v>168</v>
      </c>
      <c r="AF4" s="41" t="s">
        <v>169</v>
      </c>
      <c r="AG4" s="41" t="s">
        <v>170</v>
      </c>
      <c r="AH4" s="41" t="s">
        <v>171</v>
      </c>
      <c r="AI4" s="41" t="s">
        <v>172</v>
      </c>
      <c r="AJ4" s="41" t="s">
        <v>173</v>
      </c>
      <c r="AK4" s="41" t="s">
        <v>174</v>
      </c>
      <c r="AL4" s="13" t="s">
        <v>175</v>
      </c>
      <c r="AM4" s="13" t="s">
        <v>176</v>
      </c>
      <c r="AN4" s="13" t="s">
        <v>177</v>
      </c>
      <c r="AO4" s="42" t="s">
        <v>178</v>
      </c>
      <c r="AP4" s="42" t="s">
        <v>179</v>
      </c>
      <c r="AQ4" s="42" t="s">
        <v>180</v>
      </c>
      <c r="AR4" s="42" t="s">
        <v>181</v>
      </c>
      <c r="AS4" s="43" t="s">
        <v>182</v>
      </c>
      <c r="AT4" s="44" t="s">
        <v>183</v>
      </c>
      <c r="AU4" s="45" t="s">
        <v>184</v>
      </c>
      <c r="AV4" s="46" t="s">
        <v>185</v>
      </c>
      <c r="AW4" s="47" t="s">
        <v>186</v>
      </c>
      <c r="AX4" s="43" t="s">
        <v>187</v>
      </c>
      <c r="AY4" s="47" t="s">
        <v>188</v>
      </c>
      <c r="AZ4" s="47" t="s">
        <v>189</v>
      </c>
    </row>
    <row r="5" spans="1:52" s="17" customFormat="1">
      <c r="A5" s="38">
        <v>109</v>
      </c>
      <c r="B5" s="15" t="s">
        <v>190</v>
      </c>
      <c r="C5" s="15" t="s">
        <v>191</v>
      </c>
      <c r="D5" s="15">
        <v>2</v>
      </c>
      <c r="E5" s="15" t="s">
        <v>192</v>
      </c>
      <c r="F5" s="15" t="s">
        <v>192</v>
      </c>
      <c r="G5" s="15">
        <v>0</v>
      </c>
      <c r="H5" s="15">
        <v>23.8</v>
      </c>
      <c r="I5" s="15">
        <v>47.3</v>
      </c>
      <c r="J5" s="15">
        <v>40</v>
      </c>
      <c r="K5" s="15">
        <v>4</v>
      </c>
      <c r="L5" s="35">
        <f t="shared" ref="L5:L36" si="0">K5/J5</f>
        <v>0.1</v>
      </c>
      <c r="M5" s="15" t="s">
        <v>191</v>
      </c>
      <c r="N5" s="15" t="s">
        <v>191</v>
      </c>
      <c r="O5" s="15" t="s">
        <v>193</v>
      </c>
      <c r="P5" s="15" t="s">
        <v>191</v>
      </c>
      <c r="Q5" s="15">
        <v>94</v>
      </c>
      <c r="R5" s="15"/>
      <c r="S5" s="15"/>
      <c r="T5" s="15">
        <v>80</v>
      </c>
      <c r="U5" s="15">
        <f>(((80000/4900))/(I5*AF5))*100</f>
        <v>8.6292445096431809</v>
      </c>
      <c r="V5" s="15"/>
      <c r="W5" s="15"/>
      <c r="X5" s="15">
        <v>14</v>
      </c>
      <c r="Y5" s="15"/>
      <c r="Z5" s="15">
        <v>1</v>
      </c>
      <c r="AA5" s="32">
        <f t="shared" ref="AA5:AA36" si="1">I5/Q5</f>
        <v>0.5031914893617021</v>
      </c>
      <c r="AB5" s="15">
        <v>65</v>
      </c>
      <c r="AC5" s="15">
        <v>3</v>
      </c>
      <c r="AD5" s="36">
        <f>AC5/AB5</f>
        <v>4.6153846153846156E-2</v>
      </c>
      <c r="AE5" s="33">
        <f>Q5/AB5</f>
        <v>1.4461538461538461</v>
      </c>
      <c r="AF5" s="15">
        <v>4</v>
      </c>
      <c r="AG5" s="15">
        <v>1</v>
      </c>
      <c r="AH5" s="15">
        <v>1</v>
      </c>
      <c r="AI5" s="15">
        <v>1</v>
      </c>
      <c r="AJ5" s="15" t="s">
        <v>194</v>
      </c>
      <c r="AK5" s="15">
        <v>15</v>
      </c>
      <c r="AL5" s="15">
        <v>16000</v>
      </c>
      <c r="AM5" s="33">
        <f>0.75*AL5</f>
        <v>12000</v>
      </c>
      <c r="AN5" s="33">
        <f>AL5/Q5</f>
        <v>170.21276595744681</v>
      </c>
      <c r="AO5" s="15" t="s">
        <v>195</v>
      </c>
      <c r="AP5" s="15" t="s">
        <v>195</v>
      </c>
      <c r="AQ5" s="15" t="s">
        <v>195</v>
      </c>
      <c r="AR5" s="15"/>
      <c r="AT5" s="17" t="s">
        <v>190</v>
      </c>
      <c r="AV5" s="23">
        <v>45419</v>
      </c>
      <c r="AW5" t="s">
        <v>196</v>
      </c>
      <c r="AX5" s="17" t="s">
        <v>191</v>
      </c>
      <c r="AY5" s="19" t="s">
        <v>197</v>
      </c>
      <c r="AZ5" s="19" t="s">
        <v>197</v>
      </c>
    </row>
    <row r="6" spans="1:52" ht="15.75">
      <c r="A6" s="38">
        <v>126</v>
      </c>
      <c r="B6" s="15" t="s">
        <v>198</v>
      </c>
      <c r="C6" s="34" t="s">
        <v>191</v>
      </c>
      <c r="D6" s="34">
        <v>2</v>
      </c>
      <c r="E6" s="15" t="s">
        <v>199</v>
      </c>
      <c r="F6" s="15" t="s">
        <v>199</v>
      </c>
      <c r="G6" s="15">
        <v>0</v>
      </c>
      <c r="H6" s="15">
        <v>20.3</v>
      </c>
      <c r="I6" s="15">
        <v>35</v>
      </c>
      <c r="J6" s="15">
        <v>50</v>
      </c>
      <c r="K6" s="15">
        <v>4</v>
      </c>
      <c r="L6" s="35">
        <f t="shared" si="0"/>
        <v>0.08</v>
      </c>
      <c r="M6" s="15" t="s">
        <v>191</v>
      </c>
      <c r="N6" s="15" t="s">
        <v>195</v>
      </c>
      <c r="O6" s="15"/>
      <c r="P6" s="34" t="s">
        <v>191</v>
      </c>
      <c r="Q6" s="15">
        <v>40</v>
      </c>
      <c r="R6" s="15"/>
      <c r="S6" s="15"/>
      <c r="T6" s="15">
        <v>25</v>
      </c>
      <c r="U6" s="15"/>
      <c r="V6" s="15"/>
      <c r="W6" s="15"/>
      <c r="X6" s="15">
        <v>15</v>
      </c>
      <c r="Y6" s="15">
        <f>(((80000/4900))/(I6*AF6))*100</f>
        <v>11.661807580174928</v>
      </c>
      <c r="Z6" s="15">
        <v>2</v>
      </c>
      <c r="AA6" s="32">
        <f t="shared" si="1"/>
        <v>0.875</v>
      </c>
      <c r="AB6" s="15">
        <v>36</v>
      </c>
      <c r="AC6" s="15">
        <v>3</v>
      </c>
      <c r="AD6" s="36">
        <f>AC6/AB6</f>
        <v>8.3333333333333329E-2</v>
      </c>
      <c r="AE6" s="33">
        <f>Q6/AB6</f>
        <v>1.1111111111111112</v>
      </c>
      <c r="AF6" s="15">
        <v>4</v>
      </c>
      <c r="AG6" s="15">
        <v>1</v>
      </c>
      <c r="AH6" s="15">
        <v>1</v>
      </c>
      <c r="AI6" s="15">
        <v>1</v>
      </c>
      <c r="AJ6" s="15" t="s">
        <v>194</v>
      </c>
      <c r="AK6" s="15">
        <v>15</v>
      </c>
      <c r="AL6" s="15">
        <v>8500</v>
      </c>
      <c r="AM6" s="33">
        <f>0.75*AL6</f>
        <v>6375</v>
      </c>
      <c r="AN6" s="33">
        <f>AL6/Q6</f>
        <v>212.5</v>
      </c>
      <c r="AO6" s="15" t="s">
        <v>195</v>
      </c>
      <c r="AP6" s="15"/>
      <c r="AQ6" s="15" t="s">
        <v>195</v>
      </c>
      <c r="AR6" s="15"/>
      <c r="AU6" t="s">
        <v>200</v>
      </c>
      <c r="AV6" s="23">
        <v>45425</v>
      </c>
      <c r="AW6" t="s">
        <v>201</v>
      </c>
      <c r="AX6" t="s">
        <v>191</v>
      </c>
      <c r="AY6" t="s">
        <v>197</v>
      </c>
      <c r="AZ6" t="s">
        <v>202</v>
      </c>
    </row>
    <row r="7" spans="1:52">
      <c r="A7" s="38" t="s">
        <v>203</v>
      </c>
      <c r="B7" s="15" t="s">
        <v>204</v>
      </c>
      <c r="C7" s="15" t="s">
        <v>195</v>
      </c>
      <c r="D7" s="15">
        <v>1</v>
      </c>
      <c r="E7" s="15" t="s">
        <v>205</v>
      </c>
      <c r="F7" s="15" t="s">
        <v>206</v>
      </c>
      <c r="G7" s="15">
        <v>1</v>
      </c>
      <c r="H7" s="15">
        <v>6.5</v>
      </c>
      <c r="I7" s="15">
        <v>12</v>
      </c>
      <c r="J7" s="15">
        <v>28</v>
      </c>
      <c r="K7" s="15">
        <v>2</v>
      </c>
      <c r="L7" s="35">
        <f t="shared" si="0"/>
        <v>7.1428571428571425E-2</v>
      </c>
      <c r="M7" s="15" t="s">
        <v>195</v>
      </c>
      <c r="N7" s="15" t="s">
        <v>191</v>
      </c>
      <c r="O7" s="15" t="s">
        <v>193</v>
      </c>
      <c r="P7" s="15" t="s">
        <v>195</v>
      </c>
      <c r="Q7" s="15">
        <v>22</v>
      </c>
      <c r="R7" s="15">
        <v>2</v>
      </c>
      <c r="S7" s="15"/>
      <c r="T7" s="15">
        <v>4</v>
      </c>
      <c r="U7" s="15"/>
      <c r="V7" s="15"/>
      <c r="W7" s="15"/>
      <c r="X7" s="15">
        <v>16</v>
      </c>
      <c r="Y7" s="15">
        <f>(((80000/4900))/(I7*AF7))*100</f>
        <v>17.006802721088434</v>
      </c>
      <c r="Z7" s="15">
        <v>0</v>
      </c>
      <c r="AA7" s="32">
        <f t="shared" si="1"/>
        <v>0.54545454545454541</v>
      </c>
      <c r="AB7" s="15">
        <v>20</v>
      </c>
      <c r="AC7" s="15"/>
      <c r="AD7" s="35">
        <v>0</v>
      </c>
      <c r="AE7" s="33">
        <f>Q7/AB7</f>
        <v>1.1000000000000001</v>
      </c>
      <c r="AF7" s="15">
        <v>8</v>
      </c>
      <c r="AG7" s="15">
        <v>1</v>
      </c>
      <c r="AH7" s="15">
        <v>0</v>
      </c>
      <c r="AI7" s="15">
        <v>1</v>
      </c>
      <c r="AJ7" s="15" t="s">
        <v>207</v>
      </c>
      <c r="AK7" s="15">
        <v>16</v>
      </c>
      <c r="AL7" s="15">
        <v>10000</v>
      </c>
      <c r="AM7" s="33">
        <f>0.75*AL7</f>
        <v>7500</v>
      </c>
      <c r="AN7" s="33">
        <f>AL7/Q7</f>
        <v>454.54545454545456</v>
      </c>
      <c r="AO7" s="15" t="s">
        <v>195</v>
      </c>
      <c r="AP7" s="15" t="s">
        <v>195</v>
      </c>
      <c r="AQ7" s="15" t="s">
        <v>195</v>
      </c>
      <c r="AR7" s="15"/>
      <c r="AT7" t="s">
        <v>204</v>
      </c>
      <c r="AV7" s="23">
        <v>45422</v>
      </c>
      <c r="AW7" t="s">
        <v>208</v>
      </c>
      <c r="AX7" t="s">
        <v>191</v>
      </c>
      <c r="AY7" t="s">
        <v>197</v>
      </c>
      <c r="AZ7" t="s">
        <v>197</v>
      </c>
    </row>
    <row r="8" spans="1:52" s="26" customFormat="1" ht="45">
      <c r="A8" s="38" t="s">
        <v>209</v>
      </c>
      <c r="B8" s="15" t="s">
        <v>210</v>
      </c>
      <c r="C8" s="15" t="s">
        <v>191</v>
      </c>
      <c r="D8" s="15">
        <v>3</v>
      </c>
      <c r="E8" s="15" t="s">
        <v>211</v>
      </c>
      <c r="F8" s="15" t="s">
        <v>212</v>
      </c>
      <c r="G8" s="15">
        <v>2</v>
      </c>
      <c r="H8" s="15">
        <v>23.3</v>
      </c>
      <c r="I8" s="15">
        <v>35.6</v>
      </c>
      <c r="J8" s="15">
        <v>49</v>
      </c>
      <c r="K8" s="15">
        <v>3</v>
      </c>
      <c r="L8" s="35">
        <f t="shared" si="0"/>
        <v>6.1224489795918366E-2</v>
      </c>
      <c r="M8" s="15" t="s">
        <v>191</v>
      </c>
      <c r="N8" s="15" t="s">
        <v>191</v>
      </c>
      <c r="O8" s="16" t="s">
        <v>213</v>
      </c>
      <c r="P8" s="15" t="s">
        <v>195</v>
      </c>
      <c r="Q8" s="15">
        <v>45</v>
      </c>
      <c r="R8" s="15"/>
      <c r="S8" s="15"/>
      <c r="T8" s="15">
        <v>45</v>
      </c>
      <c r="U8" s="15">
        <f>(((140000/4900))/(I8*AF8))*100</f>
        <v>11.465260261407934</v>
      </c>
      <c r="V8" s="15"/>
      <c r="W8" s="15"/>
      <c r="X8" s="15"/>
      <c r="Y8" s="15"/>
      <c r="Z8" s="15" t="s">
        <v>214</v>
      </c>
      <c r="AA8" s="32">
        <f t="shared" si="1"/>
        <v>0.7911111111111111</v>
      </c>
      <c r="AB8" s="15" t="s">
        <v>214</v>
      </c>
      <c r="AC8" s="15">
        <v>2</v>
      </c>
      <c r="AD8" s="35"/>
      <c r="AE8" s="33"/>
      <c r="AF8" s="15">
        <v>7</v>
      </c>
      <c r="AG8" s="15">
        <v>1</v>
      </c>
      <c r="AH8" s="15">
        <v>1</v>
      </c>
      <c r="AI8" s="15">
        <v>0</v>
      </c>
      <c r="AJ8" s="15" t="s">
        <v>215</v>
      </c>
      <c r="AK8" s="15">
        <v>15</v>
      </c>
      <c r="AL8" s="15">
        <v>7500</v>
      </c>
      <c r="AM8" s="33">
        <f>0.75*AL8</f>
        <v>5625</v>
      </c>
      <c r="AN8" s="33">
        <f>AL8/Q8</f>
        <v>166.66666666666666</v>
      </c>
      <c r="AO8" s="15" t="s">
        <v>195</v>
      </c>
      <c r="AP8" s="15" t="s">
        <v>195</v>
      </c>
      <c r="AQ8" s="15" t="s">
        <v>195</v>
      </c>
      <c r="AR8" s="15"/>
      <c r="AU8" s="29">
        <v>45462</v>
      </c>
      <c r="AV8" s="25">
        <v>45419</v>
      </c>
      <c r="AW8" s="26" t="s">
        <v>216</v>
      </c>
      <c r="AX8" s="26" t="s">
        <v>195</v>
      </c>
      <c r="AY8" s="26" t="s">
        <v>197</v>
      </c>
      <c r="AZ8" s="26" t="s">
        <v>197</v>
      </c>
    </row>
    <row r="9" spans="1:52" ht="15.75">
      <c r="A9" s="38" t="s">
        <v>217</v>
      </c>
      <c r="B9" s="15" t="s">
        <v>218</v>
      </c>
      <c r="C9" s="34" t="s">
        <v>195</v>
      </c>
      <c r="D9" s="34">
        <v>1</v>
      </c>
      <c r="E9" s="15" t="s">
        <v>219</v>
      </c>
      <c r="F9" s="15" t="s">
        <v>220</v>
      </c>
      <c r="G9" s="15">
        <v>0</v>
      </c>
      <c r="H9" s="15">
        <v>8.6999999999999993</v>
      </c>
      <c r="I9" s="15">
        <v>17</v>
      </c>
      <c r="J9" s="15">
        <v>18</v>
      </c>
      <c r="K9" s="15">
        <v>5</v>
      </c>
      <c r="L9" s="35">
        <f t="shared" si="0"/>
        <v>0.27777777777777779</v>
      </c>
      <c r="M9" s="15" t="s">
        <v>195</v>
      </c>
      <c r="N9" s="15" t="s">
        <v>195</v>
      </c>
      <c r="O9" s="15"/>
      <c r="P9" s="34" t="s">
        <v>195</v>
      </c>
      <c r="Q9" s="15">
        <v>17</v>
      </c>
      <c r="R9" s="15"/>
      <c r="S9" s="15"/>
      <c r="T9" s="15"/>
      <c r="U9" s="15">
        <f>(((200000/4900))/(I9*AF9))*100</f>
        <v>30.012004801920767</v>
      </c>
      <c r="V9" s="15"/>
      <c r="W9" s="15"/>
      <c r="X9" s="15"/>
      <c r="Y9" s="15"/>
      <c r="Z9" s="15"/>
      <c r="AA9" s="32">
        <f t="shared" si="1"/>
        <v>1</v>
      </c>
      <c r="AB9" s="15"/>
      <c r="AC9" s="15"/>
      <c r="AD9" s="36"/>
      <c r="AE9" s="33"/>
      <c r="AF9" s="15">
        <v>8</v>
      </c>
      <c r="AG9" s="15">
        <v>1</v>
      </c>
      <c r="AH9" s="15">
        <v>1</v>
      </c>
      <c r="AI9" s="15">
        <v>0</v>
      </c>
      <c r="AJ9" s="15" t="s">
        <v>221</v>
      </c>
      <c r="AK9" s="15">
        <v>15</v>
      </c>
      <c r="AL9" s="15"/>
      <c r="AM9" s="33"/>
      <c r="AN9" s="33"/>
      <c r="AO9" s="15" t="s">
        <v>195</v>
      </c>
      <c r="AP9" s="15"/>
      <c r="AQ9" s="15" t="s">
        <v>195</v>
      </c>
      <c r="AR9" s="15"/>
      <c r="AV9" s="23">
        <v>45420</v>
      </c>
      <c r="AW9" t="s">
        <v>222</v>
      </c>
      <c r="AX9" t="s">
        <v>195</v>
      </c>
      <c r="AY9" t="s">
        <v>197</v>
      </c>
      <c r="AZ9" t="s">
        <v>197</v>
      </c>
    </row>
    <row r="10" spans="1:52">
      <c r="A10" s="38" t="s">
        <v>223</v>
      </c>
      <c r="B10" s="15" t="s">
        <v>224</v>
      </c>
      <c r="C10" s="15" t="s">
        <v>195</v>
      </c>
      <c r="D10" s="15">
        <v>1</v>
      </c>
      <c r="E10" s="15" t="s">
        <v>225</v>
      </c>
      <c r="F10" s="15" t="s">
        <v>226</v>
      </c>
      <c r="G10" s="15">
        <v>1</v>
      </c>
      <c r="H10" s="15">
        <v>3.6</v>
      </c>
      <c r="I10" s="15">
        <v>7.2</v>
      </c>
      <c r="J10" s="15">
        <v>9</v>
      </c>
      <c r="K10" s="15">
        <v>1</v>
      </c>
      <c r="L10" s="35">
        <f t="shared" si="0"/>
        <v>0.1111111111111111</v>
      </c>
      <c r="M10" s="15" t="s">
        <v>195</v>
      </c>
      <c r="N10" s="15" t="s">
        <v>195</v>
      </c>
      <c r="O10" s="15"/>
      <c r="P10" s="15" t="s">
        <v>195</v>
      </c>
      <c r="Q10" s="15">
        <v>25</v>
      </c>
      <c r="R10" s="15">
        <v>25</v>
      </c>
      <c r="S10" s="15">
        <f>(((50000/4900))/(AF10*I10))*100</f>
        <v>14.172335600907029</v>
      </c>
      <c r="T10" s="15"/>
      <c r="U10" s="15"/>
      <c r="V10" s="15"/>
      <c r="W10" s="15"/>
      <c r="X10" s="15"/>
      <c r="Y10" s="15"/>
      <c r="Z10" s="15">
        <v>2</v>
      </c>
      <c r="AA10" s="32">
        <f t="shared" si="1"/>
        <v>0.28800000000000003</v>
      </c>
      <c r="AB10" s="15">
        <v>20</v>
      </c>
      <c r="AC10" s="15">
        <v>4</v>
      </c>
      <c r="AD10" s="36">
        <f t="shared" ref="AD10:AD17" si="2">AC10/AB10</f>
        <v>0.2</v>
      </c>
      <c r="AE10" s="33">
        <f t="shared" ref="AE10:AE17" si="3">Q10/AB10</f>
        <v>1.25</v>
      </c>
      <c r="AF10" s="15">
        <v>10</v>
      </c>
      <c r="AG10" s="15">
        <v>1</v>
      </c>
      <c r="AH10" s="15">
        <v>0</v>
      </c>
      <c r="AI10" s="15">
        <v>0</v>
      </c>
      <c r="AJ10" s="15" t="s">
        <v>227</v>
      </c>
      <c r="AK10" s="15">
        <v>16</v>
      </c>
      <c r="AL10" s="15">
        <v>2700</v>
      </c>
      <c r="AM10" s="33">
        <f t="shared" ref="AM10:AM17" si="4">0.75*AL10</f>
        <v>2025</v>
      </c>
      <c r="AN10" s="33">
        <f t="shared" ref="AN10:AN17" si="5">AL10/Q10</f>
        <v>108</v>
      </c>
      <c r="AO10" s="15" t="s">
        <v>195</v>
      </c>
      <c r="AP10" s="15" t="s">
        <v>191</v>
      </c>
      <c r="AQ10" s="15" t="s">
        <v>191</v>
      </c>
      <c r="AR10" s="15"/>
      <c r="AU10" s="27">
        <v>45462</v>
      </c>
      <c r="AV10" s="23">
        <v>45425</v>
      </c>
      <c r="AW10" t="s">
        <v>228</v>
      </c>
      <c r="AX10" t="s">
        <v>195</v>
      </c>
      <c r="AY10" t="s">
        <v>229</v>
      </c>
      <c r="AZ10" t="s">
        <v>229</v>
      </c>
    </row>
    <row r="11" spans="1:52" s="26" customFormat="1" ht="45">
      <c r="A11" s="38" t="s">
        <v>230</v>
      </c>
      <c r="B11" s="15" t="s">
        <v>231</v>
      </c>
      <c r="C11" s="15" t="s">
        <v>191</v>
      </c>
      <c r="D11" s="15">
        <v>3</v>
      </c>
      <c r="E11" s="15" t="s">
        <v>232</v>
      </c>
      <c r="F11" s="15" t="s">
        <v>206</v>
      </c>
      <c r="G11" s="15">
        <v>0</v>
      </c>
      <c r="H11" s="15">
        <v>13.7</v>
      </c>
      <c r="I11" s="15">
        <v>20.9</v>
      </c>
      <c r="J11" s="15">
        <v>32</v>
      </c>
      <c r="K11" s="15">
        <v>2</v>
      </c>
      <c r="L11" s="35">
        <f t="shared" si="0"/>
        <v>6.25E-2</v>
      </c>
      <c r="M11" s="15" t="s">
        <v>191</v>
      </c>
      <c r="N11" s="15" t="s">
        <v>191</v>
      </c>
      <c r="O11" s="16" t="s">
        <v>233</v>
      </c>
      <c r="P11" s="15" t="s">
        <v>195</v>
      </c>
      <c r="Q11" s="15">
        <v>40</v>
      </c>
      <c r="R11" s="15"/>
      <c r="S11" s="15"/>
      <c r="T11" s="15">
        <v>25</v>
      </c>
      <c r="U11" s="15">
        <f>(((190000/4900))/(I11*AF11))*100</f>
        <v>18.55287569573284</v>
      </c>
      <c r="V11" s="15"/>
      <c r="W11" s="15"/>
      <c r="X11" s="15">
        <v>15</v>
      </c>
      <c r="Y11" s="15"/>
      <c r="Z11" s="15"/>
      <c r="AA11" s="32">
        <f t="shared" si="1"/>
        <v>0.52249999999999996</v>
      </c>
      <c r="AB11" s="15">
        <v>17</v>
      </c>
      <c r="AC11" s="15">
        <v>0</v>
      </c>
      <c r="AD11" s="35">
        <f t="shared" si="2"/>
        <v>0</v>
      </c>
      <c r="AE11" s="33">
        <f t="shared" si="3"/>
        <v>2.3529411764705883</v>
      </c>
      <c r="AF11" s="15">
        <v>10</v>
      </c>
      <c r="AG11" s="15">
        <v>1</v>
      </c>
      <c r="AH11" s="15">
        <v>0</v>
      </c>
      <c r="AI11" s="15">
        <v>1</v>
      </c>
      <c r="AJ11" s="15" t="s">
        <v>221</v>
      </c>
      <c r="AK11" s="15">
        <v>15</v>
      </c>
      <c r="AL11" s="15">
        <v>18000</v>
      </c>
      <c r="AM11" s="33">
        <f t="shared" si="4"/>
        <v>13500</v>
      </c>
      <c r="AN11" s="33">
        <f t="shared" si="5"/>
        <v>450</v>
      </c>
      <c r="AO11" s="15" t="s">
        <v>195</v>
      </c>
      <c r="AP11" s="15" t="s">
        <v>195</v>
      </c>
      <c r="AQ11" s="15" t="s">
        <v>195</v>
      </c>
      <c r="AR11" s="15"/>
      <c r="AV11" s="25">
        <v>45422</v>
      </c>
      <c r="AW11" s="26" t="s">
        <v>234</v>
      </c>
      <c r="AX11" s="26" t="s">
        <v>191</v>
      </c>
      <c r="AY11" s="26" t="s">
        <v>197</v>
      </c>
      <c r="AZ11" s="26" t="s">
        <v>197</v>
      </c>
    </row>
    <row r="12" spans="1:52">
      <c r="A12" s="38" t="s">
        <v>235</v>
      </c>
      <c r="B12" s="15" t="s">
        <v>236</v>
      </c>
      <c r="C12" s="15" t="s">
        <v>195</v>
      </c>
      <c r="D12" s="15">
        <v>1</v>
      </c>
      <c r="E12" s="15" t="s">
        <v>237</v>
      </c>
      <c r="F12" s="15" t="s">
        <v>238</v>
      </c>
      <c r="G12" s="15">
        <v>0</v>
      </c>
      <c r="H12" s="15">
        <v>14.5</v>
      </c>
      <c r="I12" s="15">
        <v>29</v>
      </c>
      <c r="J12" s="15">
        <v>20</v>
      </c>
      <c r="K12" s="15">
        <v>4</v>
      </c>
      <c r="L12" s="35">
        <f t="shared" si="0"/>
        <v>0.2</v>
      </c>
      <c r="M12" s="15" t="s">
        <v>191</v>
      </c>
      <c r="N12" s="15" t="s">
        <v>191</v>
      </c>
      <c r="O12" s="15" t="s">
        <v>193</v>
      </c>
      <c r="P12" s="15" t="s">
        <v>195</v>
      </c>
      <c r="Q12" s="15">
        <v>105</v>
      </c>
      <c r="R12" s="15"/>
      <c r="S12" s="15"/>
      <c r="T12" s="15">
        <v>5</v>
      </c>
      <c r="U12" s="15">
        <f>(((100000/4900))/(I12*AF12))*100</f>
        <v>14.074595355383531</v>
      </c>
      <c r="V12" s="15"/>
      <c r="W12" s="15"/>
      <c r="X12" s="15">
        <v>100</v>
      </c>
      <c r="Y12" s="15"/>
      <c r="Z12" s="15">
        <v>0</v>
      </c>
      <c r="AA12" s="32">
        <f t="shared" si="1"/>
        <v>0.27619047619047621</v>
      </c>
      <c r="AB12" s="15">
        <v>25</v>
      </c>
      <c r="AC12" s="15">
        <v>2</v>
      </c>
      <c r="AD12" s="35">
        <f t="shared" si="2"/>
        <v>0.08</v>
      </c>
      <c r="AE12" s="33">
        <f t="shared" si="3"/>
        <v>4.2</v>
      </c>
      <c r="AF12" s="15">
        <v>5</v>
      </c>
      <c r="AG12" s="15">
        <v>1</v>
      </c>
      <c r="AH12" s="15">
        <v>0</v>
      </c>
      <c r="AI12" s="15">
        <v>1</v>
      </c>
      <c r="AJ12" s="15" t="s">
        <v>227</v>
      </c>
      <c r="AK12" s="15">
        <v>16</v>
      </c>
      <c r="AL12" s="15">
        <v>23000</v>
      </c>
      <c r="AM12" s="33">
        <f t="shared" si="4"/>
        <v>17250</v>
      </c>
      <c r="AN12" s="33">
        <f t="shared" si="5"/>
        <v>219.04761904761904</v>
      </c>
      <c r="AO12" s="15" t="s">
        <v>195</v>
      </c>
      <c r="AP12" s="15" t="s">
        <v>195</v>
      </c>
      <c r="AQ12" s="15" t="s">
        <v>191</v>
      </c>
      <c r="AR12" s="15"/>
      <c r="AU12" s="27">
        <v>45463</v>
      </c>
      <c r="AV12" s="23">
        <v>45420</v>
      </c>
      <c r="AW12" t="s">
        <v>239</v>
      </c>
      <c r="AX12" t="s">
        <v>191</v>
      </c>
      <c r="AY12" t="s">
        <v>197</v>
      </c>
      <c r="AZ12" t="s">
        <v>197</v>
      </c>
    </row>
    <row r="13" spans="1:52" s="26" customFormat="1" ht="45">
      <c r="A13" s="38" t="s">
        <v>240</v>
      </c>
      <c r="B13" s="15" t="s">
        <v>231</v>
      </c>
      <c r="C13" s="15" t="s">
        <v>191</v>
      </c>
      <c r="D13" s="15">
        <v>2</v>
      </c>
      <c r="E13" s="15" t="s">
        <v>241</v>
      </c>
      <c r="F13" s="15" t="s">
        <v>206</v>
      </c>
      <c r="G13" s="15">
        <v>0</v>
      </c>
      <c r="H13" s="15">
        <v>11.3</v>
      </c>
      <c r="I13" s="15">
        <v>21.6</v>
      </c>
      <c r="J13" s="15">
        <v>30</v>
      </c>
      <c r="K13" s="15">
        <v>0</v>
      </c>
      <c r="L13" s="35">
        <f t="shared" si="0"/>
        <v>0</v>
      </c>
      <c r="M13" s="15" t="s">
        <v>191</v>
      </c>
      <c r="N13" s="15" t="s">
        <v>191</v>
      </c>
      <c r="O13" s="16" t="s">
        <v>233</v>
      </c>
      <c r="P13" s="15" t="s">
        <v>195</v>
      </c>
      <c r="Q13" s="15">
        <v>42</v>
      </c>
      <c r="R13" s="15"/>
      <c r="S13" s="15"/>
      <c r="T13" s="15">
        <v>16</v>
      </c>
      <c r="U13" s="15"/>
      <c r="V13" s="15"/>
      <c r="W13" s="15"/>
      <c r="X13" s="15">
        <v>26</v>
      </c>
      <c r="Y13" s="15">
        <f>(((100000/4900))/(I13*AF13))*100</f>
        <v>15.747039556563363</v>
      </c>
      <c r="Z13" s="15">
        <v>1</v>
      </c>
      <c r="AA13" s="32">
        <f t="shared" si="1"/>
        <v>0.51428571428571435</v>
      </c>
      <c r="AB13" s="15">
        <v>20</v>
      </c>
      <c r="AC13" s="15">
        <v>0</v>
      </c>
      <c r="AD13" s="35">
        <f t="shared" si="2"/>
        <v>0</v>
      </c>
      <c r="AE13" s="33">
        <f t="shared" si="3"/>
        <v>2.1</v>
      </c>
      <c r="AF13" s="15">
        <v>6</v>
      </c>
      <c r="AG13" s="15">
        <v>1</v>
      </c>
      <c r="AH13" s="15">
        <v>0</v>
      </c>
      <c r="AI13" s="15">
        <v>1</v>
      </c>
      <c r="AJ13" s="15" t="s">
        <v>221</v>
      </c>
      <c r="AK13" s="15">
        <v>15</v>
      </c>
      <c r="AL13" s="15">
        <v>11500</v>
      </c>
      <c r="AM13" s="33">
        <f t="shared" si="4"/>
        <v>8625</v>
      </c>
      <c r="AN13" s="33">
        <f t="shared" si="5"/>
        <v>273.8095238095238</v>
      </c>
      <c r="AO13" s="15" t="s">
        <v>191</v>
      </c>
      <c r="AP13" s="15" t="s">
        <v>195</v>
      </c>
      <c r="AQ13" s="15" t="s">
        <v>195</v>
      </c>
      <c r="AR13" s="15"/>
      <c r="AU13" s="29">
        <v>45463</v>
      </c>
      <c r="AV13" s="25">
        <v>45422</v>
      </c>
      <c r="AW13" s="26" t="s">
        <v>242</v>
      </c>
      <c r="AX13" s="26" t="s">
        <v>191</v>
      </c>
      <c r="AY13" s="26" t="s">
        <v>197</v>
      </c>
      <c r="AZ13" s="26" t="s">
        <v>197</v>
      </c>
    </row>
    <row r="14" spans="1:52">
      <c r="A14" s="38" t="s">
        <v>243</v>
      </c>
      <c r="B14" s="15" t="s">
        <v>244</v>
      </c>
      <c r="C14" s="15" t="s">
        <v>191</v>
      </c>
      <c r="D14" s="15">
        <v>4</v>
      </c>
      <c r="E14" s="15" t="s">
        <v>245</v>
      </c>
      <c r="F14" s="15" t="s">
        <v>246</v>
      </c>
      <c r="G14" s="15">
        <v>0</v>
      </c>
      <c r="H14" s="15">
        <v>9.5</v>
      </c>
      <c r="I14" s="15">
        <v>18.899999999999999</v>
      </c>
      <c r="J14" s="15">
        <v>40</v>
      </c>
      <c r="K14" s="15">
        <v>2</v>
      </c>
      <c r="L14" s="35">
        <f t="shared" si="0"/>
        <v>0.05</v>
      </c>
      <c r="M14" s="15" t="s">
        <v>191</v>
      </c>
      <c r="N14" s="15" t="s">
        <v>191</v>
      </c>
      <c r="O14" s="15" t="s">
        <v>193</v>
      </c>
      <c r="P14" s="15" t="s">
        <v>195</v>
      </c>
      <c r="Q14" s="15">
        <v>45</v>
      </c>
      <c r="R14" s="15">
        <v>40</v>
      </c>
      <c r="S14" s="15"/>
      <c r="T14" s="15">
        <v>5</v>
      </c>
      <c r="U14" s="15">
        <f>(((120000/4900))/(I14*AF14))*100</f>
        <v>18.510805682817345</v>
      </c>
      <c r="V14" s="15"/>
      <c r="W14" s="15"/>
      <c r="X14" s="15">
        <v>4</v>
      </c>
      <c r="Y14" s="15"/>
      <c r="Z14" s="15">
        <v>2</v>
      </c>
      <c r="AA14" s="32">
        <f t="shared" si="1"/>
        <v>0.42</v>
      </c>
      <c r="AB14" s="15">
        <v>27</v>
      </c>
      <c r="AC14" s="15">
        <v>0</v>
      </c>
      <c r="AD14" s="36">
        <f t="shared" si="2"/>
        <v>0</v>
      </c>
      <c r="AE14" s="33">
        <f t="shared" si="3"/>
        <v>1.6666666666666667</v>
      </c>
      <c r="AF14" s="15">
        <v>7</v>
      </c>
      <c r="AG14" s="15">
        <v>1</v>
      </c>
      <c r="AH14" s="15">
        <v>0</v>
      </c>
      <c r="AI14" s="15">
        <v>1</v>
      </c>
      <c r="AJ14" s="15" t="s">
        <v>227</v>
      </c>
      <c r="AK14" s="15">
        <v>16</v>
      </c>
      <c r="AL14" s="15">
        <v>19000</v>
      </c>
      <c r="AM14" s="33">
        <f t="shared" si="4"/>
        <v>14250</v>
      </c>
      <c r="AN14" s="33">
        <f t="shared" si="5"/>
        <v>422.22222222222223</v>
      </c>
      <c r="AO14" s="15" t="s">
        <v>195</v>
      </c>
      <c r="AP14" s="15" t="s">
        <v>195</v>
      </c>
      <c r="AQ14" s="15" t="s">
        <v>191</v>
      </c>
      <c r="AR14" s="15"/>
      <c r="AU14" s="27">
        <v>45462</v>
      </c>
      <c r="AV14" s="22">
        <v>45422</v>
      </c>
      <c r="AW14" t="s">
        <v>242</v>
      </c>
      <c r="AX14" t="s">
        <v>191</v>
      </c>
      <c r="AY14" t="s">
        <v>197</v>
      </c>
      <c r="AZ14" t="s">
        <v>197</v>
      </c>
    </row>
    <row r="15" spans="1:52" ht="30">
      <c r="A15" s="38" t="s">
        <v>247</v>
      </c>
      <c r="B15" s="15" t="s">
        <v>248</v>
      </c>
      <c r="C15" s="15" t="s">
        <v>191</v>
      </c>
      <c r="D15" s="15">
        <v>4</v>
      </c>
      <c r="E15" s="15" t="s">
        <v>249</v>
      </c>
      <c r="F15" s="15" t="s">
        <v>206</v>
      </c>
      <c r="G15" s="15">
        <v>1</v>
      </c>
      <c r="H15" s="15">
        <v>13.8</v>
      </c>
      <c r="I15" s="15">
        <v>26.8</v>
      </c>
      <c r="J15" s="15">
        <v>30</v>
      </c>
      <c r="K15" s="15">
        <v>4</v>
      </c>
      <c r="L15" s="35">
        <f t="shared" si="0"/>
        <v>0.13333333333333333</v>
      </c>
      <c r="M15" s="15" t="s">
        <v>191</v>
      </c>
      <c r="N15" s="15" t="s">
        <v>191</v>
      </c>
      <c r="O15" s="16" t="s">
        <v>250</v>
      </c>
      <c r="P15" s="15" t="s">
        <v>195</v>
      </c>
      <c r="Q15" s="15">
        <v>60</v>
      </c>
      <c r="R15" s="15"/>
      <c r="S15" s="15"/>
      <c r="T15" s="15">
        <v>56</v>
      </c>
      <c r="U15" s="15">
        <f>(((90000/4900))/(I15*AF15))*100</f>
        <v>11.422479439537009</v>
      </c>
      <c r="V15" s="15"/>
      <c r="W15" s="15"/>
      <c r="X15" s="15">
        <v>4</v>
      </c>
      <c r="Y15" s="15"/>
      <c r="Z15" s="15">
        <v>1</v>
      </c>
      <c r="AA15" s="32">
        <f t="shared" si="1"/>
        <v>0.44666666666666666</v>
      </c>
      <c r="AB15" s="15">
        <v>35</v>
      </c>
      <c r="AC15" s="15">
        <v>3</v>
      </c>
      <c r="AD15" s="35">
        <f t="shared" si="2"/>
        <v>8.5714285714285715E-2</v>
      </c>
      <c r="AE15" s="33">
        <f t="shared" si="3"/>
        <v>1.7142857142857142</v>
      </c>
      <c r="AF15" s="15">
        <v>6</v>
      </c>
      <c r="AG15" s="15">
        <v>1</v>
      </c>
      <c r="AH15" s="15">
        <v>1</v>
      </c>
      <c r="AI15" s="15">
        <v>1</v>
      </c>
      <c r="AJ15" s="15" t="s">
        <v>227</v>
      </c>
      <c r="AK15" s="15">
        <v>16</v>
      </c>
      <c r="AL15" s="15">
        <v>19000</v>
      </c>
      <c r="AM15" s="33">
        <f t="shared" si="4"/>
        <v>14250</v>
      </c>
      <c r="AN15" s="33">
        <f t="shared" si="5"/>
        <v>316.66666666666669</v>
      </c>
      <c r="AO15" s="15" t="s">
        <v>195</v>
      </c>
      <c r="AP15" s="15" t="s">
        <v>195</v>
      </c>
      <c r="AQ15" s="15" t="s">
        <v>191</v>
      </c>
      <c r="AR15" s="15" t="s">
        <v>251</v>
      </c>
      <c r="AU15" s="27">
        <v>45470</v>
      </c>
      <c r="AV15" s="23">
        <v>45422</v>
      </c>
      <c r="AW15" t="s">
        <v>252</v>
      </c>
      <c r="AX15" t="s">
        <v>191</v>
      </c>
      <c r="AY15" t="s">
        <v>229</v>
      </c>
      <c r="AZ15" t="s">
        <v>197</v>
      </c>
    </row>
    <row r="16" spans="1:52">
      <c r="A16" s="38" t="s">
        <v>253</v>
      </c>
      <c r="B16" s="15" t="s">
        <v>254</v>
      </c>
      <c r="C16" s="15" t="s">
        <v>195</v>
      </c>
      <c r="D16" s="15">
        <v>1</v>
      </c>
      <c r="E16" s="15" t="s">
        <v>255</v>
      </c>
      <c r="F16" s="15" t="s">
        <v>256</v>
      </c>
      <c r="G16" s="15">
        <v>1</v>
      </c>
      <c r="H16" s="15">
        <v>4.5999999999999996</v>
      </c>
      <c r="I16" s="15">
        <v>8.5</v>
      </c>
      <c r="J16" s="15">
        <v>12</v>
      </c>
      <c r="K16" s="15">
        <v>6</v>
      </c>
      <c r="L16" s="35">
        <f t="shared" si="0"/>
        <v>0.5</v>
      </c>
      <c r="M16" s="15" t="s">
        <v>191</v>
      </c>
      <c r="N16" s="15" t="s">
        <v>191</v>
      </c>
      <c r="O16" s="15" t="s">
        <v>193</v>
      </c>
      <c r="P16" s="15" t="s">
        <v>195</v>
      </c>
      <c r="Q16" s="15">
        <v>19</v>
      </c>
      <c r="R16" s="15">
        <v>19</v>
      </c>
      <c r="S16" s="15">
        <f>(((70000/4900))/(AF16*I16))*100</f>
        <v>21.008403361344538</v>
      </c>
      <c r="T16" s="15"/>
      <c r="U16" s="15"/>
      <c r="V16" s="15"/>
      <c r="W16" s="15"/>
      <c r="X16" s="15"/>
      <c r="Y16" s="15"/>
      <c r="Z16" s="15">
        <v>0</v>
      </c>
      <c r="AA16" s="32">
        <f t="shared" si="1"/>
        <v>0.44736842105263158</v>
      </c>
      <c r="AB16" s="15">
        <v>10</v>
      </c>
      <c r="AC16" s="15">
        <v>2</v>
      </c>
      <c r="AD16" s="36">
        <f t="shared" si="2"/>
        <v>0.2</v>
      </c>
      <c r="AE16" s="33">
        <f t="shared" si="3"/>
        <v>1.9</v>
      </c>
      <c r="AF16" s="15">
        <v>8</v>
      </c>
      <c r="AG16" s="15">
        <v>1</v>
      </c>
      <c r="AH16" s="15">
        <v>0</v>
      </c>
      <c r="AI16" s="15">
        <v>1</v>
      </c>
      <c r="AJ16" s="15" t="s">
        <v>257</v>
      </c>
      <c r="AK16" s="15">
        <v>14</v>
      </c>
      <c r="AL16" s="15">
        <v>5000</v>
      </c>
      <c r="AM16" s="33">
        <f t="shared" si="4"/>
        <v>3750</v>
      </c>
      <c r="AN16" s="33">
        <f t="shared" si="5"/>
        <v>263.15789473684208</v>
      </c>
      <c r="AO16" s="15" t="s">
        <v>195</v>
      </c>
      <c r="AP16" s="15" t="s">
        <v>195</v>
      </c>
      <c r="AQ16" s="15" t="s">
        <v>191</v>
      </c>
      <c r="AR16" s="15"/>
      <c r="AU16" s="27">
        <v>45463</v>
      </c>
      <c r="AV16" s="22">
        <v>45422</v>
      </c>
      <c r="AW16" t="s">
        <v>258</v>
      </c>
      <c r="AX16" t="s">
        <v>191</v>
      </c>
      <c r="AY16" t="s">
        <v>197</v>
      </c>
      <c r="AZ16" t="s">
        <v>197</v>
      </c>
    </row>
    <row r="17" spans="1:52">
      <c r="A17" s="38" t="s">
        <v>259</v>
      </c>
      <c r="B17" s="15" t="s">
        <v>260</v>
      </c>
      <c r="C17" s="15" t="s">
        <v>195</v>
      </c>
      <c r="D17" s="15">
        <v>1</v>
      </c>
      <c r="E17" s="15" t="s">
        <v>261</v>
      </c>
      <c r="F17" s="15" t="s">
        <v>262</v>
      </c>
      <c r="G17" s="15">
        <v>0</v>
      </c>
      <c r="H17" s="15">
        <v>4.8</v>
      </c>
      <c r="I17" s="15">
        <v>9.1</v>
      </c>
      <c r="J17" s="15">
        <v>10</v>
      </c>
      <c r="K17" s="15">
        <v>0</v>
      </c>
      <c r="L17" s="35">
        <f t="shared" si="0"/>
        <v>0</v>
      </c>
      <c r="M17" s="15" t="s">
        <v>195</v>
      </c>
      <c r="N17" s="15" t="s">
        <v>195</v>
      </c>
      <c r="O17" s="15"/>
      <c r="P17" s="15" t="s">
        <v>195</v>
      </c>
      <c r="Q17" s="15">
        <v>13</v>
      </c>
      <c r="R17" s="15">
        <v>12</v>
      </c>
      <c r="S17" s="15">
        <f>(((50000/4900))/(AF17*I17))*100</f>
        <v>14.016595649248712</v>
      </c>
      <c r="T17" s="15">
        <v>1</v>
      </c>
      <c r="U17" s="18"/>
      <c r="V17" s="15"/>
      <c r="W17" s="15"/>
      <c r="X17" s="15"/>
      <c r="Y17" s="15"/>
      <c r="Z17" s="15">
        <v>1</v>
      </c>
      <c r="AA17" s="32">
        <f t="shared" si="1"/>
        <v>0.7</v>
      </c>
      <c r="AB17" s="15">
        <v>5</v>
      </c>
      <c r="AC17" s="15">
        <v>0</v>
      </c>
      <c r="AD17" s="36">
        <f t="shared" si="2"/>
        <v>0</v>
      </c>
      <c r="AE17" s="33">
        <f t="shared" si="3"/>
        <v>2.6</v>
      </c>
      <c r="AF17" s="15">
        <v>8</v>
      </c>
      <c r="AG17" s="15">
        <v>0</v>
      </c>
      <c r="AH17" s="15">
        <v>1</v>
      </c>
      <c r="AI17" s="15">
        <v>0</v>
      </c>
      <c r="AJ17" s="15" t="s">
        <v>215</v>
      </c>
      <c r="AK17" s="15">
        <v>15</v>
      </c>
      <c r="AL17" s="15">
        <v>3500</v>
      </c>
      <c r="AM17" s="33">
        <f t="shared" si="4"/>
        <v>2625</v>
      </c>
      <c r="AN17" s="33">
        <f t="shared" si="5"/>
        <v>269.23076923076923</v>
      </c>
      <c r="AO17" s="15" t="s">
        <v>195</v>
      </c>
      <c r="AP17" s="15" t="s">
        <v>191</v>
      </c>
      <c r="AQ17" s="15" t="s">
        <v>191</v>
      </c>
      <c r="AR17" s="15"/>
      <c r="AU17" s="27">
        <v>45470</v>
      </c>
      <c r="AV17" s="22">
        <v>45419</v>
      </c>
      <c r="AW17" t="s">
        <v>228</v>
      </c>
      <c r="AX17" t="s">
        <v>195</v>
      </c>
      <c r="AY17" t="s">
        <v>197</v>
      </c>
      <c r="AZ17" t="s">
        <v>197</v>
      </c>
    </row>
    <row r="18" spans="1:52">
      <c r="A18" s="38" t="s">
        <v>263</v>
      </c>
      <c r="B18" s="15" t="s">
        <v>264</v>
      </c>
      <c r="C18" s="15" t="s">
        <v>195</v>
      </c>
      <c r="D18" s="15">
        <v>1</v>
      </c>
      <c r="E18" s="15" t="s">
        <v>265</v>
      </c>
      <c r="F18" s="15" t="s">
        <v>266</v>
      </c>
      <c r="G18" s="15">
        <v>2</v>
      </c>
      <c r="H18" s="15">
        <v>8.6</v>
      </c>
      <c r="I18" s="15">
        <v>16.3</v>
      </c>
      <c r="J18" s="15">
        <v>24</v>
      </c>
      <c r="K18" s="15">
        <v>4</v>
      </c>
      <c r="L18" s="35">
        <f t="shared" si="0"/>
        <v>0.16666666666666666</v>
      </c>
      <c r="M18" s="15" t="s">
        <v>191</v>
      </c>
      <c r="N18" s="15" t="s">
        <v>191</v>
      </c>
      <c r="O18" s="15" t="s">
        <v>193</v>
      </c>
      <c r="P18" s="15" t="s">
        <v>195</v>
      </c>
      <c r="Q18" s="15">
        <v>149</v>
      </c>
      <c r="R18" s="15"/>
      <c r="S18" s="15">
        <f>(((80000/4900))/(AF18*I18))*100</f>
        <v>14.308966356042854</v>
      </c>
      <c r="T18" s="15"/>
      <c r="U18" s="15"/>
      <c r="V18" s="15"/>
      <c r="W18" s="15"/>
      <c r="X18" s="15"/>
      <c r="Y18" s="15"/>
      <c r="Z18" s="15"/>
      <c r="AA18" s="32">
        <f t="shared" si="1"/>
        <v>0.10939597315436242</v>
      </c>
      <c r="AB18" s="15"/>
      <c r="AC18" s="15"/>
      <c r="AD18" s="36"/>
      <c r="AE18" s="33"/>
      <c r="AF18" s="15">
        <v>7</v>
      </c>
      <c r="AG18" s="15">
        <v>1</v>
      </c>
      <c r="AH18" s="15">
        <v>1</v>
      </c>
      <c r="AI18" s="15">
        <v>1</v>
      </c>
      <c r="AJ18" s="15" t="s">
        <v>221</v>
      </c>
      <c r="AK18" s="15">
        <v>15</v>
      </c>
      <c r="AL18" s="15"/>
      <c r="AM18" s="33"/>
      <c r="AN18" s="33"/>
      <c r="AO18" s="15" t="s">
        <v>195</v>
      </c>
      <c r="AP18" s="15"/>
      <c r="AQ18" s="15" t="s">
        <v>191</v>
      </c>
      <c r="AR18" s="15"/>
      <c r="AV18" s="23">
        <v>45420</v>
      </c>
      <c r="AW18" t="s">
        <v>267</v>
      </c>
      <c r="AX18" t="s">
        <v>191</v>
      </c>
      <c r="AY18" t="s">
        <v>197</v>
      </c>
      <c r="AZ18" t="s">
        <v>197</v>
      </c>
    </row>
    <row r="19" spans="1:52" ht="45">
      <c r="A19" s="38" t="s">
        <v>268</v>
      </c>
      <c r="B19" s="15" t="s">
        <v>236</v>
      </c>
      <c r="C19" s="15" t="s">
        <v>195</v>
      </c>
      <c r="D19" s="15">
        <v>1</v>
      </c>
      <c r="E19" s="15" t="s">
        <v>269</v>
      </c>
      <c r="F19" s="15" t="s">
        <v>270</v>
      </c>
      <c r="G19" s="15">
        <v>0</v>
      </c>
      <c r="H19" s="15">
        <v>7</v>
      </c>
      <c r="I19" s="15">
        <v>13</v>
      </c>
      <c r="J19" s="15">
        <v>30</v>
      </c>
      <c r="K19" s="15">
        <v>4</v>
      </c>
      <c r="L19" s="35">
        <f t="shared" si="0"/>
        <v>0.13333333333333333</v>
      </c>
      <c r="M19" s="15" t="s">
        <v>195</v>
      </c>
      <c r="N19" s="15" t="s">
        <v>191</v>
      </c>
      <c r="O19" s="16" t="s">
        <v>233</v>
      </c>
      <c r="P19" s="15" t="s">
        <v>195</v>
      </c>
      <c r="Q19" s="15">
        <v>66</v>
      </c>
      <c r="R19" s="15"/>
      <c r="S19" s="15"/>
      <c r="T19" s="15"/>
      <c r="U19" s="15"/>
      <c r="V19" s="15"/>
      <c r="W19" s="15"/>
      <c r="X19" s="15">
        <v>66</v>
      </c>
      <c r="Y19" s="15">
        <f>(((70000/4900))/(I19*AF19))*100</f>
        <v>21.978021978021982</v>
      </c>
      <c r="Z19" s="15">
        <v>0</v>
      </c>
      <c r="AA19" s="32">
        <f t="shared" si="1"/>
        <v>0.19696969696969696</v>
      </c>
      <c r="AB19" s="15">
        <v>55</v>
      </c>
      <c r="AC19" s="15">
        <v>3</v>
      </c>
      <c r="AD19" s="36">
        <f>AC19/AB19</f>
        <v>5.4545454545454543E-2</v>
      </c>
      <c r="AE19" s="33">
        <f>Q19/AB19</f>
        <v>1.2</v>
      </c>
      <c r="AF19" s="15">
        <v>5</v>
      </c>
      <c r="AG19" s="15">
        <v>1</v>
      </c>
      <c r="AH19" s="15">
        <v>0</v>
      </c>
      <c r="AI19" s="15">
        <v>1</v>
      </c>
      <c r="AJ19" s="15" t="s">
        <v>271</v>
      </c>
      <c r="AK19" s="15">
        <v>15</v>
      </c>
      <c r="AL19" s="15">
        <v>14000</v>
      </c>
      <c r="AM19" s="33">
        <f>0.75*AL19</f>
        <v>10500</v>
      </c>
      <c r="AN19" s="33">
        <f>AL19/Q19</f>
        <v>212.12121212121212</v>
      </c>
      <c r="AO19" s="15" t="s">
        <v>191</v>
      </c>
      <c r="AP19" s="15" t="s">
        <v>195</v>
      </c>
      <c r="AQ19" s="15" t="s">
        <v>195</v>
      </c>
      <c r="AR19" s="15"/>
      <c r="AS19" s="26"/>
      <c r="AT19" s="26"/>
      <c r="AU19" s="29">
        <v>45463</v>
      </c>
      <c r="AV19" s="25">
        <v>45420</v>
      </c>
      <c r="AW19" s="26" t="s">
        <v>272</v>
      </c>
      <c r="AX19" s="26" t="s">
        <v>191</v>
      </c>
      <c r="AY19" s="26" t="s">
        <v>197</v>
      </c>
      <c r="AZ19" s="26" t="s">
        <v>197</v>
      </c>
    </row>
    <row r="20" spans="1:52">
      <c r="A20" s="38" t="s">
        <v>273</v>
      </c>
      <c r="B20" s="15" t="s">
        <v>274</v>
      </c>
      <c r="C20" s="15" t="s">
        <v>195</v>
      </c>
      <c r="D20" s="15">
        <v>1</v>
      </c>
      <c r="E20" s="15" t="s">
        <v>245</v>
      </c>
      <c r="F20" s="15" t="s">
        <v>275</v>
      </c>
      <c r="G20" s="15">
        <v>0</v>
      </c>
      <c r="H20" s="15">
        <v>7.2</v>
      </c>
      <c r="I20" s="15">
        <v>14</v>
      </c>
      <c r="J20" s="15">
        <v>30</v>
      </c>
      <c r="K20" s="15">
        <v>1</v>
      </c>
      <c r="L20" s="35">
        <f t="shared" si="0"/>
        <v>3.3333333333333333E-2</v>
      </c>
      <c r="M20" s="15" t="s">
        <v>195</v>
      </c>
      <c r="N20" s="15" t="s">
        <v>195</v>
      </c>
      <c r="O20" s="15"/>
      <c r="P20" s="15" t="s">
        <v>195</v>
      </c>
      <c r="Q20" s="15">
        <v>4</v>
      </c>
      <c r="R20" s="15"/>
      <c r="S20" s="15"/>
      <c r="T20" s="15">
        <v>4</v>
      </c>
      <c r="U20" s="15">
        <f>(((100000/4900))/(I20*AF20))*100</f>
        <v>18.221574344023324</v>
      </c>
      <c r="V20" s="15"/>
      <c r="W20" s="15"/>
      <c r="X20" s="15">
        <v>4</v>
      </c>
      <c r="Y20" s="15"/>
      <c r="Z20" s="15">
        <v>1</v>
      </c>
      <c r="AA20" s="32">
        <f t="shared" si="1"/>
        <v>3.5</v>
      </c>
      <c r="AB20" s="15">
        <v>3</v>
      </c>
      <c r="AC20" s="15">
        <v>0</v>
      </c>
      <c r="AD20" s="36">
        <f>AC20/AB20</f>
        <v>0</v>
      </c>
      <c r="AE20" s="33">
        <f>Q20/AB20</f>
        <v>1.3333333333333333</v>
      </c>
      <c r="AF20" s="15">
        <v>8</v>
      </c>
      <c r="AG20" s="15">
        <v>0</v>
      </c>
      <c r="AH20" s="15">
        <v>0</v>
      </c>
      <c r="AI20" s="15">
        <v>1</v>
      </c>
      <c r="AJ20" s="15" t="s">
        <v>221</v>
      </c>
      <c r="AK20" s="15">
        <v>15</v>
      </c>
      <c r="AL20" s="15">
        <v>1700</v>
      </c>
      <c r="AM20" s="33">
        <f>0.75*AL20</f>
        <v>1275</v>
      </c>
      <c r="AN20" s="33">
        <f>AL20/Q20</f>
        <v>425</v>
      </c>
      <c r="AO20" s="15" t="s">
        <v>195</v>
      </c>
      <c r="AP20" s="15" t="s">
        <v>191</v>
      </c>
      <c r="AQ20" s="15" t="s">
        <v>195</v>
      </c>
      <c r="AR20" s="15"/>
      <c r="AU20" s="27">
        <v>45462</v>
      </c>
      <c r="AV20" s="22">
        <v>45420</v>
      </c>
      <c r="AW20" t="s">
        <v>276</v>
      </c>
      <c r="AX20" t="s">
        <v>191</v>
      </c>
      <c r="AY20" t="s">
        <v>197</v>
      </c>
      <c r="AZ20" t="s">
        <v>197</v>
      </c>
    </row>
    <row r="21" spans="1:52">
      <c r="A21" s="38" t="s">
        <v>277</v>
      </c>
      <c r="B21" s="15" t="s">
        <v>278</v>
      </c>
      <c r="C21" s="15" t="s">
        <v>195</v>
      </c>
      <c r="D21" s="15">
        <v>1</v>
      </c>
      <c r="E21" s="15" t="s">
        <v>279</v>
      </c>
      <c r="F21" s="15" t="s">
        <v>280</v>
      </c>
      <c r="G21" s="15">
        <v>1</v>
      </c>
      <c r="H21" s="15">
        <v>11</v>
      </c>
      <c r="I21" s="15">
        <v>21</v>
      </c>
      <c r="J21" s="15">
        <v>18</v>
      </c>
      <c r="K21" s="15">
        <v>2</v>
      </c>
      <c r="L21" s="35">
        <f t="shared" si="0"/>
        <v>0.1111111111111111</v>
      </c>
      <c r="M21" s="15" t="s">
        <v>195</v>
      </c>
      <c r="N21" s="15" t="s">
        <v>191</v>
      </c>
      <c r="O21" s="15" t="s">
        <v>193</v>
      </c>
      <c r="P21" s="15" t="s">
        <v>195</v>
      </c>
      <c r="Q21" s="15">
        <v>42</v>
      </c>
      <c r="R21" s="15">
        <v>42</v>
      </c>
      <c r="S21" s="15">
        <f>(((80000/4900))/(AF21*I21))*100</f>
        <v>9.7181729834791071</v>
      </c>
      <c r="T21" s="15"/>
      <c r="U21" s="15"/>
      <c r="V21" s="15"/>
      <c r="W21" s="15"/>
      <c r="X21" s="15"/>
      <c r="Y21" s="15"/>
      <c r="Z21" s="15">
        <v>1</v>
      </c>
      <c r="AA21" s="32">
        <f t="shared" si="1"/>
        <v>0.5</v>
      </c>
      <c r="AB21" s="15">
        <v>25</v>
      </c>
      <c r="AC21" s="15">
        <v>0</v>
      </c>
      <c r="AD21" s="36">
        <f>AC21/AB21</f>
        <v>0</v>
      </c>
      <c r="AE21" s="33">
        <f>Q21/AB21</f>
        <v>1.68</v>
      </c>
      <c r="AF21" s="15">
        <v>8</v>
      </c>
      <c r="AG21" s="15">
        <v>1</v>
      </c>
      <c r="AH21" s="15">
        <v>0</v>
      </c>
      <c r="AI21" s="15">
        <v>1</v>
      </c>
      <c r="AJ21" s="15" t="s">
        <v>281</v>
      </c>
      <c r="AK21" s="15">
        <v>13</v>
      </c>
      <c r="AL21" s="15">
        <v>12000</v>
      </c>
      <c r="AM21" s="33">
        <f>0.75*AL21</f>
        <v>9000</v>
      </c>
      <c r="AN21" s="33">
        <f>AL21/Q21</f>
        <v>285.71428571428572</v>
      </c>
      <c r="AO21" s="15" t="s">
        <v>195</v>
      </c>
      <c r="AP21" s="15" t="s">
        <v>195</v>
      </c>
      <c r="AQ21" s="15" t="s">
        <v>191</v>
      </c>
      <c r="AR21" s="15"/>
      <c r="AU21" s="27">
        <v>45462</v>
      </c>
      <c r="AV21" s="22">
        <v>45426</v>
      </c>
      <c r="AW21" t="s">
        <v>267</v>
      </c>
      <c r="AX21" t="s">
        <v>191</v>
      </c>
      <c r="AY21" t="s">
        <v>197</v>
      </c>
      <c r="AZ21" t="s">
        <v>197</v>
      </c>
    </row>
    <row r="22" spans="1:52">
      <c r="A22" s="38" t="s">
        <v>282</v>
      </c>
      <c r="B22" s="15" t="s">
        <v>283</v>
      </c>
      <c r="C22" s="15" t="s">
        <v>191</v>
      </c>
      <c r="D22" s="15">
        <v>2</v>
      </c>
      <c r="E22" s="15" t="s">
        <v>265</v>
      </c>
      <c r="F22" s="15" t="s">
        <v>220</v>
      </c>
      <c r="G22" s="15">
        <v>2</v>
      </c>
      <c r="H22" s="15">
        <v>7.7</v>
      </c>
      <c r="I22" s="15">
        <v>12.6</v>
      </c>
      <c r="J22" s="15">
        <v>19</v>
      </c>
      <c r="K22" s="15">
        <v>3</v>
      </c>
      <c r="L22" s="35">
        <f t="shared" si="0"/>
        <v>0.15789473684210525</v>
      </c>
      <c r="M22" s="15" t="s">
        <v>195</v>
      </c>
      <c r="N22" s="15" t="s">
        <v>195</v>
      </c>
      <c r="O22" s="15"/>
      <c r="P22" s="15" t="s">
        <v>195</v>
      </c>
      <c r="Q22" s="15">
        <v>40</v>
      </c>
      <c r="R22" s="15">
        <v>22</v>
      </c>
      <c r="S22" s="15">
        <f>(((120000/4900))/(AF22*I22))*100</f>
        <v>24.295432458697764</v>
      </c>
      <c r="T22" s="15">
        <v>18</v>
      </c>
      <c r="U22" s="15"/>
      <c r="V22" s="15"/>
      <c r="W22" s="15"/>
      <c r="X22" s="15"/>
      <c r="Y22" s="15"/>
      <c r="Z22" s="15">
        <v>1</v>
      </c>
      <c r="AA22" s="32">
        <f t="shared" si="1"/>
        <v>0.315</v>
      </c>
      <c r="AB22" s="15">
        <v>39</v>
      </c>
      <c r="AC22" s="15">
        <v>6</v>
      </c>
      <c r="AD22" s="36">
        <f>AC22/AB22</f>
        <v>0.15384615384615385</v>
      </c>
      <c r="AE22" s="33">
        <f>Q22/AB22</f>
        <v>1.0256410256410255</v>
      </c>
      <c r="AF22" s="15">
        <v>8</v>
      </c>
      <c r="AG22" s="15">
        <v>0</v>
      </c>
      <c r="AH22" s="15">
        <v>1</v>
      </c>
      <c r="AI22" s="15">
        <v>0</v>
      </c>
      <c r="AJ22" s="15" t="s">
        <v>284</v>
      </c>
      <c r="AK22" s="15">
        <v>14</v>
      </c>
      <c r="AL22" s="15">
        <v>12000</v>
      </c>
      <c r="AM22" s="33">
        <f>0.75*AL22</f>
        <v>9000</v>
      </c>
      <c r="AN22" s="33">
        <f>AL22/Q22</f>
        <v>300</v>
      </c>
      <c r="AO22" s="15" t="s">
        <v>195</v>
      </c>
      <c r="AP22" s="15" t="s">
        <v>195</v>
      </c>
      <c r="AQ22" s="15" t="s">
        <v>191</v>
      </c>
      <c r="AR22" s="15"/>
      <c r="AU22" s="27">
        <v>45462</v>
      </c>
      <c r="AV22" s="23">
        <v>45420</v>
      </c>
      <c r="AW22" t="s">
        <v>285</v>
      </c>
      <c r="AX22" t="s">
        <v>195</v>
      </c>
      <c r="AY22" t="s">
        <v>197</v>
      </c>
      <c r="AZ22" t="s">
        <v>197</v>
      </c>
    </row>
    <row r="23" spans="1:52">
      <c r="A23" s="38" t="s">
        <v>286</v>
      </c>
      <c r="B23" s="15" t="s">
        <v>218</v>
      </c>
      <c r="C23" s="15" t="s">
        <v>195</v>
      </c>
      <c r="D23" s="15">
        <v>1</v>
      </c>
      <c r="E23" s="15" t="s">
        <v>219</v>
      </c>
      <c r="F23" s="15" t="s">
        <v>287</v>
      </c>
      <c r="G23" s="15">
        <v>0</v>
      </c>
      <c r="H23" s="15">
        <v>6.5</v>
      </c>
      <c r="I23" s="15">
        <v>12</v>
      </c>
      <c r="J23" s="15">
        <v>20</v>
      </c>
      <c r="K23" s="15">
        <v>3</v>
      </c>
      <c r="L23" s="35">
        <f t="shared" si="0"/>
        <v>0.15</v>
      </c>
      <c r="M23" s="15" t="s">
        <v>195</v>
      </c>
      <c r="N23" s="15" t="s">
        <v>195</v>
      </c>
      <c r="O23" s="15"/>
      <c r="P23" s="15" t="s">
        <v>195</v>
      </c>
      <c r="Q23" s="15">
        <v>49</v>
      </c>
      <c r="R23" s="15"/>
      <c r="S23" s="15">
        <f>(((100000/4900))/(AF23*I23))*100</f>
        <v>18.89644746787604</v>
      </c>
      <c r="T23" s="15"/>
      <c r="U23" s="39"/>
      <c r="V23" s="15"/>
      <c r="W23" s="15"/>
      <c r="X23" s="15"/>
      <c r="Y23" s="15"/>
      <c r="Z23" s="15"/>
      <c r="AA23" s="32">
        <f t="shared" si="1"/>
        <v>0.24489795918367346</v>
      </c>
      <c r="AB23" s="15"/>
      <c r="AC23" s="15"/>
      <c r="AD23" s="36"/>
      <c r="AE23" s="33"/>
      <c r="AF23" s="15">
        <v>9</v>
      </c>
      <c r="AG23" s="15">
        <v>1</v>
      </c>
      <c r="AH23" s="15">
        <v>1</v>
      </c>
      <c r="AI23" s="15">
        <v>1</v>
      </c>
      <c r="AJ23" s="15" t="s">
        <v>284</v>
      </c>
      <c r="AK23" s="15">
        <v>14</v>
      </c>
      <c r="AL23" s="15"/>
      <c r="AM23" s="33"/>
      <c r="AN23" s="33"/>
      <c r="AO23" s="15" t="s">
        <v>195</v>
      </c>
      <c r="AP23" s="15"/>
      <c r="AQ23" s="15" t="s">
        <v>191</v>
      </c>
      <c r="AR23" s="15"/>
      <c r="AV23" s="22">
        <v>45419</v>
      </c>
      <c r="AW23" t="s">
        <v>288</v>
      </c>
      <c r="AX23" t="s">
        <v>191</v>
      </c>
      <c r="AY23" t="s">
        <v>197</v>
      </c>
      <c r="AZ23" t="s">
        <v>197</v>
      </c>
    </row>
    <row r="24" spans="1:52">
      <c r="A24" s="38" t="s">
        <v>289</v>
      </c>
      <c r="B24" s="15" t="s">
        <v>290</v>
      </c>
      <c r="C24" s="15" t="s">
        <v>191</v>
      </c>
      <c r="D24" s="15">
        <v>3</v>
      </c>
      <c r="E24" s="15" t="s">
        <v>291</v>
      </c>
      <c r="F24" s="15" t="s">
        <v>292</v>
      </c>
      <c r="G24" s="15">
        <v>1</v>
      </c>
      <c r="H24" s="15">
        <v>9.1999999999999993</v>
      </c>
      <c r="I24" s="15">
        <v>18</v>
      </c>
      <c r="J24" s="15">
        <v>44</v>
      </c>
      <c r="K24" s="15">
        <v>3</v>
      </c>
      <c r="L24" s="35">
        <f t="shared" si="0"/>
        <v>6.8181818181818177E-2</v>
      </c>
      <c r="M24" s="15" t="s">
        <v>195</v>
      </c>
      <c r="N24" s="15" t="s">
        <v>191</v>
      </c>
      <c r="O24" s="15" t="s">
        <v>193</v>
      </c>
      <c r="P24" s="15" t="s">
        <v>195</v>
      </c>
      <c r="Q24" s="15">
        <v>122</v>
      </c>
      <c r="R24" s="15"/>
      <c r="S24" s="15"/>
      <c r="T24" s="15">
        <v>107</v>
      </c>
      <c r="U24" s="15">
        <f>(((100000/4900))/(I24*AF24))*100</f>
        <v>18.89644746787604</v>
      </c>
      <c r="V24" s="15"/>
      <c r="W24" s="15"/>
      <c r="X24" s="15">
        <v>15</v>
      </c>
      <c r="Y24" s="15"/>
      <c r="Z24" s="15">
        <v>1</v>
      </c>
      <c r="AA24" s="32">
        <f t="shared" si="1"/>
        <v>0.14754098360655737</v>
      </c>
      <c r="AB24" s="15">
        <v>50</v>
      </c>
      <c r="AC24" s="15">
        <v>4</v>
      </c>
      <c r="AD24" s="36">
        <f t="shared" ref="AD24:AD53" si="6">AC24/AB24</f>
        <v>0.08</v>
      </c>
      <c r="AE24" s="33">
        <f t="shared" ref="AE24:AE34" si="7">Q24/AB24</f>
        <v>2.44</v>
      </c>
      <c r="AF24" s="15">
        <v>6</v>
      </c>
      <c r="AG24" s="15">
        <v>1</v>
      </c>
      <c r="AH24" s="15">
        <v>1</v>
      </c>
      <c r="AI24" s="15">
        <v>1</v>
      </c>
      <c r="AJ24" s="15" t="s">
        <v>221</v>
      </c>
      <c r="AK24" s="15">
        <v>15</v>
      </c>
      <c r="AL24" s="15">
        <v>26000</v>
      </c>
      <c r="AM24" s="33">
        <f t="shared" ref="AM24:AM59" si="8">0.75*AL24</f>
        <v>19500</v>
      </c>
      <c r="AN24" s="33">
        <f t="shared" ref="AN24:AN59" si="9">AL24/Q24</f>
        <v>213.11475409836066</v>
      </c>
      <c r="AO24" s="15" t="s">
        <v>195</v>
      </c>
      <c r="AP24" s="15" t="s">
        <v>191</v>
      </c>
      <c r="AQ24" s="15" t="s">
        <v>195</v>
      </c>
      <c r="AR24" s="15"/>
      <c r="AU24" s="27">
        <v>45470</v>
      </c>
      <c r="AV24" s="22">
        <v>45422</v>
      </c>
      <c r="AW24" t="s">
        <v>276</v>
      </c>
      <c r="AX24" t="s">
        <v>191</v>
      </c>
      <c r="AY24" t="s">
        <v>197</v>
      </c>
      <c r="AZ24" t="s">
        <v>197</v>
      </c>
    </row>
    <row r="25" spans="1:52">
      <c r="A25" s="38" t="s">
        <v>293</v>
      </c>
      <c r="B25" s="15" t="s">
        <v>294</v>
      </c>
      <c r="C25" s="15" t="s">
        <v>195</v>
      </c>
      <c r="D25" s="15">
        <v>1</v>
      </c>
      <c r="E25" s="15" t="s">
        <v>295</v>
      </c>
      <c r="F25" s="15" t="s">
        <v>287</v>
      </c>
      <c r="G25" s="15">
        <v>0</v>
      </c>
      <c r="H25" s="15">
        <v>3.3</v>
      </c>
      <c r="I25" s="15">
        <v>6.7</v>
      </c>
      <c r="J25" s="15">
        <v>21</v>
      </c>
      <c r="K25" s="15">
        <v>0</v>
      </c>
      <c r="L25" s="35">
        <f t="shared" si="0"/>
        <v>0</v>
      </c>
      <c r="M25" s="15" t="s">
        <v>191</v>
      </c>
      <c r="N25" s="15" t="s">
        <v>195</v>
      </c>
      <c r="O25" s="15"/>
      <c r="P25" s="15" t="s">
        <v>195</v>
      </c>
      <c r="Q25" s="15">
        <v>20</v>
      </c>
      <c r="R25" s="15"/>
      <c r="S25" s="15"/>
      <c r="T25" s="15"/>
      <c r="U25" s="15"/>
      <c r="V25" s="15"/>
      <c r="W25" s="15"/>
      <c r="X25" s="15">
        <v>20</v>
      </c>
      <c r="Y25" s="15">
        <f>(((70000/4900))/(I25*AF25))*100</f>
        <v>30.459945172098692</v>
      </c>
      <c r="Z25" s="15">
        <v>2</v>
      </c>
      <c r="AA25" s="32">
        <f t="shared" si="1"/>
        <v>0.33500000000000002</v>
      </c>
      <c r="AB25" s="15">
        <v>8</v>
      </c>
      <c r="AC25" s="15">
        <v>0</v>
      </c>
      <c r="AD25" s="35">
        <f t="shared" si="6"/>
        <v>0</v>
      </c>
      <c r="AE25" s="33">
        <f t="shared" si="7"/>
        <v>2.5</v>
      </c>
      <c r="AF25" s="15">
        <v>7</v>
      </c>
      <c r="AG25" s="15">
        <v>1</v>
      </c>
      <c r="AH25" s="15">
        <v>0</v>
      </c>
      <c r="AI25" s="15">
        <v>1</v>
      </c>
      <c r="AJ25" s="15" t="s">
        <v>221</v>
      </c>
      <c r="AK25" s="15">
        <v>15</v>
      </c>
      <c r="AL25" s="15">
        <v>6000</v>
      </c>
      <c r="AM25" s="33">
        <f t="shared" si="8"/>
        <v>4500</v>
      </c>
      <c r="AN25" s="33">
        <f t="shared" si="9"/>
        <v>300</v>
      </c>
      <c r="AO25" s="15" t="s">
        <v>195</v>
      </c>
      <c r="AP25" s="15" t="s">
        <v>195</v>
      </c>
      <c r="AQ25" s="15" t="s">
        <v>195</v>
      </c>
      <c r="AR25" s="15"/>
      <c r="AU25" s="27">
        <v>45463</v>
      </c>
      <c r="AV25" s="23">
        <v>45419</v>
      </c>
      <c r="AW25" t="s">
        <v>296</v>
      </c>
      <c r="AX25" t="s">
        <v>191</v>
      </c>
      <c r="AY25" t="s">
        <v>197</v>
      </c>
      <c r="AZ25" t="s">
        <v>197</v>
      </c>
    </row>
    <row r="26" spans="1:52" s="26" customFormat="1" ht="45">
      <c r="A26" s="38" t="s">
        <v>297</v>
      </c>
      <c r="B26" s="15" t="s">
        <v>298</v>
      </c>
      <c r="C26" s="15" t="s">
        <v>191</v>
      </c>
      <c r="D26" s="15">
        <v>4</v>
      </c>
      <c r="E26" s="15" t="s">
        <v>299</v>
      </c>
      <c r="F26" s="15" t="s">
        <v>300</v>
      </c>
      <c r="G26" s="15">
        <v>0</v>
      </c>
      <c r="H26" s="15">
        <v>25.8</v>
      </c>
      <c r="I26" s="15">
        <v>42.2</v>
      </c>
      <c r="J26" s="15">
        <v>24</v>
      </c>
      <c r="K26" s="15">
        <v>6</v>
      </c>
      <c r="L26" s="35">
        <f t="shared" si="0"/>
        <v>0.25</v>
      </c>
      <c r="M26" s="15" t="s">
        <v>191</v>
      </c>
      <c r="N26" s="15" t="s">
        <v>191</v>
      </c>
      <c r="O26" s="16" t="s">
        <v>301</v>
      </c>
      <c r="P26" s="15" t="s">
        <v>191</v>
      </c>
      <c r="Q26" s="15">
        <v>100</v>
      </c>
      <c r="R26" s="15">
        <v>20</v>
      </c>
      <c r="S26" s="15"/>
      <c r="T26" s="15">
        <v>30</v>
      </c>
      <c r="U26" s="15"/>
      <c r="V26" s="15">
        <v>1</v>
      </c>
      <c r="W26" s="15"/>
      <c r="X26" s="15">
        <v>49</v>
      </c>
      <c r="Y26" s="15">
        <f>(((140000/4900))/(I26*AF26))*100</f>
        <v>11.284134506883321</v>
      </c>
      <c r="Z26" s="15">
        <v>2</v>
      </c>
      <c r="AA26" s="32">
        <f t="shared" si="1"/>
        <v>0.42200000000000004</v>
      </c>
      <c r="AB26" s="15">
        <v>70</v>
      </c>
      <c r="AC26" s="15">
        <v>6</v>
      </c>
      <c r="AD26" s="36">
        <f t="shared" si="6"/>
        <v>8.5714285714285715E-2</v>
      </c>
      <c r="AE26" s="33">
        <f t="shared" si="7"/>
        <v>1.4285714285714286</v>
      </c>
      <c r="AF26" s="15">
        <v>6</v>
      </c>
      <c r="AG26" s="15">
        <v>1</v>
      </c>
      <c r="AH26" s="15">
        <v>1</v>
      </c>
      <c r="AI26" s="15">
        <v>1</v>
      </c>
      <c r="AJ26" s="15" t="s">
        <v>227</v>
      </c>
      <c r="AK26" s="15">
        <v>16</v>
      </c>
      <c r="AL26" s="15">
        <v>30000</v>
      </c>
      <c r="AM26" s="33">
        <f t="shared" si="8"/>
        <v>22500</v>
      </c>
      <c r="AN26" s="33">
        <f t="shared" si="9"/>
        <v>300</v>
      </c>
      <c r="AO26" s="15" t="s">
        <v>195</v>
      </c>
      <c r="AP26" s="15" t="s">
        <v>195</v>
      </c>
      <c r="AQ26" s="15" t="s">
        <v>195</v>
      </c>
      <c r="AR26" s="15"/>
      <c r="AU26" s="29">
        <v>45462</v>
      </c>
      <c r="AV26" s="25">
        <v>45425</v>
      </c>
      <c r="AW26" s="26" t="s">
        <v>302</v>
      </c>
      <c r="AX26" s="26" t="s">
        <v>191</v>
      </c>
      <c r="AY26" s="26" t="s">
        <v>197</v>
      </c>
      <c r="AZ26" s="26" t="s">
        <v>197</v>
      </c>
    </row>
    <row r="27" spans="1:52" ht="30">
      <c r="A27" s="38" t="s">
        <v>303</v>
      </c>
      <c r="B27" s="15" t="s">
        <v>304</v>
      </c>
      <c r="C27" s="15" t="s">
        <v>195</v>
      </c>
      <c r="D27" s="15">
        <v>1</v>
      </c>
      <c r="E27" s="15" t="s">
        <v>305</v>
      </c>
      <c r="F27" s="15" t="s">
        <v>287</v>
      </c>
      <c r="G27" s="15">
        <v>1</v>
      </c>
      <c r="H27" s="15">
        <v>12.9</v>
      </c>
      <c r="I27" s="15">
        <v>25.1</v>
      </c>
      <c r="J27" s="15">
        <v>52</v>
      </c>
      <c r="K27" s="15">
        <v>8</v>
      </c>
      <c r="L27" s="35">
        <f t="shared" si="0"/>
        <v>0.15384615384615385</v>
      </c>
      <c r="M27" s="15" t="s">
        <v>191</v>
      </c>
      <c r="N27" s="15" t="s">
        <v>191</v>
      </c>
      <c r="O27" s="15" t="s">
        <v>306</v>
      </c>
      <c r="P27" s="15" t="s">
        <v>195</v>
      </c>
      <c r="Q27" s="15">
        <v>70</v>
      </c>
      <c r="R27" s="15"/>
      <c r="S27" s="15"/>
      <c r="T27" s="15">
        <v>30</v>
      </c>
      <c r="U27" s="15">
        <f>(((100000/4900))/(I27*AF27))*100</f>
        <v>16.261484673550694</v>
      </c>
      <c r="V27" s="15">
        <v>20</v>
      </c>
      <c r="W27" s="15"/>
      <c r="X27" s="15">
        <v>20</v>
      </c>
      <c r="Y27" s="15"/>
      <c r="Z27" s="15">
        <v>2</v>
      </c>
      <c r="AA27" s="32">
        <f t="shared" si="1"/>
        <v>0.3585714285714286</v>
      </c>
      <c r="AB27" s="15">
        <v>42</v>
      </c>
      <c r="AC27" s="15">
        <v>8</v>
      </c>
      <c r="AD27" s="36">
        <f t="shared" si="6"/>
        <v>0.19047619047619047</v>
      </c>
      <c r="AE27" s="33">
        <f t="shared" si="7"/>
        <v>1.6666666666666667</v>
      </c>
      <c r="AF27" s="15">
        <v>5</v>
      </c>
      <c r="AG27" s="15">
        <v>0</v>
      </c>
      <c r="AH27" s="15">
        <v>0</v>
      </c>
      <c r="AI27" s="15">
        <v>1</v>
      </c>
      <c r="AJ27" s="15" t="s">
        <v>221</v>
      </c>
      <c r="AK27" s="15">
        <v>15</v>
      </c>
      <c r="AL27" s="15">
        <v>19000</v>
      </c>
      <c r="AM27" s="33">
        <f t="shared" si="8"/>
        <v>14250</v>
      </c>
      <c r="AN27" s="33">
        <f t="shared" si="9"/>
        <v>271.42857142857144</v>
      </c>
      <c r="AO27" s="15" t="s">
        <v>195</v>
      </c>
      <c r="AP27" s="15" t="s">
        <v>191</v>
      </c>
      <c r="AQ27" s="15" t="s">
        <v>191</v>
      </c>
      <c r="AR27" s="16" t="s">
        <v>307</v>
      </c>
      <c r="AU27" s="27">
        <v>45461</v>
      </c>
      <c r="AV27" s="22">
        <v>45425</v>
      </c>
      <c r="AW27" t="s">
        <v>276</v>
      </c>
      <c r="AX27" t="s">
        <v>191</v>
      </c>
      <c r="AY27" t="s">
        <v>197</v>
      </c>
      <c r="AZ27" t="s">
        <v>197</v>
      </c>
    </row>
    <row r="28" spans="1:52">
      <c r="A28" s="38" t="s">
        <v>308</v>
      </c>
      <c r="B28" s="15" t="s">
        <v>309</v>
      </c>
      <c r="C28" s="15" t="s">
        <v>191</v>
      </c>
      <c r="D28" s="15">
        <v>2</v>
      </c>
      <c r="E28" s="15" t="s">
        <v>310</v>
      </c>
      <c r="F28" s="15" t="s">
        <v>206</v>
      </c>
      <c r="G28" s="15">
        <v>1</v>
      </c>
      <c r="H28" s="15">
        <v>6.8</v>
      </c>
      <c r="I28" s="15">
        <v>12.3</v>
      </c>
      <c r="J28" s="15">
        <v>32</v>
      </c>
      <c r="K28" s="15">
        <v>2</v>
      </c>
      <c r="L28" s="35">
        <f t="shared" si="0"/>
        <v>6.25E-2</v>
      </c>
      <c r="M28" s="15" t="s">
        <v>191</v>
      </c>
      <c r="N28" s="15" t="s">
        <v>191</v>
      </c>
      <c r="O28" s="15" t="s">
        <v>193</v>
      </c>
      <c r="P28" s="15" t="s">
        <v>195</v>
      </c>
      <c r="Q28" s="15">
        <v>32</v>
      </c>
      <c r="R28" s="15"/>
      <c r="S28" s="15"/>
      <c r="T28" s="15">
        <v>18</v>
      </c>
      <c r="U28" s="15">
        <f>(((100000/4900))/(I28*AF28))*100</f>
        <v>16.592002654720424</v>
      </c>
      <c r="V28" s="15"/>
      <c r="W28" s="15"/>
      <c r="X28" s="15">
        <v>14</v>
      </c>
      <c r="Y28" s="15"/>
      <c r="Z28" s="15">
        <v>1</v>
      </c>
      <c r="AA28" s="32">
        <f t="shared" si="1"/>
        <v>0.38437500000000002</v>
      </c>
      <c r="AB28" s="15">
        <v>25</v>
      </c>
      <c r="AC28" s="15">
        <v>3</v>
      </c>
      <c r="AD28" s="36">
        <f t="shared" si="6"/>
        <v>0.12</v>
      </c>
      <c r="AE28" s="33">
        <f t="shared" si="7"/>
        <v>1.28</v>
      </c>
      <c r="AF28" s="15">
        <v>10</v>
      </c>
      <c r="AG28" s="15">
        <v>1</v>
      </c>
      <c r="AH28" s="15">
        <v>1</v>
      </c>
      <c r="AI28" s="15">
        <v>1</v>
      </c>
      <c r="AJ28" s="15" t="s">
        <v>311</v>
      </c>
      <c r="AK28" s="15">
        <v>17</v>
      </c>
      <c r="AL28" s="15">
        <v>17000</v>
      </c>
      <c r="AM28" s="33">
        <f t="shared" si="8"/>
        <v>12750</v>
      </c>
      <c r="AN28" s="33">
        <f t="shared" si="9"/>
        <v>531.25</v>
      </c>
      <c r="AO28" s="15" t="s">
        <v>195</v>
      </c>
      <c r="AP28" s="15" t="s">
        <v>195</v>
      </c>
      <c r="AQ28" s="15" t="s">
        <v>191</v>
      </c>
      <c r="AR28" s="15"/>
      <c r="AU28" s="27">
        <v>45464</v>
      </c>
      <c r="AV28" s="22">
        <v>45422</v>
      </c>
      <c r="AW28" t="s">
        <v>276</v>
      </c>
      <c r="AX28" t="s">
        <v>191</v>
      </c>
      <c r="AY28" t="s">
        <v>197</v>
      </c>
      <c r="AZ28" t="s">
        <v>197</v>
      </c>
    </row>
    <row r="29" spans="1:52">
      <c r="A29" s="38" t="s">
        <v>312</v>
      </c>
      <c r="B29" s="15" t="s">
        <v>313</v>
      </c>
      <c r="C29" s="15" t="s">
        <v>195</v>
      </c>
      <c r="D29" s="15">
        <v>1</v>
      </c>
      <c r="E29" s="15" t="s">
        <v>245</v>
      </c>
      <c r="F29" s="15" t="s">
        <v>275</v>
      </c>
      <c r="G29" s="15">
        <v>1</v>
      </c>
      <c r="H29" s="15">
        <v>7.3</v>
      </c>
      <c r="I29" s="15">
        <v>14.2</v>
      </c>
      <c r="J29" s="15">
        <v>34</v>
      </c>
      <c r="K29" s="15">
        <v>3</v>
      </c>
      <c r="L29" s="35">
        <f t="shared" si="0"/>
        <v>8.8235294117647065E-2</v>
      </c>
      <c r="M29" s="15" t="s">
        <v>195</v>
      </c>
      <c r="N29" s="15" t="s">
        <v>195</v>
      </c>
      <c r="O29" s="15"/>
      <c r="P29" s="15" t="s">
        <v>195</v>
      </c>
      <c r="Q29" s="15">
        <v>20</v>
      </c>
      <c r="R29" s="15">
        <v>8</v>
      </c>
      <c r="S29" s="15"/>
      <c r="T29" s="15">
        <v>6</v>
      </c>
      <c r="U29" s="15">
        <f>(((100000/4900))/(I29*AF29))*100</f>
        <v>20.531351373547409</v>
      </c>
      <c r="V29" s="15"/>
      <c r="W29" s="15"/>
      <c r="X29" s="15">
        <v>6</v>
      </c>
      <c r="Y29" s="15"/>
      <c r="Z29" s="15">
        <v>1</v>
      </c>
      <c r="AA29" s="32">
        <f t="shared" si="1"/>
        <v>0.71</v>
      </c>
      <c r="AB29" s="15">
        <v>8</v>
      </c>
      <c r="AC29" s="15">
        <v>2</v>
      </c>
      <c r="AD29" s="36">
        <f t="shared" si="6"/>
        <v>0.25</v>
      </c>
      <c r="AE29" s="33">
        <f t="shared" si="7"/>
        <v>2.5</v>
      </c>
      <c r="AF29" s="15">
        <v>7</v>
      </c>
      <c r="AG29" s="15">
        <v>1</v>
      </c>
      <c r="AH29" s="15">
        <v>1</v>
      </c>
      <c r="AI29" s="15">
        <v>0</v>
      </c>
      <c r="AJ29" s="15" t="s">
        <v>311</v>
      </c>
      <c r="AK29" s="15">
        <v>17</v>
      </c>
      <c r="AL29" s="15">
        <v>5000</v>
      </c>
      <c r="AM29" s="33">
        <f t="shared" si="8"/>
        <v>3750</v>
      </c>
      <c r="AN29" s="33">
        <f t="shared" si="9"/>
        <v>250</v>
      </c>
      <c r="AO29" s="15" t="s">
        <v>195</v>
      </c>
      <c r="AP29" s="15" t="s">
        <v>195</v>
      </c>
      <c r="AQ29" s="15" t="s">
        <v>195</v>
      </c>
      <c r="AR29" s="15"/>
      <c r="AU29" s="27">
        <v>45462</v>
      </c>
      <c r="AV29" s="23">
        <v>45420</v>
      </c>
      <c r="AW29" t="s">
        <v>276</v>
      </c>
      <c r="AX29" t="s">
        <v>195</v>
      </c>
      <c r="AY29" t="s">
        <v>229</v>
      </c>
      <c r="AZ29" t="s">
        <v>229</v>
      </c>
    </row>
    <row r="30" spans="1:52">
      <c r="A30" s="38" t="s">
        <v>314</v>
      </c>
      <c r="B30" s="15" t="s">
        <v>315</v>
      </c>
      <c r="C30" s="15" t="s">
        <v>191</v>
      </c>
      <c r="D30" s="15">
        <v>2</v>
      </c>
      <c r="E30" s="15" t="s">
        <v>316</v>
      </c>
      <c r="F30" s="15" t="s">
        <v>206</v>
      </c>
      <c r="G30" s="15">
        <v>0</v>
      </c>
      <c r="H30" s="15">
        <v>16.7</v>
      </c>
      <c r="I30" s="15">
        <v>33.4</v>
      </c>
      <c r="J30" s="15">
        <v>30</v>
      </c>
      <c r="K30" s="15">
        <v>2</v>
      </c>
      <c r="L30" s="35">
        <f t="shared" si="0"/>
        <v>6.6666666666666666E-2</v>
      </c>
      <c r="M30" s="15" t="s">
        <v>191</v>
      </c>
      <c r="N30" s="15" t="s">
        <v>191</v>
      </c>
      <c r="O30" s="15" t="s">
        <v>193</v>
      </c>
      <c r="P30" s="15" t="s">
        <v>195</v>
      </c>
      <c r="Q30" s="15">
        <v>34</v>
      </c>
      <c r="R30" s="15"/>
      <c r="S30" s="15"/>
      <c r="T30" s="15">
        <v>11</v>
      </c>
      <c r="U30" s="15">
        <f>(((80000/4900))/(I30*AF30))*100</f>
        <v>12.220457045093488</v>
      </c>
      <c r="V30" s="15"/>
      <c r="W30" s="15"/>
      <c r="X30" s="15">
        <v>23</v>
      </c>
      <c r="Y30" s="15"/>
      <c r="Z30" s="15">
        <v>1</v>
      </c>
      <c r="AA30" s="32">
        <f t="shared" si="1"/>
        <v>0.98235294117647054</v>
      </c>
      <c r="AB30" s="15">
        <v>22</v>
      </c>
      <c r="AC30" s="15">
        <v>0</v>
      </c>
      <c r="AD30" s="36">
        <f t="shared" si="6"/>
        <v>0</v>
      </c>
      <c r="AE30" s="33">
        <f t="shared" si="7"/>
        <v>1.5454545454545454</v>
      </c>
      <c r="AF30" s="15">
        <v>4</v>
      </c>
      <c r="AG30" s="15">
        <v>1</v>
      </c>
      <c r="AH30" s="15">
        <v>1</v>
      </c>
      <c r="AI30" s="15">
        <v>1</v>
      </c>
      <c r="AJ30" s="15" t="s">
        <v>227</v>
      </c>
      <c r="AK30" s="15">
        <v>16</v>
      </c>
      <c r="AL30" s="15">
        <v>7000</v>
      </c>
      <c r="AM30" s="33">
        <f t="shared" si="8"/>
        <v>5250</v>
      </c>
      <c r="AN30" s="33">
        <f t="shared" si="9"/>
        <v>205.88235294117646</v>
      </c>
      <c r="AO30" s="15" t="s">
        <v>195</v>
      </c>
      <c r="AP30" s="15" t="s">
        <v>195</v>
      </c>
      <c r="AQ30" s="15" t="s">
        <v>191</v>
      </c>
      <c r="AR30" s="15"/>
      <c r="AU30" s="27">
        <v>45464</v>
      </c>
      <c r="AV30" s="23">
        <v>45420</v>
      </c>
      <c r="AW30" t="s">
        <v>196</v>
      </c>
      <c r="AX30" t="s">
        <v>191</v>
      </c>
      <c r="AY30" t="s">
        <v>197</v>
      </c>
      <c r="AZ30" t="s">
        <v>197</v>
      </c>
    </row>
    <row r="31" spans="1:52">
      <c r="A31" s="38" t="s">
        <v>317</v>
      </c>
      <c r="B31" s="15" t="s">
        <v>298</v>
      </c>
      <c r="C31" s="15" t="s">
        <v>195</v>
      </c>
      <c r="D31" s="15">
        <v>1</v>
      </c>
      <c r="E31" s="15" t="s">
        <v>318</v>
      </c>
      <c r="F31" s="15" t="s">
        <v>287</v>
      </c>
      <c r="G31" s="15">
        <v>0</v>
      </c>
      <c r="H31" s="15">
        <v>15</v>
      </c>
      <c r="I31" s="15">
        <v>30</v>
      </c>
      <c r="J31" s="15">
        <v>30</v>
      </c>
      <c r="K31" s="15">
        <v>1</v>
      </c>
      <c r="L31" s="35">
        <f t="shared" si="0"/>
        <v>3.3333333333333333E-2</v>
      </c>
      <c r="M31" s="15" t="s">
        <v>191</v>
      </c>
      <c r="N31" s="15" t="s">
        <v>191</v>
      </c>
      <c r="O31" s="15" t="s">
        <v>193</v>
      </c>
      <c r="P31" s="15" t="s">
        <v>195</v>
      </c>
      <c r="Q31" s="15">
        <v>30</v>
      </c>
      <c r="R31" s="15"/>
      <c r="S31" s="15"/>
      <c r="T31" s="15">
        <v>5</v>
      </c>
      <c r="U31" s="15"/>
      <c r="V31" s="15">
        <v>1</v>
      </c>
      <c r="W31" s="15"/>
      <c r="X31" s="15">
        <v>24</v>
      </c>
      <c r="Y31" s="15">
        <f>(((90000/4900))/(I31*AF31))*100</f>
        <v>12.244897959183675</v>
      </c>
      <c r="Z31" s="15">
        <v>2</v>
      </c>
      <c r="AA31" s="32">
        <f t="shared" si="1"/>
        <v>1</v>
      </c>
      <c r="AB31" s="15">
        <v>24</v>
      </c>
      <c r="AC31" s="15">
        <v>2</v>
      </c>
      <c r="AD31" s="35">
        <f t="shared" si="6"/>
        <v>8.3333333333333329E-2</v>
      </c>
      <c r="AE31" s="33">
        <f t="shared" si="7"/>
        <v>1.25</v>
      </c>
      <c r="AF31" s="15">
        <v>5</v>
      </c>
      <c r="AG31" s="15">
        <v>1</v>
      </c>
      <c r="AH31" s="15">
        <v>1</v>
      </c>
      <c r="AI31" s="15">
        <v>1</v>
      </c>
      <c r="AJ31" s="15" t="s">
        <v>221</v>
      </c>
      <c r="AK31" s="15">
        <v>15</v>
      </c>
      <c r="AL31" s="15">
        <v>8000</v>
      </c>
      <c r="AM31" s="33">
        <f t="shared" si="8"/>
        <v>6000</v>
      </c>
      <c r="AN31" s="33">
        <f t="shared" si="9"/>
        <v>266.66666666666669</v>
      </c>
      <c r="AO31" s="15" t="s">
        <v>195</v>
      </c>
      <c r="AP31" s="15" t="s">
        <v>195</v>
      </c>
      <c r="AQ31" s="15" t="s">
        <v>195</v>
      </c>
      <c r="AR31" s="15"/>
      <c r="AU31" s="27">
        <v>45461</v>
      </c>
      <c r="AV31" s="23">
        <v>45419</v>
      </c>
      <c r="AW31" t="s">
        <v>319</v>
      </c>
      <c r="AX31" t="s">
        <v>191</v>
      </c>
      <c r="AY31" t="s">
        <v>197</v>
      </c>
      <c r="AZ31" t="s">
        <v>197</v>
      </c>
    </row>
    <row r="32" spans="1:52">
      <c r="A32" s="38" t="s">
        <v>320</v>
      </c>
      <c r="B32" s="15" t="s">
        <v>321</v>
      </c>
      <c r="C32" s="15" t="s">
        <v>195</v>
      </c>
      <c r="D32" s="15">
        <v>1</v>
      </c>
      <c r="E32" s="15" t="s">
        <v>322</v>
      </c>
      <c r="F32" s="15" t="s">
        <v>323</v>
      </c>
      <c r="G32" s="15">
        <v>1</v>
      </c>
      <c r="H32" s="15">
        <v>6.1</v>
      </c>
      <c r="I32" s="15">
        <v>11.5</v>
      </c>
      <c r="J32" s="15">
        <v>10</v>
      </c>
      <c r="K32" s="15">
        <v>5</v>
      </c>
      <c r="L32" s="35">
        <f t="shared" si="0"/>
        <v>0.5</v>
      </c>
      <c r="M32" s="15" t="s">
        <v>191</v>
      </c>
      <c r="N32" s="15" t="s">
        <v>195</v>
      </c>
      <c r="O32" s="15"/>
      <c r="P32" s="15" t="s">
        <v>195</v>
      </c>
      <c r="Q32" s="15">
        <v>14</v>
      </c>
      <c r="R32" s="15"/>
      <c r="S32" s="15"/>
      <c r="T32" s="15"/>
      <c r="U32" s="15"/>
      <c r="V32" s="15"/>
      <c r="W32" s="15"/>
      <c r="X32" s="15">
        <v>14</v>
      </c>
      <c r="Y32" s="15">
        <f>(((80000/4900))/(I32*AF32))*100</f>
        <v>14.196983141082519</v>
      </c>
      <c r="Z32" s="15">
        <v>2</v>
      </c>
      <c r="AA32" s="32">
        <f t="shared" si="1"/>
        <v>0.8214285714285714</v>
      </c>
      <c r="AB32" s="15">
        <v>8</v>
      </c>
      <c r="AC32" s="15">
        <v>5</v>
      </c>
      <c r="AD32" s="35">
        <f t="shared" si="6"/>
        <v>0.625</v>
      </c>
      <c r="AE32" s="33">
        <f t="shared" si="7"/>
        <v>1.75</v>
      </c>
      <c r="AF32" s="15">
        <v>10</v>
      </c>
      <c r="AG32" s="15">
        <v>1</v>
      </c>
      <c r="AH32" s="15">
        <v>0</v>
      </c>
      <c r="AI32" s="15">
        <v>1</v>
      </c>
      <c r="AJ32" s="15" t="s">
        <v>221</v>
      </c>
      <c r="AK32" s="15">
        <v>15</v>
      </c>
      <c r="AL32" s="15">
        <v>5000</v>
      </c>
      <c r="AM32" s="33">
        <f t="shared" si="8"/>
        <v>3750</v>
      </c>
      <c r="AN32" s="33">
        <f t="shared" si="9"/>
        <v>357.14285714285717</v>
      </c>
      <c r="AO32" s="15" t="s">
        <v>195</v>
      </c>
      <c r="AP32" s="15" t="s">
        <v>195</v>
      </c>
      <c r="AQ32" s="15" t="s">
        <v>195</v>
      </c>
      <c r="AR32" s="15"/>
      <c r="AU32" s="27">
        <v>45462</v>
      </c>
      <c r="AV32" s="23">
        <v>45426</v>
      </c>
      <c r="AW32" t="s">
        <v>324</v>
      </c>
      <c r="AX32" t="s">
        <v>191</v>
      </c>
      <c r="AY32" t="s">
        <v>197</v>
      </c>
      <c r="AZ32" t="s">
        <v>229</v>
      </c>
    </row>
    <row r="33" spans="1:52">
      <c r="A33" s="38" t="s">
        <v>325</v>
      </c>
      <c r="B33" s="15" t="s">
        <v>326</v>
      </c>
      <c r="C33" s="15" t="s">
        <v>191</v>
      </c>
      <c r="D33" s="15">
        <v>3</v>
      </c>
      <c r="E33" s="15" t="s">
        <v>327</v>
      </c>
      <c r="F33" s="15" t="s">
        <v>220</v>
      </c>
      <c r="G33" s="15">
        <v>1</v>
      </c>
      <c r="H33" s="15">
        <v>8.9</v>
      </c>
      <c r="I33" s="15">
        <v>17.7</v>
      </c>
      <c r="J33" s="15">
        <v>15</v>
      </c>
      <c r="K33" s="15">
        <v>4</v>
      </c>
      <c r="L33" s="35">
        <f t="shared" si="0"/>
        <v>0.26666666666666666</v>
      </c>
      <c r="M33" s="15" t="s">
        <v>191</v>
      </c>
      <c r="N33" s="15" t="s">
        <v>191</v>
      </c>
      <c r="O33" s="15" t="s">
        <v>193</v>
      </c>
      <c r="P33" s="15" t="s">
        <v>195</v>
      </c>
      <c r="Q33" s="15">
        <v>121</v>
      </c>
      <c r="R33" s="15"/>
      <c r="S33" s="15"/>
      <c r="T33" s="15">
        <v>121</v>
      </c>
      <c r="U33" s="15">
        <f>(((80000/4900))/(I33*AF33))*100</f>
        <v>18.448057188977284</v>
      </c>
      <c r="V33" s="15"/>
      <c r="W33" s="15"/>
      <c r="X33" s="15"/>
      <c r="Y33" s="15"/>
      <c r="Z33" s="15">
        <v>2</v>
      </c>
      <c r="AA33" s="32">
        <f t="shared" si="1"/>
        <v>0.14628099173553719</v>
      </c>
      <c r="AB33" s="15">
        <v>108</v>
      </c>
      <c r="AC33" s="15">
        <v>12</v>
      </c>
      <c r="AD33" s="35">
        <f t="shared" si="6"/>
        <v>0.1111111111111111</v>
      </c>
      <c r="AE33" s="33">
        <f t="shared" si="7"/>
        <v>1.1203703703703705</v>
      </c>
      <c r="AF33" s="15">
        <v>5</v>
      </c>
      <c r="AG33" s="15">
        <v>1</v>
      </c>
      <c r="AH33" s="15">
        <v>1</v>
      </c>
      <c r="AI33" s="15">
        <v>1</v>
      </c>
      <c r="AJ33" s="15" t="s">
        <v>221</v>
      </c>
      <c r="AK33" s="15">
        <v>15</v>
      </c>
      <c r="AL33" s="15">
        <v>16120</v>
      </c>
      <c r="AM33" s="33">
        <f t="shared" si="8"/>
        <v>12090</v>
      </c>
      <c r="AN33" s="33">
        <f t="shared" si="9"/>
        <v>133.22314049586777</v>
      </c>
      <c r="AO33" s="15" t="s">
        <v>195</v>
      </c>
      <c r="AP33" s="15" t="s">
        <v>195</v>
      </c>
      <c r="AQ33" s="15" t="s">
        <v>191</v>
      </c>
      <c r="AR33" s="15"/>
      <c r="AT33" t="s">
        <v>328</v>
      </c>
      <c r="AV33" s="23">
        <v>45420</v>
      </c>
      <c r="AW33" t="s">
        <v>196</v>
      </c>
      <c r="AX33" t="s">
        <v>191</v>
      </c>
      <c r="AY33" t="s">
        <v>197</v>
      </c>
      <c r="AZ33" t="s">
        <v>197</v>
      </c>
    </row>
    <row r="34" spans="1:52">
      <c r="A34" s="38" t="s">
        <v>329</v>
      </c>
      <c r="B34" s="15" t="s">
        <v>330</v>
      </c>
      <c r="C34" s="15" t="s">
        <v>195</v>
      </c>
      <c r="D34" s="15">
        <v>1</v>
      </c>
      <c r="E34" s="15" t="s">
        <v>299</v>
      </c>
      <c r="F34" s="15" t="s">
        <v>331</v>
      </c>
      <c r="G34" s="15">
        <v>1</v>
      </c>
      <c r="H34" s="15">
        <v>16.399999999999999</v>
      </c>
      <c r="I34" s="15">
        <v>32.799999999999997</v>
      </c>
      <c r="J34" s="15">
        <v>30</v>
      </c>
      <c r="K34" s="15">
        <v>0</v>
      </c>
      <c r="L34" s="35">
        <f t="shared" si="0"/>
        <v>0</v>
      </c>
      <c r="M34" s="15" t="s">
        <v>195</v>
      </c>
      <c r="N34" s="15" t="s">
        <v>191</v>
      </c>
      <c r="O34" s="15" t="s">
        <v>193</v>
      </c>
      <c r="P34" s="15" t="s">
        <v>191</v>
      </c>
      <c r="Q34" s="15">
        <v>62</v>
      </c>
      <c r="R34" s="15">
        <v>57</v>
      </c>
      <c r="S34" s="15">
        <f>(((80000/4900))/(AF34*I34))*100</f>
        <v>9.955201592832255</v>
      </c>
      <c r="T34" s="15">
        <v>5</v>
      </c>
      <c r="U34" s="15"/>
      <c r="V34" s="15"/>
      <c r="W34" s="15"/>
      <c r="X34" s="15"/>
      <c r="Y34" s="15"/>
      <c r="Z34" s="15">
        <v>1</v>
      </c>
      <c r="AA34" s="32">
        <f t="shared" si="1"/>
        <v>0.52903225806451604</v>
      </c>
      <c r="AB34" s="15">
        <v>62</v>
      </c>
      <c r="AC34" s="15">
        <v>1</v>
      </c>
      <c r="AD34" s="35">
        <f t="shared" si="6"/>
        <v>1.6129032258064516E-2</v>
      </c>
      <c r="AE34" s="33">
        <f t="shared" si="7"/>
        <v>1</v>
      </c>
      <c r="AF34" s="15">
        <v>5</v>
      </c>
      <c r="AG34" s="15">
        <v>1</v>
      </c>
      <c r="AH34" s="15">
        <v>1</v>
      </c>
      <c r="AI34" s="15">
        <v>1</v>
      </c>
      <c r="AJ34" s="15" t="s">
        <v>227</v>
      </c>
      <c r="AK34" s="15">
        <v>16</v>
      </c>
      <c r="AL34" s="15">
        <v>11000</v>
      </c>
      <c r="AM34" s="33">
        <f t="shared" si="8"/>
        <v>8250</v>
      </c>
      <c r="AN34" s="33">
        <f t="shared" si="9"/>
        <v>177.41935483870967</v>
      </c>
      <c r="AO34" s="15" t="s">
        <v>195</v>
      </c>
      <c r="AP34" s="15" t="s">
        <v>195</v>
      </c>
      <c r="AQ34" s="15" t="s">
        <v>191</v>
      </c>
      <c r="AR34" s="15"/>
      <c r="AU34" s="27">
        <v>45462</v>
      </c>
      <c r="AV34" s="23">
        <v>45422</v>
      </c>
      <c r="AW34" t="s">
        <v>267</v>
      </c>
      <c r="AX34" t="s">
        <v>191</v>
      </c>
      <c r="AY34" t="s">
        <v>229</v>
      </c>
      <c r="AZ34" t="s">
        <v>229</v>
      </c>
    </row>
    <row r="35" spans="1:52" ht="30">
      <c r="A35" s="38" t="s">
        <v>332</v>
      </c>
      <c r="B35" s="15" t="s">
        <v>333</v>
      </c>
      <c r="C35" s="15" t="s">
        <v>191</v>
      </c>
      <c r="D35" s="15">
        <v>2</v>
      </c>
      <c r="E35" s="15" t="s">
        <v>334</v>
      </c>
      <c r="F35" s="15" t="s">
        <v>335</v>
      </c>
      <c r="G35" s="15">
        <v>0</v>
      </c>
      <c r="H35" s="15">
        <v>19</v>
      </c>
      <c r="I35" s="15">
        <v>38</v>
      </c>
      <c r="J35" s="15">
        <v>37</v>
      </c>
      <c r="K35" s="15">
        <v>4</v>
      </c>
      <c r="L35" s="35">
        <f t="shared" si="0"/>
        <v>0.10810810810810811</v>
      </c>
      <c r="M35" s="15" t="s">
        <v>191</v>
      </c>
      <c r="N35" s="15" t="s">
        <v>191</v>
      </c>
      <c r="O35" s="15" t="s">
        <v>193</v>
      </c>
      <c r="P35" s="15" t="s">
        <v>195</v>
      </c>
      <c r="Q35" s="15">
        <v>58</v>
      </c>
      <c r="R35" s="15"/>
      <c r="S35" s="15"/>
      <c r="T35" s="15">
        <v>40</v>
      </c>
      <c r="U35" s="15">
        <f>(((100000/4900))/(I35*AF35))*100</f>
        <v>10.741138560687432</v>
      </c>
      <c r="V35" s="15"/>
      <c r="W35" s="15"/>
      <c r="X35" s="15">
        <v>18</v>
      </c>
      <c r="Y35" s="15"/>
      <c r="Z35" s="15">
        <v>2</v>
      </c>
      <c r="AA35" s="32">
        <f t="shared" si="1"/>
        <v>0.65517241379310343</v>
      </c>
      <c r="AB35" s="15">
        <v>48</v>
      </c>
      <c r="AC35" s="15">
        <v>0</v>
      </c>
      <c r="AD35" s="35">
        <f t="shared" si="6"/>
        <v>0</v>
      </c>
      <c r="AE35" s="15"/>
      <c r="AF35" s="15">
        <v>5</v>
      </c>
      <c r="AG35" s="15">
        <v>1</v>
      </c>
      <c r="AH35" s="15">
        <v>0</v>
      </c>
      <c r="AI35" s="15">
        <v>1</v>
      </c>
      <c r="AJ35" s="15" t="s">
        <v>257</v>
      </c>
      <c r="AK35" s="15">
        <v>14</v>
      </c>
      <c r="AL35" s="15">
        <v>16000</v>
      </c>
      <c r="AM35" s="33">
        <f t="shared" si="8"/>
        <v>12000</v>
      </c>
      <c r="AN35" s="33">
        <f t="shared" si="9"/>
        <v>275.86206896551727</v>
      </c>
      <c r="AO35" s="15" t="s">
        <v>195</v>
      </c>
      <c r="AP35" s="15" t="s">
        <v>195</v>
      </c>
      <c r="AQ35" s="15" t="s">
        <v>191</v>
      </c>
      <c r="AR35" s="15"/>
      <c r="AU35" s="27">
        <v>45461</v>
      </c>
      <c r="AV35" s="31" t="s">
        <v>336</v>
      </c>
      <c r="AW35" t="s">
        <v>276</v>
      </c>
      <c r="AX35" t="s">
        <v>191</v>
      </c>
      <c r="AY35" t="s">
        <v>229</v>
      </c>
      <c r="AZ35" t="s">
        <v>229</v>
      </c>
    </row>
    <row r="36" spans="1:52">
      <c r="A36" s="38" t="s">
        <v>337</v>
      </c>
      <c r="B36" s="15" t="s">
        <v>338</v>
      </c>
      <c r="C36" s="15" t="s">
        <v>191</v>
      </c>
      <c r="D36" s="15">
        <v>3</v>
      </c>
      <c r="E36" s="15" t="s">
        <v>339</v>
      </c>
      <c r="F36" s="15" t="s">
        <v>335</v>
      </c>
      <c r="G36" s="15">
        <v>2</v>
      </c>
      <c r="H36" s="15">
        <v>25.2</v>
      </c>
      <c r="I36" s="15">
        <v>50</v>
      </c>
      <c r="J36" s="15">
        <v>129</v>
      </c>
      <c r="K36" s="15"/>
      <c r="L36" s="35">
        <f t="shared" si="0"/>
        <v>0</v>
      </c>
      <c r="M36" s="15" t="s">
        <v>191</v>
      </c>
      <c r="N36" s="15" t="s">
        <v>191</v>
      </c>
      <c r="O36" s="15" t="s">
        <v>193</v>
      </c>
      <c r="P36" s="15" t="s">
        <v>191</v>
      </c>
      <c r="Q36" s="15">
        <v>264</v>
      </c>
      <c r="R36" s="15"/>
      <c r="S36" s="15"/>
      <c r="T36" s="15">
        <v>184</v>
      </c>
      <c r="U36" s="15">
        <f>(((120000/4900))/(I36*AF36))*100</f>
        <v>9.795918367346939</v>
      </c>
      <c r="V36" s="15">
        <v>1</v>
      </c>
      <c r="W36" s="15"/>
      <c r="X36" s="15">
        <v>79</v>
      </c>
      <c r="Y36" s="15"/>
      <c r="Z36" s="15">
        <v>2</v>
      </c>
      <c r="AA36" s="32">
        <f t="shared" si="1"/>
        <v>0.18939393939393939</v>
      </c>
      <c r="AB36" s="15">
        <v>198</v>
      </c>
      <c r="AC36" s="15">
        <v>6</v>
      </c>
      <c r="AD36" s="35">
        <f t="shared" si="6"/>
        <v>3.0303030303030304E-2</v>
      </c>
      <c r="AE36" s="33">
        <f t="shared" ref="AE36:AE59" si="10">Q36/AB36</f>
        <v>1.3333333333333333</v>
      </c>
      <c r="AF36" s="15">
        <v>5</v>
      </c>
      <c r="AG36" s="15">
        <v>1</v>
      </c>
      <c r="AH36" s="15">
        <v>1</v>
      </c>
      <c r="AI36" s="15">
        <v>1</v>
      </c>
      <c r="AJ36" s="15" t="s">
        <v>340</v>
      </c>
      <c r="AK36" s="15">
        <v>16</v>
      </c>
      <c r="AL36" s="15">
        <v>64000</v>
      </c>
      <c r="AM36" s="33">
        <f t="shared" si="8"/>
        <v>48000</v>
      </c>
      <c r="AN36" s="33">
        <f t="shared" si="9"/>
        <v>242.42424242424244</v>
      </c>
      <c r="AO36" s="15" t="s">
        <v>191</v>
      </c>
      <c r="AP36" s="15" t="s">
        <v>191</v>
      </c>
      <c r="AQ36" s="15" t="s">
        <v>191</v>
      </c>
      <c r="AR36" s="15"/>
      <c r="AU36" s="27">
        <v>45461</v>
      </c>
      <c r="AV36" s="23">
        <v>45420</v>
      </c>
      <c r="AW36" t="s">
        <v>242</v>
      </c>
      <c r="AX36" t="s">
        <v>191</v>
      </c>
      <c r="AY36" t="s">
        <v>197</v>
      </c>
      <c r="AZ36" t="s">
        <v>197</v>
      </c>
    </row>
    <row r="37" spans="1:52" ht="45">
      <c r="A37" s="38" t="s">
        <v>341</v>
      </c>
      <c r="B37" s="15" t="s">
        <v>342</v>
      </c>
      <c r="C37" s="15" t="s">
        <v>191</v>
      </c>
      <c r="D37" s="15">
        <v>6</v>
      </c>
      <c r="E37" s="15" t="s">
        <v>343</v>
      </c>
      <c r="F37" s="15" t="s">
        <v>344</v>
      </c>
      <c r="G37" s="15">
        <v>0</v>
      </c>
      <c r="H37" s="15">
        <v>15.8</v>
      </c>
      <c r="I37" s="15">
        <v>31.6</v>
      </c>
      <c r="J37" s="15">
        <v>40</v>
      </c>
      <c r="K37" s="15">
        <v>7</v>
      </c>
      <c r="L37" s="35">
        <f t="shared" ref="L37:L64" si="11">K37/J37</f>
        <v>0.17499999999999999</v>
      </c>
      <c r="M37" s="15" t="s">
        <v>191</v>
      </c>
      <c r="N37" s="15" t="s">
        <v>191</v>
      </c>
      <c r="O37" s="16" t="s">
        <v>213</v>
      </c>
      <c r="P37" s="15" t="s">
        <v>195</v>
      </c>
      <c r="Q37" s="15">
        <v>45</v>
      </c>
      <c r="R37" s="15"/>
      <c r="S37" s="15"/>
      <c r="T37" s="15">
        <v>26</v>
      </c>
      <c r="U37" s="15"/>
      <c r="V37" s="15"/>
      <c r="W37" s="15"/>
      <c r="X37" s="15">
        <v>19</v>
      </c>
      <c r="Y37" s="15">
        <f>(((120000/4900))/(I37*AF37))*100</f>
        <v>15.499870834409712</v>
      </c>
      <c r="Z37" s="15">
        <v>0</v>
      </c>
      <c r="AA37" s="32">
        <f t="shared" ref="AA37:AA64" si="12">I37/Q37</f>
        <v>0.7022222222222223</v>
      </c>
      <c r="AB37" s="15">
        <v>39</v>
      </c>
      <c r="AC37" s="15">
        <v>7</v>
      </c>
      <c r="AD37" s="35">
        <f t="shared" si="6"/>
        <v>0.17948717948717949</v>
      </c>
      <c r="AE37" s="33">
        <f t="shared" si="10"/>
        <v>1.1538461538461537</v>
      </c>
      <c r="AF37" s="15">
        <v>5</v>
      </c>
      <c r="AG37" s="15">
        <v>1</v>
      </c>
      <c r="AH37" s="15">
        <v>1</v>
      </c>
      <c r="AI37" s="15">
        <v>1</v>
      </c>
      <c r="AJ37" s="15" t="s">
        <v>345</v>
      </c>
      <c r="AK37" s="15">
        <v>18</v>
      </c>
      <c r="AL37" s="15">
        <v>10935</v>
      </c>
      <c r="AM37" s="33">
        <f t="shared" si="8"/>
        <v>8201.25</v>
      </c>
      <c r="AN37" s="33">
        <f t="shared" si="9"/>
        <v>243</v>
      </c>
      <c r="AO37" s="15" t="s">
        <v>195</v>
      </c>
      <c r="AP37" s="15" t="s">
        <v>191</v>
      </c>
      <c r="AQ37" s="15" t="s">
        <v>191</v>
      </c>
      <c r="AR37" s="15" t="s">
        <v>251</v>
      </c>
      <c r="AU37" s="27">
        <v>45462</v>
      </c>
      <c r="AV37" s="23">
        <v>45419</v>
      </c>
      <c r="AW37" t="s">
        <v>346</v>
      </c>
      <c r="AX37" t="s">
        <v>191</v>
      </c>
      <c r="AY37" t="s">
        <v>197</v>
      </c>
      <c r="AZ37" t="s">
        <v>197</v>
      </c>
    </row>
    <row r="38" spans="1:52">
      <c r="A38" s="38" t="s">
        <v>347</v>
      </c>
      <c r="B38" s="15" t="s">
        <v>260</v>
      </c>
      <c r="C38" s="15" t="s">
        <v>195</v>
      </c>
      <c r="D38" s="15">
        <v>1</v>
      </c>
      <c r="E38" s="15" t="s">
        <v>261</v>
      </c>
      <c r="F38" s="15" t="s">
        <v>335</v>
      </c>
      <c r="G38" s="15">
        <v>1</v>
      </c>
      <c r="H38" s="15">
        <v>10</v>
      </c>
      <c r="I38" s="15">
        <v>20</v>
      </c>
      <c r="J38" s="15">
        <v>44</v>
      </c>
      <c r="K38" s="15">
        <v>4</v>
      </c>
      <c r="L38" s="35">
        <f t="shared" si="11"/>
        <v>9.0909090909090912E-2</v>
      </c>
      <c r="M38" s="15" t="s">
        <v>191</v>
      </c>
      <c r="N38" s="15" t="s">
        <v>191</v>
      </c>
      <c r="O38" s="15" t="s">
        <v>193</v>
      </c>
      <c r="P38" s="15" t="s">
        <v>195</v>
      </c>
      <c r="Q38" s="15">
        <v>27</v>
      </c>
      <c r="R38" s="15">
        <v>7</v>
      </c>
      <c r="S38" s="15"/>
      <c r="T38" s="15">
        <v>8</v>
      </c>
      <c r="U38" s="15"/>
      <c r="V38" s="15">
        <v>1</v>
      </c>
      <c r="W38" s="15"/>
      <c r="X38" s="15">
        <v>11</v>
      </c>
      <c r="Y38" s="15">
        <f>(((100000/4900))/(I38*AF38))*100</f>
        <v>14.577259475218659</v>
      </c>
      <c r="Z38" s="15">
        <v>2</v>
      </c>
      <c r="AA38" s="32">
        <f t="shared" si="12"/>
        <v>0.7407407407407407</v>
      </c>
      <c r="AB38" s="15">
        <v>7</v>
      </c>
      <c r="AC38" s="15">
        <v>0</v>
      </c>
      <c r="AD38" s="35">
        <f t="shared" si="6"/>
        <v>0</v>
      </c>
      <c r="AE38" s="33">
        <f t="shared" si="10"/>
        <v>3.8571428571428572</v>
      </c>
      <c r="AF38" s="15">
        <v>7</v>
      </c>
      <c r="AG38" s="15">
        <v>1</v>
      </c>
      <c r="AH38" s="15">
        <v>0</v>
      </c>
      <c r="AI38" s="15">
        <v>1</v>
      </c>
      <c r="AJ38" s="15" t="s">
        <v>207</v>
      </c>
      <c r="AK38" s="15">
        <v>16</v>
      </c>
      <c r="AL38" s="15">
        <v>10000</v>
      </c>
      <c r="AM38" s="33">
        <f t="shared" si="8"/>
        <v>7500</v>
      </c>
      <c r="AN38" s="33">
        <f t="shared" si="9"/>
        <v>370.37037037037038</v>
      </c>
      <c r="AO38" s="15" t="s">
        <v>195</v>
      </c>
      <c r="AP38" s="15"/>
      <c r="AQ38" s="15" t="s">
        <v>191</v>
      </c>
      <c r="AR38" s="15"/>
      <c r="AV38" s="23">
        <v>45426</v>
      </c>
      <c r="AW38" t="s">
        <v>348</v>
      </c>
      <c r="AX38" t="s">
        <v>191</v>
      </c>
      <c r="AY38" t="s">
        <v>229</v>
      </c>
      <c r="AZ38" t="s">
        <v>229</v>
      </c>
    </row>
    <row r="39" spans="1:52">
      <c r="A39" s="38" t="s">
        <v>349</v>
      </c>
      <c r="B39" s="15" t="s">
        <v>350</v>
      </c>
      <c r="C39" s="15" t="s">
        <v>191</v>
      </c>
      <c r="D39" s="15">
        <v>2</v>
      </c>
      <c r="E39" s="15" t="s">
        <v>275</v>
      </c>
      <c r="F39" s="15" t="s">
        <v>351</v>
      </c>
      <c r="G39" s="15">
        <v>2</v>
      </c>
      <c r="H39" s="15">
        <v>13.6</v>
      </c>
      <c r="I39" s="15">
        <v>26.3</v>
      </c>
      <c r="J39" s="15">
        <v>37</v>
      </c>
      <c r="K39" s="15">
        <v>4</v>
      </c>
      <c r="L39" s="35">
        <f t="shared" si="11"/>
        <v>0.10810810810810811</v>
      </c>
      <c r="M39" s="15" t="s">
        <v>195</v>
      </c>
      <c r="N39" s="15" t="s">
        <v>195</v>
      </c>
      <c r="O39" s="15"/>
      <c r="P39" s="15" t="s">
        <v>195</v>
      </c>
      <c r="Q39" s="15">
        <v>5</v>
      </c>
      <c r="R39" s="15">
        <v>5</v>
      </c>
      <c r="S39" s="15">
        <f>(((70000/4900))/(AF39*I39))*100</f>
        <v>6.7897881586094515</v>
      </c>
      <c r="T39" s="15"/>
      <c r="U39" s="15"/>
      <c r="V39" s="15"/>
      <c r="W39" s="15"/>
      <c r="X39" s="15"/>
      <c r="Y39" s="15"/>
      <c r="Z39" s="15">
        <v>0</v>
      </c>
      <c r="AA39" s="32">
        <f t="shared" si="12"/>
        <v>5.26</v>
      </c>
      <c r="AB39" s="15">
        <v>1</v>
      </c>
      <c r="AC39" s="15">
        <v>0</v>
      </c>
      <c r="AD39" s="35">
        <f t="shared" si="6"/>
        <v>0</v>
      </c>
      <c r="AE39" s="33">
        <f t="shared" si="10"/>
        <v>5</v>
      </c>
      <c r="AF39" s="15">
        <v>8</v>
      </c>
      <c r="AG39" s="15">
        <v>0</v>
      </c>
      <c r="AH39" s="15">
        <v>0</v>
      </c>
      <c r="AI39" s="15">
        <v>1</v>
      </c>
      <c r="AJ39" s="15" t="s">
        <v>352</v>
      </c>
      <c r="AK39" s="15">
        <v>13</v>
      </c>
      <c r="AL39" s="15">
        <v>525</v>
      </c>
      <c r="AM39" s="33">
        <f t="shared" si="8"/>
        <v>393.75</v>
      </c>
      <c r="AN39" s="33">
        <f t="shared" si="9"/>
        <v>105</v>
      </c>
      <c r="AO39" s="15" t="s">
        <v>195</v>
      </c>
      <c r="AP39" s="15" t="s">
        <v>195</v>
      </c>
      <c r="AQ39" s="15" t="s">
        <v>191</v>
      </c>
      <c r="AR39" s="15"/>
      <c r="AU39" s="27">
        <v>45462</v>
      </c>
      <c r="AV39" s="27">
        <v>45462</v>
      </c>
      <c r="AW39" t="s">
        <v>258</v>
      </c>
      <c r="AX39" t="s">
        <v>191</v>
      </c>
      <c r="AY39" t="s">
        <v>197</v>
      </c>
      <c r="AZ39" t="s">
        <v>197</v>
      </c>
    </row>
    <row r="40" spans="1:52" ht="15.75">
      <c r="A40" s="38" t="s">
        <v>353</v>
      </c>
      <c r="B40" s="15" t="s">
        <v>354</v>
      </c>
      <c r="C40" s="15" t="s">
        <v>191</v>
      </c>
      <c r="D40" s="15">
        <v>4</v>
      </c>
      <c r="E40" s="15" t="s">
        <v>355</v>
      </c>
      <c r="F40" s="15" t="s">
        <v>356</v>
      </c>
      <c r="G40" s="15">
        <v>0</v>
      </c>
      <c r="H40" s="15">
        <v>15.2</v>
      </c>
      <c r="I40" s="15">
        <v>29.8</v>
      </c>
      <c r="J40" s="15">
        <v>70</v>
      </c>
      <c r="K40" s="15">
        <v>3</v>
      </c>
      <c r="L40" s="35">
        <f t="shared" si="11"/>
        <v>4.2857142857142858E-2</v>
      </c>
      <c r="M40" s="15" t="s">
        <v>191</v>
      </c>
      <c r="N40" s="34" t="s">
        <v>191</v>
      </c>
      <c r="O40" s="34" t="s">
        <v>193</v>
      </c>
      <c r="P40" s="15" t="s">
        <v>191</v>
      </c>
      <c r="Q40" s="15">
        <v>100</v>
      </c>
      <c r="R40" s="15"/>
      <c r="S40" s="15"/>
      <c r="T40" s="15">
        <v>50</v>
      </c>
      <c r="U40" s="15">
        <f>(((90000/4900))/(I40*AF40))*100</f>
        <v>15.40884810299959</v>
      </c>
      <c r="V40" s="15">
        <v>1</v>
      </c>
      <c r="W40" s="15"/>
      <c r="X40" s="15">
        <v>49</v>
      </c>
      <c r="Y40" s="15"/>
      <c r="Z40" s="15">
        <v>0</v>
      </c>
      <c r="AA40" s="32">
        <f t="shared" si="12"/>
        <v>0.29799999999999999</v>
      </c>
      <c r="AB40" s="15">
        <v>70</v>
      </c>
      <c r="AC40" s="15">
        <v>0</v>
      </c>
      <c r="AD40" s="35">
        <f t="shared" si="6"/>
        <v>0</v>
      </c>
      <c r="AE40" s="33">
        <f t="shared" si="10"/>
        <v>1.4285714285714286</v>
      </c>
      <c r="AF40" s="15">
        <v>4</v>
      </c>
      <c r="AG40" s="15">
        <v>1</v>
      </c>
      <c r="AH40" s="15">
        <v>1</v>
      </c>
      <c r="AI40" s="15">
        <v>1</v>
      </c>
      <c r="AJ40" s="15" t="s">
        <v>357</v>
      </c>
      <c r="AK40" s="15">
        <v>18</v>
      </c>
      <c r="AL40" s="15">
        <v>16000</v>
      </c>
      <c r="AM40" s="33">
        <f t="shared" si="8"/>
        <v>12000</v>
      </c>
      <c r="AN40" s="33">
        <f t="shared" si="9"/>
        <v>160</v>
      </c>
      <c r="AO40" s="15" t="s">
        <v>195</v>
      </c>
      <c r="AP40" s="15" t="s">
        <v>195</v>
      </c>
      <c r="AQ40" s="15" t="s">
        <v>195</v>
      </c>
      <c r="AR40" s="15"/>
      <c r="AU40" s="27">
        <v>45464</v>
      </c>
      <c r="AV40" s="23">
        <v>45425</v>
      </c>
      <c r="AW40" t="s">
        <v>252</v>
      </c>
      <c r="AX40" t="s">
        <v>191</v>
      </c>
    </row>
    <row r="41" spans="1:52">
      <c r="A41" s="38" t="s">
        <v>358</v>
      </c>
      <c r="B41" s="15" t="s">
        <v>198</v>
      </c>
      <c r="C41" s="15" t="s">
        <v>191</v>
      </c>
      <c r="D41" s="15">
        <v>2</v>
      </c>
      <c r="E41" s="15" t="s">
        <v>359</v>
      </c>
      <c r="F41" s="15" t="s">
        <v>344</v>
      </c>
      <c r="G41" s="15">
        <v>0</v>
      </c>
      <c r="H41" s="15">
        <v>8.1999999999999993</v>
      </c>
      <c r="I41" s="15">
        <v>16.2</v>
      </c>
      <c r="J41" s="15">
        <v>40</v>
      </c>
      <c r="K41" s="15">
        <v>6</v>
      </c>
      <c r="L41" s="35">
        <f t="shared" si="11"/>
        <v>0.15</v>
      </c>
      <c r="M41" s="15" t="s">
        <v>191</v>
      </c>
      <c r="N41" s="15" t="s">
        <v>191</v>
      </c>
      <c r="O41" s="15" t="s">
        <v>193</v>
      </c>
      <c r="P41" s="15" t="s">
        <v>195</v>
      </c>
      <c r="Q41" s="15">
        <v>50</v>
      </c>
      <c r="R41" s="15"/>
      <c r="S41" s="15"/>
      <c r="T41" s="15">
        <v>30</v>
      </c>
      <c r="U41" s="15">
        <f>(((70000/4900))/(I41*AF41))*100</f>
        <v>17.636684303350972</v>
      </c>
      <c r="V41" s="15">
        <v>8</v>
      </c>
      <c r="W41" s="15"/>
      <c r="X41" s="15">
        <v>12</v>
      </c>
      <c r="Y41" s="15"/>
      <c r="Z41" s="15">
        <v>1</v>
      </c>
      <c r="AA41" s="32">
        <f t="shared" si="12"/>
        <v>0.32400000000000001</v>
      </c>
      <c r="AB41" s="15">
        <v>25</v>
      </c>
      <c r="AC41" s="15">
        <v>2</v>
      </c>
      <c r="AD41" s="35">
        <f t="shared" si="6"/>
        <v>0.08</v>
      </c>
      <c r="AE41" s="33">
        <f t="shared" si="10"/>
        <v>2</v>
      </c>
      <c r="AF41" s="15">
        <v>5</v>
      </c>
      <c r="AG41" s="15">
        <v>1</v>
      </c>
      <c r="AH41" s="15">
        <v>1</v>
      </c>
      <c r="AI41" s="15">
        <v>1</v>
      </c>
      <c r="AJ41" s="15" t="s">
        <v>345</v>
      </c>
      <c r="AK41" s="15">
        <v>18</v>
      </c>
      <c r="AL41" s="15">
        <v>13500</v>
      </c>
      <c r="AM41" s="33">
        <f t="shared" si="8"/>
        <v>10125</v>
      </c>
      <c r="AN41" s="33">
        <f t="shared" si="9"/>
        <v>270</v>
      </c>
      <c r="AO41" s="15" t="s">
        <v>195</v>
      </c>
      <c r="AP41" s="15" t="s">
        <v>195</v>
      </c>
      <c r="AQ41" s="15" t="s">
        <v>191</v>
      </c>
      <c r="AR41" s="15"/>
      <c r="AU41" s="27">
        <v>45470</v>
      </c>
      <c r="AV41" s="23">
        <v>45419</v>
      </c>
      <c r="AW41" t="s">
        <v>239</v>
      </c>
      <c r="AX41" t="s">
        <v>191</v>
      </c>
      <c r="AY41" t="s">
        <v>229</v>
      </c>
      <c r="AZ41" t="s">
        <v>197</v>
      </c>
    </row>
    <row r="42" spans="1:52">
      <c r="A42" s="38" t="s">
        <v>360</v>
      </c>
      <c r="B42" s="15" t="s">
        <v>361</v>
      </c>
      <c r="C42" s="15" t="s">
        <v>191</v>
      </c>
      <c r="D42" s="15">
        <v>2</v>
      </c>
      <c r="E42" s="15" t="s">
        <v>356</v>
      </c>
      <c r="F42" s="15" t="s">
        <v>362</v>
      </c>
      <c r="G42" s="15">
        <v>0</v>
      </c>
      <c r="H42" s="15">
        <v>17.899999999999999</v>
      </c>
      <c r="I42" s="15">
        <v>35.200000000000003</v>
      </c>
      <c r="J42" s="15">
        <v>62</v>
      </c>
      <c r="K42" s="15">
        <v>4</v>
      </c>
      <c r="L42" s="35">
        <f t="shared" si="11"/>
        <v>6.4516129032258063E-2</v>
      </c>
      <c r="M42" s="15" t="s">
        <v>195</v>
      </c>
      <c r="N42" s="15" t="s">
        <v>191</v>
      </c>
      <c r="O42" s="15" t="s">
        <v>193</v>
      </c>
      <c r="P42" s="15" t="s">
        <v>195</v>
      </c>
      <c r="Q42" s="15">
        <v>80</v>
      </c>
      <c r="R42" s="15"/>
      <c r="S42" s="15"/>
      <c r="T42" s="15">
        <v>45</v>
      </c>
      <c r="U42" s="15">
        <f>(((120000/4900))/(I42*AF42))*100</f>
        <v>17.393320964749535</v>
      </c>
      <c r="V42" s="15"/>
      <c r="W42" s="15"/>
      <c r="X42" s="15">
        <v>35</v>
      </c>
      <c r="Y42" s="15"/>
      <c r="Z42" s="15">
        <v>1</v>
      </c>
      <c r="AA42" s="32">
        <f t="shared" si="12"/>
        <v>0.44000000000000006</v>
      </c>
      <c r="AB42" s="15">
        <v>30</v>
      </c>
      <c r="AC42" s="15">
        <v>4</v>
      </c>
      <c r="AD42" s="35">
        <f t="shared" si="6"/>
        <v>0.13333333333333333</v>
      </c>
      <c r="AE42" s="33">
        <f t="shared" si="10"/>
        <v>2.6666666666666665</v>
      </c>
      <c r="AF42" s="15">
        <v>4</v>
      </c>
      <c r="AG42" s="15">
        <v>1</v>
      </c>
      <c r="AH42" s="15">
        <v>0</v>
      </c>
      <c r="AI42" s="15">
        <v>1</v>
      </c>
      <c r="AJ42" s="15" t="s">
        <v>221</v>
      </c>
      <c r="AK42" s="15">
        <v>15</v>
      </c>
      <c r="AL42" s="15">
        <v>20000</v>
      </c>
      <c r="AM42" s="33">
        <f t="shared" si="8"/>
        <v>15000</v>
      </c>
      <c r="AN42" s="33">
        <f t="shared" si="9"/>
        <v>250</v>
      </c>
      <c r="AO42" s="15" t="s">
        <v>195</v>
      </c>
      <c r="AP42" s="15"/>
      <c r="AQ42" s="15" t="s">
        <v>195</v>
      </c>
      <c r="AR42" s="15"/>
      <c r="AU42" t="s">
        <v>200</v>
      </c>
      <c r="AV42" s="23">
        <v>45425</v>
      </c>
      <c r="AW42" t="s">
        <v>242</v>
      </c>
      <c r="AX42" t="s">
        <v>191</v>
      </c>
      <c r="AY42" t="s">
        <v>197</v>
      </c>
      <c r="AZ42" t="s">
        <v>197</v>
      </c>
    </row>
    <row r="43" spans="1:52">
      <c r="A43" s="38" t="s">
        <v>363</v>
      </c>
      <c r="B43" s="15" t="s">
        <v>364</v>
      </c>
      <c r="C43" s="15" t="s">
        <v>195</v>
      </c>
      <c r="D43" s="15">
        <v>1</v>
      </c>
      <c r="E43" s="15" t="s">
        <v>275</v>
      </c>
      <c r="F43" s="15" t="s">
        <v>265</v>
      </c>
      <c r="G43" s="15">
        <v>2</v>
      </c>
      <c r="H43" s="15">
        <v>5.3</v>
      </c>
      <c r="I43" s="15">
        <v>10.1</v>
      </c>
      <c r="J43" s="15">
        <v>30</v>
      </c>
      <c r="K43" s="15">
        <v>2</v>
      </c>
      <c r="L43" s="35">
        <f t="shared" si="11"/>
        <v>6.6666666666666666E-2</v>
      </c>
      <c r="M43" s="15" t="s">
        <v>195</v>
      </c>
      <c r="N43" s="15" t="s">
        <v>195</v>
      </c>
      <c r="O43" s="15"/>
      <c r="P43" s="15" t="s">
        <v>195</v>
      </c>
      <c r="Q43" s="15">
        <v>25</v>
      </c>
      <c r="R43" s="15">
        <v>21</v>
      </c>
      <c r="S43" s="15">
        <f>(((70000/4900))/(AF43*I43))*100</f>
        <v>17.680339462517683</v>
      </c>
      <c r="T43" s="15">
        <v>4</v>
      </c>
      <c r="U43" s="15"/>
      <c r="V43" s="15"/>
      <c r="W43" s="15"/>
      <c r="X43" s="15"/>
      <c r="Y43" s="15"/>
      <c r="Z43" s="15">
        <v>1</v>
      </c>
      <c r="AA43" s="32">
        <f t="shared" si="12"/>
        <v>0.40399999999999997</v>
      </c>
      <c r="AB43" s="15">
        <v>25</v>
      </c>
      <c r="AC43" s="15">
        <v>3</v>
      </c>
      <c r="AD43" s="35">
        <f t="shared" si="6"/>
        <v>0.12</v>
      </c>
      <c r="AE43" s="33">
        <f t="shared" si="10"/>
        <v>1</v>
      </c>
      <c r="AF43" s="15">
        <v>8</v>
      </c>
      <c r="AG43" s="15">
        <v>1</v>
      </c>
      <c r="AH43" s="15">
        <v>1</v>
      </c>
      <c r="AI43" s="15">
        <v>1</v>
      </c>
      <c r="AJ43" s="15" t="s">
        <v>194</v>
      </c>
      <c r="AK43" s="15">
        <v>15</v>
      </c>
      <c r="AL43" s="15">
        <v>7000</v>
      </c>
      <c r="AM43" s="33">
        <f t="shared" si="8"/>
        <v>5250</v>
      </c>
      <c r="AN43" s="33">
        <f t="shared" si="9"/>
        <v>280</v>
      </c>
      <c r="AO43" s="15" t="s">
        <v>195</v>
      </c>
      <c r="AP43" s="15" t="s">
        <v>195</v>
      </c>
      <c r="AQ43" s="15" t="s">
        <v>191</v>
      </c>
      <c r="AR43" s="15"/>
      <c r="AV43" s="23">
        <v>45420</v>
      </c>
      <c r="AW43" t="s">
        <v>258</v>
      </c>
      <c r="AX43" t="s">
        <v>191</v>
      </c>
      <c r="AY43" t="s">
        <v>229</v>
      </c>
      <c r="AZ43" t="s">
        <v>197</v>
      </c>
    </row>
    <row r="44" spans="1:52">
      <c r="A44" s="38" t="s">
        <v>365</v>
      </c>
      <c r="B44" s="15" t="s">
        <v>366</v>
      </c>
      <c r="C44" s="15" t="s">
        <v>195</v>
      </c>
      <c r="D44" s="15">
        <v>1</v>
      </c>
      <c r="E44" s="15" t="s">
        <v>367</v>
      </c>
      <c r="F44" s="15" t="s">
        <v>287</v>
      </c>
      <c r="G44" s="15">
        <v>1</v>
      </c>
      <c r="H44" s="15">
        <v>7.7</v>
      </c>
      <c r="I44" s="15">
        <v>15.5</v>
      </c>
      <c r="J44" s="15">
        <v>28</v>
      </c>
      <c r="K44" s="15">
        <v>2</v>
      </c>
      <c r="L44" s="35">
        <f t="shared" si="11"/>
        <v>7.1428571428571425E-2</v>
      </c>
      <c r="M44" s="15" t="s">
        <v>195</v>
      </c>
      <c r="N44" s="15" t="s">
        <v>191</v>
      </c>
      <c r="O44" s="15" t="s">
        <v>193</v>
      </c>
      <c r="P44" s="15" t="s">
        <v>191</v>
      </c>
      <c r="Q44" s="15">
        <v>21</v>
      </c>
      <c r="R44" s="15"/>
      <c r="S44" s="15"/>
      <c r="T44" s="15">
        <v>12</v>
      </c>
      <c r="U44" s="15">
        <f>(((80000/4900))/(I44*AF44))*100</f>
        <v>21.066491112574063</v>
      </c>
      <c r="V44" s="15"/>
      <c r="W44" s="15"/>
      <c r="X44" s="15">
        <v>9</v>
      </c>
      <c r="Y44" s="15"/>
      <c r="Z44" s="15">
        <v>2</v>
      </c>
      <c r="AA44" s="32">
        <f t="shared" si="12"/>
        <v>0.73809523809523814</v>
      </c>
      <c r="AB44" s="15">
        <v>8</v>
      </c>
      <c r="AC44" s="15">
        <v>0</v>
      </c>
      <c r="AD44" s="35">
        <f t="shared" si="6"/>
        <v>0</v>
      </c>
      <c r="AE44" s="33">
        <f t="shared" si="10"/>
        <v>2.625</v>
      </c>
      <c r="AF44" s="15">
        <v>5</v>
      </c>
      <c r="AG44" s="15">
        <v>1</v>
      </c>
      <c r="AH44" s="15">
        <v>0</v>
      </c>
      <c r="AI44" s="15">
        <v>1</v>
      </c>
      <c r="AJ44" s="15" t="s">
        <v>281</v>
      </c>
      <c r="AK44" s="15">
        <v>13</v>
      </c>
      <c r="AL44" s="15">
        <v>5500</v>
      </c>
      <c r="AM44" s="33">
        <f t="shared" si="8"/>
        <v>4125</v>
      </c>
      <c r="AN44" s="33">
        <f t="shared" si="9"/>
        <v>261.90476190476193</v>
      </c>
      <c r="AO44" s="15" t="s">
        <v>195</v>
      </c>
      <c r="AP44" s="15" t="s">
        <v>195</v>
      </c>
      <c r="AQ44" s="15" t="s">
        <v>195</v>
      </c>
      <c r="AR44" s="15"/>
      <c r="AU44" s="27">
        <v>45461</v>
      </c>
      <c r="AV44" s="22">
        <v>45420</v>
      </c>
      <c r="AW44" t="s">
        <v>196</v>
      </c>
      <c r="AX44" t="s">
        <v>191</v>
      </c>
      <c r="AY44" t="s">
        <v>197</v>
      </c>
      <c r="AZ44" t="s">
        <v>197</v>
      </c>
    </row>
    <row r="45" spans="1:52" s="26" customFormat="1" ht="45">
      <c r="A45" s="38" t="s">
        <v>368</v>
      </c>
      <c r="B45" s="15" t="s">
        <v>369</v>
      </c>
      <c r="C45" s="15" t="s">
        <v>191</v>
      </c>
      <c r="D45" s="15">
        <v>3</v>
      </c>
      <c r="E45" s="15" t="s">
        <v>205</v>
      </c>
      <c r="F45" s="15" t="s">
        <v>370</v>
      </c>
      <c r="G45" s="15">
        <v>2</v>
      </c>
      <c r="H45" s="15">
        <v>13.8</v>
      </c>
      <c r="I45" s="15">
        <v>26.8</v>
      </c>
      <c r="J45" s="15">
        <v>50</v>
      </c>
      <c r="K45" s="15">
        <v>2</v>
      </c>
      <c r="L45" s="35">
        <f t="shared" si="11"/>
        <v>0.04</v>
      </c>
      <c r="M45" s="15" t="s">
        <v>191</v>
      </c>
      <c r="N45" s="15" t="s">
        <v>191</v>
      </c>
      <c r="O45" s="16" t="s">
        <v>233</v>
      </c>
      <c r="P45" s="15" t="s">
        <v>191</v>
      </c>
      <c r="Q45" s="15">
        <v>70</v>
      </c>
      <c r="R45" s="15"/>
      <c r="S45" s="15"/>
      <c r="T45" s="15">
        <v>55</v>
      </c>
      <c r="U45" s="15">
        <f>(((100000/4900))/(I45*AF45))*100</f>
        <v>19.037465732561682</v>
      </c>
      <c r="V45" s="15"/>
      <c r="W45" s="15"/>
      <c r="X45" s="15">
        <v>15</v>
      </c>
      <c r="Y45" s="15"/>
      <c r="Z45" s="15">
        <v>2</v>
      </c>
      <c r="AA45" s="32">
        <f t="shared" si="12"/>
        <v>0.38285714285714284</v>
      </c>
      <c r="AB45" s="15">
        <v>60</v>
      </c>
      <c r="AC45" s="15">
        <v>4</v>
      </c>
      <c r="AD45" s="35">
        <f t="shared" si="6"/>
        <v>6.6666666666666666E-2</v>
      </c>
      <c r="AE45" s="33">
        <f t="shared" si="10"/>
        <v>1.1666666666666667</v>
      </c>
      <c r="AF45" s="15">
        <v>4</v>
      </c>
      <c r="AG45" s="15">
        <v>1</v>
      </c>
      <c r="AH45" s="15">
        <v>1</v>
      </c>
      <c r="AI45" s="15">
        <v>1</v>
      </c>
      <c r="AJ45" s="15" t="s">
        <v>227</v>
      </c>
      <c r="AK45" s="15">
        <v>16</v>
      </c>
      <c r="AL45" s="15">
        <v>15000</v>
      </c>
      <c r="AM45" s="33">
        <f t="shared" si="8"/>
        <v>11250</v>
      </c>
      <c r="AN45" s="33">
        <f t="shared" si="9"/>
        <v>214.28571428571428</v>
      </c>
      <c r="AO45" s="15" t="s">
        <v>195</v>
      </c>
      <c r="AP45" s="15" t="s">
        <v>191</v>
      </c>
      <c r="AQ45" s="15" t="s">
        <v>191</v>
      </c>
      <c r="AR45" s="15" t="s">
        <v>371</v>
      </c>
      <c r="AS45"/>
      <c r="AT45"/>
      <c r="AU45" s="27">
        <v>45462</v>
      </c>
      <c r="AV45" s="23">
        <v>45457</v>
      </c>
      <c r="AW45" t="s">
        <v>276</v>
      </c>
      <c r="AX45" t="s">
        <v>191</v>
      </c>
      <c r="AY45" t="s">
        <v>197</v>
      </c>
      <c r="AZ45" t="s">
        <v>197</v>
      </c>
    </row>
    <row r="46" spans="1:52" s="26" customFormat="1" ht="45">
      <c r="A46" s="38" t="s">
        <v>372</v>
      </c>
      <c r="B46" s="15" t="s">
        <v>373</v>
      </c>
      <c r="C46" s="15" t="s">
        <v>191</v>
      </c>
      <c r="D46" s="15">
        <v>2</v>
      </c>
      <c r="E46" s="15" t="s">
        <v>374</v>
      </c>
      <c r="F46" s="15" t="s">
        <v>375</v>
      </c>
      <c r="G46" s="15">
        <v>0</v>
      </c>
      <c r="H46" s="15">
        <v>24.6</v>
      </c>
      <c r="I46" s="15">
        <v>48</v>
      </c>
      <c r="J46" s="15">
        <v>51</v>
      </c>
      <c r="K46" s="15">
        <v>4</v>
      </c>
      <c r="L46" s="35">
        <f t="shared" si="11"/>
        <v>7.8431372549019607E-2</v>
      </c>
      <c r="M46" s="15" t="s">
        <v>195</v>
      </c>
      <c r="N46" s="15" t="s">
        <v>191</v>
      </c>
      <c r="O46" s="16" t="s">
        <v>376</v>
      </c>
      <c r="P46" s="15" t="s">
        <v>191</v>
      </c>
      <c r="Q46" s="15">
        <v>122</v>
      </c>
      <c r="R46" s="15"/>
      <c r="S46" s="15"/>
      <c r="T46" s="18">
        <v>114</v>
      </c>
      <c r="U46" s="15">
        <f>(((100000/4900))/(I46*AF46))*100</f>
        <v>10.629251700680271</v>
      </c>
      <c r="V46" s="15"/>
      <c r="W46" s="15"/>
      <c r="X46" s="15">
        <v>4</v>
      </c>
      <c r="Y46" s="15"/>
      <c r="Z46" s="15">
        <v>2</v>
      </c>
      <c r="AA46" s="32">
        <f t="shared" si="12"/>
        <v>0.39344262295081966</v>
      </c>
      <c r="AB46" s="15">
        <v>85</v>
      </c>
      <c r="AC46" s="15">
        <v>8</v>
      </c>
      <c r="AD46" s="35">
        <f t="shared" si="6"/>
        <v>9.4117647058823528E-2</v>
      </c>
      <c r="AE46" s="33">
        <f t="shared" si="10"/>
        <v>1.4352941176470588</v>
      </c>
      <c r="AF46" s="15">
        <v>4</v>
      </c>
      <c r="AG46" s="15">
        <v>1</v>
      </c>
      <c r="AH46" s="15">
        <v>1</v>
      </c>
      <c r="AI46" s="15">
        <v>1</v>
      </c>
      <c r="AJ46" s="15" t="s">
        <v>377</v>
      </c>
      <c r="AK46" s="15">
        <v>14</v>
      </c>
      <c r="AL46" s="15">
        <v>31000</v>
      </c>
      <c r="AM46" s="33">
        <f t="shared" si="8"/>
        <v>23250</v>
      </c>
      <c r="AN46" s="33">
        <f t="shared" si="9"/>
        <v>254.09836065573771</v>
      </c>
      <c r="AO46" s="15" t="s">
        <v>195</v>
      </c>
      <c r="AP46" s="15" t="s">
        <v>191</v>
      </c>
      <c r="AQ46" s="15" t="s">
        <v>191</v>
      </c>
      <c r="AR46" s="16" t="s">
        <v>378</v>
      </c>
      <c r="AT46" s="26" t="s">
        <v>373</v>
      </c>
      <c r="AV46" s="25">
        <v>45425</v>
      </c>
      <c r="AW46" s="26" t="s">
        <v>276</v>
      </c>
      <c r="AX46" s="26" t="s">
        <v>191</v>
      </c>
      <c r="AY46" s="26" t="s">
        <v>197</v>
      </c>
      <c r="AZ46" s="26" t="s">
        <v>197</v>
      </c>
    </row>
    <row r="47" spans="1:52">
      <c r="A47" s="38" t="s">
        <v>379</v>
      </c>
      <c r="B47" s="15" t="s">
        <v>380</v>
      </c>
      <c r="C47" s="15" t="s">
        <v>195</v>
      </c>
      <c r="D47" s="15">
        <v>1</v>
      </c>
      <c r="E47" s="15" t="s">
        <v>219</v>
      </c>
      <c r="F47" s="15" t="s">
        <v>287</v>
      </c>
      <c r="G47" s="15">
        <v>1</v>
      </c>
      <c r="H47" s="15">
        <v>6.7</v>
      </c>
      <c r="I47" s="15">
        <v>12.9</v>
      </c>
      <c r="J47" s="15">
        <v>26</v>
      </c>
      <c r="K47" s="15">
        <v>2</v>
      </c>
      <c r="L47" s="35">
        <f t="shared" si="11"/>
        <v>7.6923076923076927E-2</v>
      </c>
      <c r="M47" s="15" t="s">
        <v>191</v>
      </c>
      <c r="N47" s="15" t="s">
        <v>195</v>
      </c>
      <c r="O47" s="15"/>
      <c r="P47" s="15" t="s">
        <v>195</v>
      </c>
      <c r="Q47" s="15">
        <v>7</v>
      </c>
      <c r="R47" s="15">
        <v>6</v>
      </c>
      <c r="S47" s="15">
        <f>(((70000/4900))/(AF47*I47))*100</f>
        <v>15.820281601012498</v>
      </c>
      <c r="T47" s="15"/>
      <c r="U47" s="15"/>
      <c r="V47" s="15"/>
      <c r="W47" s="15"/>
      <c r="X47" s="15">
        <v>1</v>
      </c>
      <c r="Y47" s="15"/>
      <c r="Z47" s="15">
        <v>1</v>
      </c>
      <c r="AA47" s="32">
        <f t="shared" si="12"/>
        <v>1.842857142857143</v>
      </c>
      <c r="AB47" s="15">
        <v>7</v>
      </c>
      <c r="AC47" s="15">
        <v>2</v>
      </c>
      <c r="AD47" s="35">
        <f t="shared" si="6"/>
        <v>0.2857142857142857</v>
      </c>
      <c r="AE47" s="33">
        <f t="shared" si="10"/>
        <v>1</v>
      </c>
      <c r="AF47" s="15">
        <v>7</v>
      </c>
      <c r="AG47" s="15">
        <v>1</v>
      </c>
      <c r="AH47" s="15">
        <v>1</v>
      </c>
      <c r="AI47" s="15">
        <v>1</v>
      </c>
      <c r="AJ47" s="15" t="s">
        <v>257</v>
      </c>
      <c r="AK47" s="15">
        <v>14</v>
      </c>
      <c r="AL47" s="15">
        <v>1500</v>
      </c>
      <c r="AM47" s="33">
        <f t="shared" si="8"/>
        <v>1125</v>
      </c>
      <c r="AN47" s="33">
        <f t="shared" si="9"/>
        <v>214.28571428571428</v>
      </c>
      <c r="AO47" s="15" t="s">
        <v>195</v>
      </c>
      <c r="AP47" s="15" t="s">
        <v>195</v>
      </c>
      <c r="AQ47" s="15" t="s">
        <v>191</v>
      </c>
      <c r="AR47" s="15"/>
      <c r="AU47" s="27">
        <v>45461</v>
      </c>
      <c r="AV47" s="23">
        <v>45425</v>
      </c>
      <c r="AW47" t="s">
        <v>258</v>
      </c>
      <c r="AX47" t="s">
        <v>191</v>
      </c>
      <c r="AY47" t="s">
        <v>197</v>
      </c>
      <c r="AZ47" t="s">
        <v>197</v>
      </c>
    </row>
    <row r="48" spans="1:52" ht="45">
      <c r="A48" s="38" t="s">
        <v>381</v>
      </c>
      <c r="B48" s="15" t="s">
        <v>382</v>
      </c>
      <c r="C48" s="15" t="s">
        <v>191</v>
      </c>
      <c r="D48" s="15">
        <v>2</v>
      </c>
      <c r="E48" s="15" t="s">
        <v>344</v>
      </c>
      <c r="F48" s="15" t="s">
        <v>383</v>
      </c>
      <c r="G48" s="15">
        <v>0</v>
      </c>
      <c r="H48" s="15">
        <v>20</v>
      </c>
      <c r="I48" s="15">
        <v>40</v>
      </c>
      <c r="J48" s="15">
        <v>50</v>
      </c>
      <c r="K48" s="15">
        <v>5</v>
      </c>
      <c r="L48" s="35">
        <f t="shared" si="11"/>
        <v>0.1</v>
      </c>
      <c r="M48" s="15" t="s">
        <v>191</v>
      </c>
      <c r="N48" s="15" t="s">
        <v>191</v>
      </c>
      <c r="O48" s="16" t="s">
        <v>213</v>
      </c>
      <c r="P48" s="15" t="s">
        <v>195</v>
      </c>
      <c r="Q48" s="15">
        <v>50</v>
      </c>
      <c r="R48" s="15"/>
      <c r="S48" s="15"/>
      <c r="T48" s="15">
        <v>40</v>
      </c>
      <c r="U48" s="15">
        <f>(((150000/4900))/(I48*AF48))*100</f>
        <v>12.755102040816327</v>
      </c>
      <c r="V48" s="15"/>
      <c r="W48" s="15"/>
      <c r="X48" s="15">
        <v>10</v>
      </c>
      <c r="Y48" s="15"/>
      <c r="Z48" s="15">
        <v>1</v>
      </c>
      <c r="AA48" s="32">
        <f t="shared" si="12"/>
        <v>0.8</v>
      </c>
      <c r="AB48" s="15">
        <v>30</v>
      </c>
      <c r="AC48" s="15">
        <v>5</v>
      </c>
      <c r="AD48" s="35">
        <f t="shared" si="6"/>
        <v>0.16666666666666666</v>
      </c>
      <c r="AE48" s="33">
        <f t="shared" si="10"/>
        <v>1.6666666666666667</v>
      </c>
      <c r="AF48" s="15">
        <v>6</v>
      </c>
      <c r="AG48" s="15">
        <v>1</v>
      </c>
      <c r="AH48" s="15">
        <v>1</v>
      </c>
      <c r="AI48" s="15">
        <v>1</v>
      </c>
      <c r="AJ48" s="15" t="s">
        <v>345</v>
      </c>
      <c r="AK48" s="15">
        <v>18</v>
      </c>
      <c r="AL48" s="15">
        <v>16000</v>
      </c>
      <c r="AM48" s="33">
        <f t="shared" si="8"/>
        <v>12000</v>
      </c>
      <c r="AN48" s="33">
        <f t="shared" si="9"/>
        <v>320</v>
      </c>
      <c r="AO48" s="15" t="s">
        <v>195</v>
      </c>
      <c r="AP48" s="15" t="s">
        <v>195</v>
      </c>
      <c r="AQ48" s="15" t="s">
        <v>191</v>
      </c>
      <c r="AR48" s="15"/>
      <c r="AT48" t="s">
        <v>382</v>
      </c>
      <c r="AV48" s="23">
        <v>45419</v>
      </c>
      <c r="AW48" t="s">
        <v>384</v>
      </c>
      <c r="AX48" t="s">
        <v>191</v>
      </c>
      <c r="AY48" t="s">
        <v>229</v>
      </c>
      <c r="AZ48" t="s">
        <v>197</v>
      </c>
    </row>
    <row r="49" spans="1:52">
      <c r="A49" s="38" t="s">
        <v>385</v>
      </c>
      <c r="B49" s="15" t="s">
        <v>386</v>
      </c>
      <c r="C49" s="15" t="s">
        <v>195</v>
      </c>
      <c r="D49" s="15">
        <v>1</v>
      </c>
      <c r="E49" s="15" t="s">
        <v>265</v>
      </c>
      <c r="F49" s="15" t="s">
        <v>275</v>
      </c>
      <c r="G49" s="15">
        <v>2</v>
      </c>
      <c r="H49" s="15">
        <v>5.3</v>
      </c>
      <c r="I49" s="15">
        <v>10.1</v>
      </c>
      <c r="J49" s="15">
        <v>28</v>
      </c>
      <c r="K49" s="15">
        <v>2</v>
      </c>
      <c r="L49" s="35">
        <f t="shared" si="11"/>
        <v>7.1428571428571425E-2</v>
      </c>
      <c r="M49" s="15" t="s">
        <v>195</v>
      </c>
      <c r="N49" s="15" t="s">
        <v>195</v>
      </c>
      <c r="O49" s="15"/>
      <c r="P49" s="15" t="s">
        <v>195</v>
      </c>
      <c r="Q49" s="15">
        <v>44</v>
      </c>
      <c r="R49" s="15">
        <v>32</v>
      </c>
      <c r="S49" s="15">
        <f>(((90000/4900))/(AF49*I49))*100</f>
        <v>20.206102242877353</v>
      </c>
      <c r="T49" s="15">
        <v>12</v>
      </c>
      <c r="U49" s="15"/>
      <c r="V49" s="15"/>
      <c r="W49" s="15"/>
      <c r="X49" s="15"/>
      <c r="Y49" s="15"/>
      <c r="Z49" s="15">
        <v>1</v>
      </c>
      <c r="AA49" s="32">
        <f t="shared" si="12"/>
        <v>0.22954545454545452</v>
      </c>
      <c r="AB49" s="15">
        <v>36</v>
      </c>
      <c r="AC49" s="15">
        <v>9</v>
      </c>
      <c r="AD49" s="35">
        <f t="shared" si="6"/>
        <v>0.25</v>
      </c>
      <c r="AE49" s="33">
        <f t="shared" si="10"/>
        <v>1.2222222222222223</v>
      </c>
      <c r="AF49" s="15">
        <v>9</v>
      </c>
      <c r="AG49" s="15">
        <v>1</v>
      </c>
      <c r="AH49" s="15">
        <v>1</v>
      </c>
      <c r="AI49" s="15">
        <v>1</v>
      </c>
      <c r="AJ49" s="15" t="s">
        <v>194</v>
      </c>
      <c r="AK49" s="15">
        <v>15</v>
      </c>
      <c r="AL49" s="15">
        <v>7200</v>
      </c>
      <c r="AM49" s="33">
        <f t="shared" si="8"/>
        <v>5400</v>
      </c>
      <c r="AN49" s="33">
        <f t="shared" si="9"/>
        <v>163.63636363636363</v>
      </c>
      <c r="AO49" s="15" t="s">
        <v>195</v>
      </c>
      <c r="AP49" s="15" t="s">
        <v>195</v>
      </c>
      <c r="AQ49" s="15" t="s">
        <v>191</v>
      </c>
      <c r="AR49" s="15"/>
      <c r="AT49" t="s">
        <v>386</v>
      </c>
      <c r="AV49" s="23">
        <v>45420</v>
      </c>
      <c r="AW49" t="s">
        <v>387</v>
      </c>
      <c r="AX49" t="s">
        <v>191</v>
      </c>
      <c r="AY49" t="s">
        <v>229</v>
      </c>
      <c r="AZ49" t="s">
        <v>197</v>
      </c>
    </row>
    <row r="50" spans="1:52">
      <c r="A50" s="38" t="s">
        <v>388</v>
      </c>
      <c r="B50" s="15" t="s">
        <v>389</v>
      </c>
      <c r="C50" s="15" t="s">
        <v>195</v>
      </c>
      <c r="D50" s="15">
        <v>1</v>
      </c>
      <c r="E50" s="15" t="s">
        <v>305</v>
      </c>
      <c r="F50" s="15" t="s">
        <v>390</v>
      </c>
      <c r="G50" s="15">
        <v>2</v>
      </c>
      <c r="H50" s="15">
        <v>26.4</v>
      </c>
      <c r="I50" s="15">
        <v>52.8</v>
      </c>
      <c r="J50" s="15">
        <v>30</v>
      </c>
      <c r="K50" s="15">
        <v>1</v>
      </c>
      <c r="L50" s="35">
        <f t="shared" si="11"/>
        <v>3.3333333333333333E-2</v>
      </c>
      <c r="M50" s="15" t="s">
        <v>195</v>
      </c>
      <c r="N50" s="15" t="s">
        <v>191</v>
      </c>
      <c r="O50" s="15" t="s">
        <v>193</v>
      </c>
      <c r="P50" s="15" t="s">
        <v>195</v>
      </c>
      <c r="Q50" s="15">
        <v>160</v>
      </c>
      <c r="R50" s="15"/>
      <c r="S50" s="15"/>
      <c r="T50" s="15">
        <v>50</v>
      </c>
      <c r="U50" s="15">
        <f>(((120000/4900))/(I50*AF50))*100</f>
        <v>9.2764378478664185</v>
      </c>
      <c r="V50" s="15">
        <v>1</v>
      </c>
      <c r="W50" s="15"/>
      <c r="X50" s="15">
        <v>109</v>
      </c>
      <c r="Y50" s="15"/>
      <c r="Z50" s="15">
        <v>1</v>
      </c>
      <c r="AA50" s="32">
        <f t="shared" si="12"/>
        <v>0.32999999999999996</v>
      </c>
      <c r="AB50" s="15">
        <v>150</v>
      </c>
      <c r="AC50" s="15">
        <v>14</v>
      </c>
      <c r="AD50" s="35">
        <f t="shared" si="6"/>
        <v>9.3333333333333338E-2</v>
      </c>
      <c r="AE50" s="33">
        <f t="shared" si="10"/>
        <v>1.0666666666666667</v>
      </c>
      <c r="AF50" s="15">
        <v>5</v>
      </c>
      <c r="AG50" s="15">
        <v>1</v>
      </c>
      <c r="AH50" s="15">
        <v>0</v>
      </c>
      <c r="AI50" s="15">
        <v>1</v>
      </c>
      <c r="AJ50" s="15" t="s">
        <v>194</v>
      </c>
      <c r="AK50" s="15">
        <v>15</v>
      </c>
      <c r="AL50" s="15">
        <v>19000</v>
      </c>
      <c r="AM50" s="33">
        <f t="shared" si="8"/>
        <v>14250</v>
      </c>
      <c r="AN50" s="33">
        <f t="shared" si="9"/>
        <v>118.75</v>
      </c>
      <c r="AO50" s="15" t="s">
        <v>195</v>
      </c>
      <c r="AP50" s="15" t="s">
        <v>191</v>
      </c>
      <c r="AQ50" s="15" t="s">
        <v>195</v>
      </c>
      <c r="AR50" s="15" t="s">
        <v>251</v>
      </c>
      <c r="AU50" s="27">
        <v>45461</v>
      </c>
      <c r="AV50" s="23">
        <v>45425</v>
      </c>
      <c r="AW50" t="s">
        <v>242</v>
      </c>
      <c r="AX50" t="s">
        <v>191</v>
      </c>
      <c r="AY50" t="s">
        <v>197</v>
      </c>
      <c r="AZ50" t="s">
        <v>197</v>
      </c>
    </row>
    <row r="51" spans="1:52">
      <c r="A51" s="38" t="s">
        <v>391</v>
      </c>
      <c r="B51" s="15" t="s">
        <v>333</v>
      </c>
      <c r="C51" s="15" t="s">
        <v>191</v>
      </c>
      <c r="D51" s="15">
        <v>2</v>
      </c>
      <c r="E51" s="15" t="s">
        <v>318</v>
      </c>
      <c r="F51" s="15" t="s">
        <v>212</v>
      </c>
      <c r="G51" s="15">
        <v>2</v>
      </c>
      <c r="H51" s="15">
        <v>16.899999999999999</v>
      </c>
      <c r="I51" s="15">
        <v>33.6</v>
      </c>
      <c r="J51" s="15">
        <v>94</v>
      </c>
      <c r="K51" s="15"/>
      <c r="L51" s="35">
        <f t="shared" si="11"/>
        <v>0</v>
      </c>
      <c r="M51" s="15" t="s">
        <v>191</v>
      </c>
      <c r="N51" s="15" t="s">
        <v>191</v>
      </c>
      <c r="O51" s="15" t="s">
        <v>193</v>
      </c>
      <c r="P51" s="15" t="s">
        <v>195</v>
      </c>
      <c r="Q51" s="15">
        <v>93</v>
      </c>
      <c r="R51" s="15"/>
      <c r="S51" s="15"/>
      <c r="T51" s="15">
        <v>70</v>
      </c>
      <c r="U51" s="15">
        <f>(((120000/4900))/(I51*AF51))*100</f>
        <v>14.577259475218657</v>
      </c>
      <c r="V51" s="15"/>
      <c r="W51" s="15"/>
      <c r="X51" s="15">
        <v>23</v>
      </c>
      <c r="Y51" s="15"/>
      <c r="Z51" s="15">
        <v>1</v>
      </c>
      <c r="AA51" s="32">
        <f t="shared" si="12"/>
        <v>0.3612903225806452</v>
      </c>
      <c r="AB51" s="15">
        <v>75</v>
      </c>
      <c r="AC51" s="15">
        <v>1</v>
      </c>
      <c r="AD51" s="35">
        <f t="shared" si="6"/>
        <v>1.3333333333333334E-2</v>
      </c>
      <c r="AE51" s="33">
        <f t="shared" si="10"/>
        <v>1.24</v>
      </c>
      <c r="AF51" s="15">
        <v>5</v>
      </c>
      <c r="AG51" s="15">
        <v>1</v>
      </c>
      <c r="AH51" s="15">
        <v>1</v>
      </c>
      <c r="AI51" s="15">
        <v>1</v>
      </c>
      <c r="AJ51" s="15" t="s">
        <v>340</v>
      </c>
      <c r="AK51" s="15">
        <v>16</v>
      </c>
      <c r="AL51" s="15">
        <v>10000</v>
      </c>
      <c r="AM51" s="33">
        <f t="shared" si="8"/>
        <v>7500</v>
      </c>
      <c r="AN51" s="33">
        <f t="shared" si="9"/>
        <v>107.52688172043011</v>
      </c>
      <c r="AO51" s="15" t="s">
        <v>191</v>
      </c>
      <c r="AP51" s="15" t="s">
        <v>195</v>
      </c>
      <c r="AQ51" s="15" t="s">
        <v>191</v>
      </c>
      <c r="AR51" s="15"/>
      <c r="AU51" s="27">
        <v>45461</v>
      </c>
      <c r="AV51" s="23">
        <v>45420</v>
      </c>
      <c r="AW51" t="s">
        <v>242</v>
      </c>
      <c r="AX51" t="s">
        <v>191</v>
      </c>
      <c r="AY51" t="s">
        <v>197</v>
      </c>
      <c r="AZ51" t="s">
        <v>197</v>
      </c>
    </row>
    <row r="52" spans="1:52" ht="45">
      <c r="A52" s="38" t="s">
        <v>392</v>
      </c>
      <c r="B52" s="15" t="s">
        <v>393</v>
      </c>
      <c r="C52" s="15" t="s">
        <v>191</v>
      </c>
      <c r="D52" s="15">
        <v>3</v>
      </c>
      <c r="E52" s="15" t="s">
        <v>394</v>
      </c>
      <c r="F52" s="15" t="s">
        <v>395</v>
      </c>
      <c r="G52" s="15">
        <v>0</v>
      </c>
      <c r="H52" s="15">
        <v>14.4</v>
      </c>
      <c r="I52" s="15">
        <v>28.6</v>
      </c>
      <c r="J52" s="15">
        <v>40</v>
      </c>
      <c r="K52" s="15">
        <v>6</v>
      </c>
      <c r="L52" s="35">
        <f t="shared" si="11"/>
        <v>0.15</v>
      </c>
      <c r="M52" s="15" t="s">
        <v>195</v>
      </c>
      <c r="N52" s="15" t="s">
        <v>191</v>
      </c>
      <c r="O52" s="16" t="s">
        <v>213</v>
      </c>
      <c r="P52" s="15" t="s">
        <v>195</v>
      </c>
      <c r="Q52" s="15">
        <v>30</v>
      </c>
      <c r="R52" s="15"/>
      <c r="S52" s="15"/>
      <c r="T52" s="15">
        <v>4</v>
      </c>
      <c r="U52" s="15">
        <f>(((100000/4900))/(I52*AF52))*100</f>
        <v>17.839303553589268</v>
      </c>
      <c r="V52" s="15"/>
      <c r="W52" s="15"/>
      <c r="X52" s="15">
        <v>26</v>
      </c>
      <c r="Y52" s="15"/>
      <c r="Z52" s="15"/>
      <c r="AA52" s="32">
        <f t="shared" si="12"/>
        <v>0.95333333333333337</v>
      </c>
      <c r="AB52" s="15">
        <v>28</v>
      </c>
      <c r="AC52" s="15">
        <v>3</v>
      </c>
      <c r="AD52" s="35">
        <f t="shared" si="6"/>
        <v>0.10714285714285714</v>
      </c>
      <c r="AE52" s="33">
        <f t="shared" si="10"/>
        <v>1.0714285714285714</v>
      </c>
      <c r="AF52" s="15">
        <v>4</v>
      </c>
      <c r="AG52" s="15">
        <v>1</v>
      </c>
      <c r="AH52" s="15">
        <v>1</v>
      </c>
      <c r="AI52" s="15">
        <v>1</v>
      </c>
      <c r="AJ52" s="15" t="s">
        <v>215</v>
      </c>
      <c r="AK52" s="15">
        <v>15</v>
      </c>
      <c r="AL52" s="15">
        <v>6500</v>
      </c>
      <c r="AM52" s="33">
        <f t="shared" si="8"/>
        <v>4875</v>
      </c>
      <c r="AN52" s="33">
        <f t="shared" si="9"/>
        <v>216.66666666666666</v>
      </c>
      <c r="AO52" s="15" t="s">
        <v>195</v>
      </c>
      <c r="AP52" s="15" t="s">
        <v>191</v>
      </c>
      <c r="AQ52" s="15" t="s">
        <v>195</v>
      </c>
      <c r="AR52" s="15"/>
      <c r="AU52" s="27">
        <v>45461</v>
      </c>
      <c r="AV52" s="23">
        <v>45425</v>
      </c>
      <c r="AW52" t="s">
        <v>276</v>
      </c>
      <c r="AX52" t="s">
        <v>191</v>
      </c>
      <c r="AY52" t="s">
        <v>197</v>
      </c>
      <c r="AZ52" t="s">
        <v>197</v>
      </c>
    </row>
    <row r="53" spans="1:52">
      <c r="A53" s="38" t="s">
        <v>396</v>
      </c>
      <c r="B53" s="15" t="s">
        <v>397</v>
      </c>
      <c r="C53" s="15" t="s">
        <v>191</v>
      </c>
      <c r="D53" s="15">
        <v>2</v>
      </c>
      <c r="E53" s="15" t="s">
        <v>398</v>
      </c>
      <c r="F53" s="15" t="s">
        <v>399</v>
      </c>
      <c r="G53" s="15">
        <v>0</v>
      </c>
      <c r="H53" s="15">
        <v>10</v>
      </c>
      <c r="I53" s="15">
        <v>17</v>
      </c>
      <c r="J53" s="15">
        <v>30</v>
      </c>
      <c r="K53" s="15">
        <v>2</v>
      </c>
      <c r="L53" s="35">
        <f t="shared" si="11"/>
        <v>6.6666666666666666E-2</v>
      </c>
      <c r="M53" s="15" t="s">
        <v>191</v>
      </c>
      <c r="N53" s="15" t="s">
        <v>195</v>
      </c>
      <c r="O53" s="15"/>
      <c r="P53" s="15" t="s">
        <v>195</v>
      </c>
      <c r="Q53" s="15">
        <v>58</v>
      </c>
      <c r="R53" s="15"/>
      <c r="S53" s="15"/>
      <c r="T53" s="15">
        <v>47</v>
      </c>
      <c r="U53" s="15">
        <f>(((100000/4900))/(I53*AF53))*100</f>
        <v>24.009603841536613</v>
      </c>
      <c r="V53" s="15">
        <v>2</v>
      </c>
      <c r="W53" s="15"/>
      <c r="X53" s="15">
        <v>9</v>
      </c>
      <c r="Y53" s="15"/>
      <c r="Z53" s="15" t="s">
        <v>214</v>
      </c>
      <c r="AA53" s="32">
        <f t="shared" si="12"/>
        <v>0.29310344827586204</v>
      </c>
      <c r="AB53" s="15">
        <v>15</v>
      </c>
      <c r="AC53" s="15">
        <v>5</v>
      </c>
      <c r="AD53" s="35">
        <f t="shared" si="6"/>
        <v>0.33333333333333331</v>
      </c>
      <c r="AE53" s="33">
        <f t="shared" si="10"/>
        <v>3.8666666666666667</v>
      </c>
      <c r="AF53" s="15">
        <v>5</v>
      </c>
      <c r="AG53" s="15">
        <v>0</v>
      </c>
      <c r="AH53" s="15">
        <v>1</v>
      </c>
      <c r="AI53" s="15">
        <v>1</v>
      </c>
      <c r="AJ53" s="15" t="s">
        <v>194</v>
      </c>
      <c r="AK53" s="15">
        <v>15</v>
      </c>
      <c r="AL53" s="15">
        <v>9500</v>
      </c>
      <c r="AM53" s="33">
        <f t="shared" si="8"/>
        <v>7125</v>
      </c>
      <c r="AN53" s="33">
        <f t="shared" si="9"/>
        <v>163.79310344827587</v>
      </c>
      <c r="AO53" s="15" t="s">
        <v>195</v>
      </c>
      <c r="AP53" s="15"/>
      <c r="AQ53" s="15" t="s">
        <v>195</v>
      </c>
      <c r="AR53" s="15"/>
      <c r="AU53" s="27">
        <v>45461</v>
      </c>
      <c r="AV53" s="23">
        <v>45425</v>
      </c>
      <c r="AW53" t="s">
        <v>276</v>
      </c>
      <c r="AX53" t="s">
        <v>191</v>
      </c>
      <c r="AY53" t="s">
        <v>197</v>
      </c>
      <c r="AZ53" t="s">
        <v>197</v>
      </c>
    </row>
    <row r="54" spans="1:52" ht="30">
      <c r="A54" s="38" t="s">
        <v>400</v>
      </c>
      <c r="B54" s="15" t="s">
        <v>401</v>
      </c>
      <c r="C54" s="15" t="s">
        <v>195</v>
      </c>
      <c r="D54" s="15">
        <v>1</v>
      </c>
      <c r="E54" s="15" t="s">
        <v>402</v>
      </c>
      <c r="F54" s="15" t="s">
        <v>335</v>
      </c>
      <c r="G54" s="15">
        <v>0</v>
      </c>
      <c r="H54" s="15">
        <v>18.8</v>
      </c>
      <c r="I54" s="15">
        <v>37.6</v>
      </c>
      <c r="J54" s="15">
        <v>50</v>
      </c>
      <c r="K54" s="15">
        <v>8</v>
      </c>
      <c r="L54" s="35">
        <f t="shared" si="11"/>
        <v>0.16</v>
      </c>
      <c r="M54" s="15" t="s">
        <v>191</v>
      </c>
      <c r="N54" s="15" t="s">
        <v>191</v>
      </c>
      <c r="O54" s="16" t="s">
        <v>376</v>
      </c>
      <c r="P54" s="15" t="s">
        <v>191</v>
      </c>
      <c r="Q54" s="15">
        <v>60</v>
      </c>
      <c r="R54" s="15"/>
      <c r="S54" s="15"/>
      <c r="T54" s="15">
        <v>30</v>
      </c>
      <c r="U54" s="15">
        <f>(((100000/4900))/(I54*AF54))*100</f>
        <v>10.855405992184107</v>
      </c>
      <c r="V54" s="15"/>
      <c r="W54" s="15"/>
      <c r="X54" s="15">
        <v>30</v>
      </c>
      <c r="Y54" s="15"/>
      <c r="Z54" s="15">
        <v>2</v>
      </c>
      <c r="AA54" s="32">
        <f t="shared" si="12"/>
        <v>0.62666666666666671</v>
      </c>
      <c r="AB54" s="15">
        <v>30</v>
      </c>
      <c r="AC54" s="15" t="s">
        <v>214</v>
      </c>
      <c r="AD54" s="35"/>
      <c r="AE54" s="33">
        <f t="shared" si="10"/>
        <v>2</v>
      </c>
      <c r="AF54" s="15">
        <v>5</v>
      </c>
      <c r="AG54" s="15">
        <v>1</v>
      </c>
      <c r="AH54" s="15">
        <v>1</v>
      </c>
      <c r="AI54" s="15">
        <v>0</v>
      </c>
      <c r="AJ54" s="15" t="s">
        <v>357</v>
      </c>
      <c r="AK54" s="15">
        <v>18</v>
      </c>
      <c r="AL54" s="15">
        <v>14000</v>
      </c>
      <c r="AM54" s="33">
        <f t="shared" si="8"/>
        <v>10500</v>
      </c>
      <c r="AN54" s="33">
        <f t="shared" si="9"/>
        <v>233.33333333333334</v>
      </c>
      <c r="AO54" s="15" t="s">
        <v>195</v>
      </c>
      <c r="AP54" s="15" t="s">
        <v>195</v>
      </c>
      <c r="AQ54" s="15" t="s">
        <v>191</v>
      </c>
      <c r="AR54" s="16" t="s">
        <v>307</v>
      </c>
      <c r="AU54" s="27">
        <v>45461</v>
      </c>
      <c r="AV54" s="23">
        <v>45422</v>
      </c>
      <c r="AW54" t="s">
        <v>276</v>
      </c>
      <c r="AX54" t="s">
        <v>195</v>
      </c>
      <c r="AY54" t="s">
        <v>197</v>
      </c>
      <c r="AZ54" t="s">
        <v>197</v>
      </c>
    </row>
    <row r="55" spans="1:52">
      <c r="A55" s="38" t="s">
        <v>403</v>
      </c>
      <c r="B55" s="15" t="s">
        <v>404</v>
      </c>
      <c r="C55" s="15" t="s">
        <v>195</v>
      </c>
      <c r="D55" s="15">
        <v>1</v>
      </c>
      <c r="E55" s="15" t="s">
        <v>405</v>
      </c>
      <c r="F55" s="15" t="s">
        <v>220</v>
      </c>
      <c r="G55" s="15">
        <v>2</v>
      </c>
      <c r="H55" s="15">
        <v>6.7</v>
      </c>
      <c r="I55" s="15">
        <v>13.2</v>
      </c>
      <c r="J55" s="15">
        <v>12</v>
      </c>
      <c r="K55" s="15">
        <v>2</v>
      </c>
      <c r="L55" s="35">
        <f t="shared" si="11"/>
        <v>0.16666666666666666</v>
      </c>
      <c r="M55" s="15" t="s">
        <v>195</v>
      </c>
      <c r="N55" s="15" t="s">
        <v>195</v>
      </c>
      <c r="O55" s="15"/>
      <c r="P55" s="15" t="s">
        <v>195</v>
      </c>
      <c r="Q55" s="15">
        <v>40</v>
      </c>
      <c r="R55" s="15">
        <v>40</v>
      </c>
      <c r="S55" s="15">
        <f>(((60000/4900))/(AF55*I55))*100</f>
        <v>15.460729746444033</v>
      </c>
      <c r="T55" s="15"/>
      <c r="U55" s="15"/>
      <c r="V55" s="15"/>
      <c r="W55" s="15"/>
      <c r="X55" s="15"/>
      <c r="Y55" s="15"/>
      <c r="Z55" s="15">
        <v>1</v>
      </c>
      <c r="AA55" s="32">
        <f t="shared" si="12"/>
        <v>0.32999999999999996</v>
      </c>
      <c r="AB55" s="15">
        <v>32</v>
      </c>
      <c r="AC55" s="15">
        <v>5</v>
      </c>
      <c r="AD55" s="35">
        <f>AC55/AB55</f>
        <v>0.15625</v>
      </c>
      <c r="AE55" s="33">
        <f t="shared" si="10"/>
        <v>1.25</v>
      </c>
      <c r="AF55" s="15">
        <v>6</v>
      </c>
      <c r="AG55" s="15">
        <v>1</v>
      </c>
      <c r="AH55" s="15">
        <v>0</v>
      </c>
      <c r="AI55" s="15">
        <v>1</v>
      </c>
      <c r="AJ55" s="15" t="s">
        <v>284</v>
      </c>
      <c r="AK55" s="15">
        <v>14</v>
      </c>
      <c r="AL55" s="15">
        <v>7200</v>
      </c>
      <c r="AM55" s="33">
        <f t="shared" si="8"/>
        <v>5400</v>
      </c>
      <c r="AN55" s="33">
        <f t="shared" si="9"/>
        <v>180</v>
      </c>
      <c r="AO55" s="15" t="s">
        <v>195</v>
      </c>
      <c r="AP55" s="15" t="s">
        <v>195</v>
      </c>
      <c r="AQ55" s="15" t="s">
        <v>191</v>
      </c>
      <c r="AR55" s="15"/>
      <c r="AU55" s="27">
        <v>45462</v>
      </c>
      <c r="AV55" s="23">
        <v>45420</v>
      </c>
      <c r="AW55" t="s">
        <v>406</v>
      </c>
      <c r="AX55" t="s">
        <v>191</v>
      </c>
      <c r="AY55" t="s">
        <v>197</v>
      </c>
      <c r="AZ55" t="s">
        <v>197</v>
      </c>
    </row>
    <row r="56" spans="1:52">
      <c r="A56" s="38" t="s">
        <v>407</v>
      </c>
      <c r="B56" s="15" t="s">
        <v>408</v>
      </c>
      <c r="C56" s="15" t="s">
        <v>191</v>
      </c>
      <c r="D56" s="15">
        <v>2</v>
      </c>
      <c r="E56" s="15" t="s">
        <v>409</v>
      </c>
      <c r="F56" s="15" t="s">
        <v>335</v>
      </c>
      <c r="G56" s="15">
        <v>0</v>
      </c>
      <c r="H56" s="15">
        <v>19.8</v>
      </c>
      <c r="I56" s="15">
        <v>39.6</v>
      </c>
      <c r="J56" s="15">
        <v>26</v>
      </c>
      <c r="K56" s="15">
        <v>9</v>
      </c>
      <c r="L56" s="35">
        <f t="shared" si="11"/>
        <v>0.34615384615384615</v>
      </c>
      <c r="M56" s="15" t="s">
        <v>191</v>
      </c>
      <c r="N56" s="15" t="s">
        <v>191</v>
      </c>
      <c r="O56" s="15" t="s">
        <v>193</v>
      </c>
      <c r="P56" s="15" t="s">
        <v>191</v>
      </c>
      <c r="Q56" s="15">
        <v>105</v>
      </c>
      <c r="R56" s="15"/>
      <c r="S56" s="15"/>
      <c r="T56" s="15">
        <v>74</v>
      </c>
      <c r="U56" s="15">
        <f>(((90000/4900))/(AF56*I56))*100</f>
        <v>7.7303648732220163</v>
      </c>
      <c r="V56" s="15"/>
      <c r="W56" s="15"/>
      <c r="X56" s="15">
        <v>31</v>
      </c>
      <c r="Y56" s="15"/>
      <c r="Z56" s="15">
        <v>2</v>
      </c>
      <c r="AA56" s="32">
        <f t="shared" si="12"/>
        <v>0.37714285714285717</v>
      </c>
      <c r="AB56" s="15">
        <v>80</v>
      </c>
      <c r="AC56" s="15">
        <v>10</v>
      </c>
      <c r="AD56" s="35">
        <f>AC56/AB56</f>
        <v>0.125</v>
      </c>
      <c r="AE56" s="33">
        <f t="shared" si="10"/>
        <v>1.3125</v>
      </c>
      <c r="AF56" s="15">
        <v>6</v>
      </c>
      <c r="AG56" s="15">
        <v>0</v>
      </c>
      <c r="AH56" s="15">
        <v>1</v>
      </c>
      <c r="AI56" s="15">
        <v>1</v>
      </c>
      <c r="AJ56" s="15" t="s">
        <v>377</v>
      </c>
      <c r="AK56" s="15">
        <v>14</v>
      </c>
      <c r="AL56" s="15">
        <v>34000</v>
      </c>
      <c r="AM56" s="33">
        <f t="shared" si="8"/>
        <v>25500</v>
      </c>
      <c r="AN56" s="33">
        <f t="shared" si="9"/>
        <v>323.8095238095238</v>
      </c>
      <c r="AO56" s="15" t="s">
        <v>195</v>
      </c>
      <c r="AP56" s="15" t="s">
        <v>195</v>
      </c>
      <c r="AQ56" s="15" t="s">
        <v>195</v>
      </c>
      <c r="AR56" s="15"/>
      <c r="AU56" s="27">
        <v>45462</v>
      </c>
      <c r="AV56" s="23">
        <v>45426</v>
      </c>
      <c r="AW56" t="s">
        <v>252</v>
      </c>
      <c r="AX56" t="s">
        <v>191</v>
      </c>
      <c r="AY56" t="s">
        <v>197</v>
      </c>
      <c r="AZ56" t="s">
        <v>197</v>
      </c>
    </row>
    <row r="57" spans="1:52">
      <c r="A57" s="38" t="s">
        <v>410</v>
      </c>
      <c r="B57" s="15" t="s">
        <v>304</v>
      </c>
      <c r="C57" s="15" t="s">
        <v>191</v>
      </c>
      <c r="D57" s="15">
        <v>2</v>
      </c>
      <c r="E57" s="15" t="s">
        <v>265</v>
      </c>
      <c r="F57" s="15" t="s">
        <v>305</v>
      </c>
      <c r="G57" s="15">
        <v>2</v>
      </c>
      <c r="H57" s="15">
        <v>26.4</v>
      </c>
      <c r="I57" s="15">
        <v>43</v>
      </c>
      <c r="J57" s="15">
        <v>36</v>
      </c>
      <c r="K57" s="15">
        <v>1</v>
      </c>
      <c r="L57" s="35">
        <f t="shared" si="11"/>
        <v>2.7777777777777776E-2</v>
      </c>
      <c r="M57" s="15" t="s">
        <v>195</v>
      </c>
      <c r="N57" s="15" t="s">
        <v>191</v>
      </c>
      <c r="O57" s="15" t="s">
        <v>193</v>
      </c>
      <c r="P57" s="15" t="s">
        <v>195</v>
      </c>
      <c r="Q57" s="15">
        <v>75</v>
      </c>
      <c r="R57" s="15"/>
      <c r="S57" s="15"/>
      <c r="T57" s="15">
        <v>43</v>
      </c>
      <c r="U57" s="15">
        <f>(((120000/4900))/(I57*AF57))*100</f>
        <v>11.390602752728999</v>
      </c>
      <c r="V57" s="15">
        <v>2</v>
      </c>
      <c r="W57" s="15"/>
      <c r="X57" s="15">
        <v>30</v>
      </c>
      <c r="Y57" s="15"/>
      <c r="Z57" s="15"/>
      <c r="AA57" s="32">
        <f t="shared" si="12"/>
        <v>0.57333333333333336</v>
      </c>
      <c r="AB57" s="15">
        <v>65</v>
      </c>
      <c r="AC57" s="15">
        <v>10</v>
      </c>
      <c r="AD57" s="35">
        <f>AC57/AB57</f>
        <v>0.15384615384615385</v>
      </c>
      <c r="AE57" s="33">
        <f t="shared" si="10"/>
        <v>1.1538461538461537</v>
      </c>
      <c r="AF57" s="15">
        <v>5</v>
      </c>
      <c r="AG57" s="15">
        <v>1</v>
      </c>
      <c r="AH57" s="15">
        <v>0</v>
      </c>
      <c r="AI57" s="15">
        <v>1</v>
      </c>
      <c r="AJ57" s="15" t="s">
        <v>227</v>
      </c>
      <c r="AK57" s="15">
        <v>16</v>
      </c>
      <c r="AL57" s="15">
        <v>24000</v>
      </c>
      <c r="AM57" s="33">
        <f t="shared" si="8"/>
        <v>18000</v>
      </c>
      <c r="AN57" s="33">
        <f t="shared" si="9"/>
        <v>320</v>
      </c>
      <c r="AO57" s="15" t="s">
        <v>195</v>
      </c>
      <c r="AP57" s="15" t="s">
        <v>191</v>
      </c>
      <c r="AQ57" s="15" t="s">
        <v>191</v>
      </c>
      <c r="AR57" s="15" t="s">
        <v>251</v>
      </c>
      <c r="AU57" s="27">
        <v>45461</v>
      </c>
      <c r="AV57" s="23">
        <v>45425</v>
      </c>
      <c r="AW57" t="s">
        <v>242</v>
      </c>
      <c r="AX57" t="s">
        <v>191</v>
      </c>
      <c r="AY57" t="s">
        <v>197</v>
      </c>
      <c r="AZ57" t="s">
        <v>197</v>
      </c>
    </row>
    <row r="58" spans="1:52">
      <c r="A58" s="38" t="s">
        <v>411</v>
      </c>
      <c r="B58" s="15" t="s">
        <v>412</v>
      </c>
      <c r="C58" s="15" t="s">
        <v>195</v>
      </c>
      <c r="D58" s="15">
        <v>1</v>
      </c>
      <c r="E58" s="15" t="s">
        <v>413</v>
      </c>
      <c r="F58" s="15" t="s">
        <v>287</v>
      </c>
      <c r="G58" s="15">
        <v>1</v>
      </c>
      <c r="H58" s="15">
        <v>4.5999999999999996</v>
      </c>
      <c r="I58" s="15">
        <v>4.0999999999999996</v>
      </c>
      <c r="J58" s="15">
        <v>28</v>
      </c>
      <c r="K58" s="15">
        <v>0</v>
      </c>
      <c r="L58" s="35">
        <f t="shared" si="11"/>
        <v>0</v>
      </c>
      <c r="M58" s="15" t="s">
        <v>191</v>
      </c>
      <c r="N58" s="15" t="s">
        <v>195</v>
      </c>
      <c r="O58" s="15"/>
      <c r="P58" s="15" t="s">
        <v>195</v>
      </c>
      <c r="Q58" s="15">
        <v>18</v>
      </c>
      <c r="R58" s="15"/>
      <c r="S58" s="15"/>
      <c r="T58" s="15"/>
      <c r="U58" s="15"/>
      <c r="V58" s="15"/>
      <c r="W58" s="15"/>
      <c r="X58" s="15">
        <v>18</v>
      </c>
      <c r="Y58" s="15">
        <f>(((100000/4900))/(I58*AF58))*100</f>
        <v>49.776007964161273</v>
      </c>
      <c r="Z58" s="15">
        <v>2</v>
      </c>
      <c r="AA58" s="32">
        <f t="shared" si="12"/>
        <v>0.22777777777777775</v>
      </c>
      <c r="AB58" s="15">
        <v>9</v>
      </c>
      <c r="AC58" s="15">
        <v>9</v>
      </c>
      <c r="AD58" s="35">
        <f>AC58/AB58</f>
        <v>1</v>
      </c>
      <c r="AE58" s="33">
        <f t="shared" si="10"/>
        <v>2</v>
      </c>
      <c r="AF58" s="15">
        <v>10</v>
      </c>
      <c r="AG58" s="15">
        <v>1</v>
      </c>
      <c r="AH58" s="15">
        <v>0</v>
      </c>
      <c r="AI58" s="15">
        <v>1</v>
      </c>
      <c r="AJ58" s="15" t="s">
        <v>271</v>
      </c>
      <c r="AK58" s="15">
        <v>15</v>
      </c>
      <c r="AL58" s="15">
        <v>7000</v>
      </c>
      <c r="AM58" s="33">
        <f t="shared" si="8"/>
        <v>5250</v>
      </c>
      <c r="AN58" s="33">
        <f t="shared" si="9"/>
        <v>388.88888888888891</v>
      </c>
      <c r="AO58" s="15" t="s">
        <v>195</v>
      </c>
      <c r="AP58" s="15" t="s">
        <v>195</v>
      </c>
      <c r="AQ58" s="15" t="s">
        <v>195</v>
      </c>
      <c r="AR58" s="15"/>
      <c r="AU58" s="27">
        <v>45462</v>
      </c>
      <c r="AV58" s="23">
        <v>45419</v>
      </c>
      <c r="AW58" t="s">
        <v>414</v>
      </c>
      <c r="AX58" t="s">
        <v>191</v>
      </c>
      <c r="AY58" t="s">
        <v>197</v>
      </c>
      <c r="AZ58" t="s">
        <v>197</v>
      </c>
    </row>
    <row r="59" spans="1:52" ht="30">
      <c r="A59" s="38" t="s">
        <v>415</v>
      </c>
      <c r="B59" s="15" t="s">
        <v>369</v>
      </c>
      <c r="C59" s="15" t="s">
        <v>191</v>
      </c>
      <c r="D59" s="15">
        <v>2</v>
      </c>
      <c r="E59" s="15" t="s">
        <v>416</v>
      </c>
      <c r="F59" s="15" t="s">
        <v>335</v>
      </c>
      <c r="G59" s="15">
        <v>0</v>
      </c>
      <c r="H59" s="15">
        <v>23.1</v>
      </c>
      <c r="I59" s="15">
        <v>45.7</v>
      </c>
      <c r="J59" s="15">
        <v>30</v>
      </c>
      <c r="K59" s="15">
        <v>4</v>
      </c>
      <c r="L59" s="35">
        <f t="shared" si="11"/>
        <v>0.13333333333333333</v>
      </c>
      <c r="M59" s="15" t="s">
        <v>191</v>
      </c>
      <c r="N59" s="15" t="s">
        <v>191</v>
      </c>
      <c r="O59" s="16" t="s">
        <v>376</v>
      </c>
      <c r="P59" s="15" t="s">
        <v>191</v>
      </c>
      <c r="Q59" s="15">
        <v>20</v>
      </c>
      <c r="R59" s="15"/>
      <c r="S59" s="15"/>
      <c r="T59" s="15">
        <v>12</v>
      </c>
      <c r="U59" s="15"/>
      <c r="V59" s="15">
        <v>3</v>
      </c>
      <c r="W59" s="15"/>
      <c r="X59" s="15">
        <v>5</v>
      </c>
      <c r="Y59" s="15">
        <f>(((120000/4900))/(I59*AF59))*100</f>
        <v>13.397043719019337</v>
      </c>
      <c r="Z59" s="15">
        <v>2</v>
      </c>
      <c r="AA59" s="32">
        <f t="shared" si="12"/>
        <v>2.2850000000000001</v>
      </c>
      <c r="AB59" s="15">
        <v>16</v>
      </c>
      <c r="AC59" s="15">
        <v>3</v>
      </c>
      <c r="AD59" s="35">
        <f>AC59/AB59</f>
        <v>0.1875</v>
      </c>
      <c r="AE59" s="33">
        <f t="shared" si="10"/>
        <v>1.25</v>
      </c>
      <c r="AF59" s="15">
        <v>4</v>
      </c>
      <c r="AG59" s="15">
        <v>1</v>
      </c>
      <c r="AH59" s="15">
        <v>1</v>
      </c>
      <c r="AI59" s="15">
        <v>1</v>
      </c>
      <c r="AJ59" s="15" t="s">
        <v>215</v>
      </c>
      <c r="AK59" s="15">
        <v>15</v>
      </c>
      <c r="AL59" s="15">
        <v>4000</v>
      </c>
      <c r="AM59" s="33">
        <f t="shared" si="8"/>
        <v>3000</v>
      </c>
      <c r="AN59" s="33">
        <f t="shared" si="9"/>
        <v>200</v>
      </c>
      <c r="AO59" s="15" t="s">
        <v>195</v>
      </c>
      <c r="AP59" s="15" t="s">
        <v>191</v>
      </c>
      <c r="AQ59" s="15" t="s">
        <v>191</v>
      </c>
      <c r="AR59" s="15" t="s">
        <v>371</v>
      </c>
      <c r="AU59" s="27">
        <v>45462</v>
      </c>
      <c r="AV59" s="23">
        <v>45422</v>
      </c>
      <c r="AW59" t="s">
        <v>417</v>
      </c>
      <c r="AX59" t="s">
        <v>191</v>
      </c>
      <c r="AY59" t="s">
        <v>197</v>
      </c>
      <c r="AZ59" t="s">
        <v>197</v>
      </c>
    </row>
    <row r="60" spans="1:52" ht="30">
      <c r="A60" s="38" t="s">
        <v>418</v>
      </c>
      <c r="B60" s="15" t="s">
        <v>419</v>
      </c>
      <c r="C60" s="15" t="s">
        <v>191</v>
      </c>
      <c r="D60" s="15">
        <v>4</v>
      </c>
      <c r="E60" s="15" t="s">
        <v>420</v>
      </c>
      <c r="F60" s="15" t="s">
        <v>421</v>
      </c>
      <c r="G60" s="15">
        <v>0</v>
      </c>
      <c r="H60" s="15">
        <v>20.6</v>
      </c>
      <c r="I60" s="15">
        <v>38.200000000000003</v>
      </c>
      <c r="J60" s="15">
        <v>73</v>
      </c>
      <c r="K60" s="15">
        <v>6</v>
      </c>
      <c r="L60" s="35">
        <f t="shared" si="11"/>
        <v>8.2191780821917804E-2</v>
      </c>
      <c r="M60" s="15" t="s">
        <v>195</v>
      </c>
      <c r="N60" s="15" t="s">
        <v>191</v>
      </c>
      <c r="O60" s="16" t="s">
        <v>376</v>
      </c>
      <c r="P60" s="15" t="s">
        <v>191</v>
      </c>
      <c r="Q60" s="15">
        <v>79</v>
      </c>
      <c r="R60" s="15"/>
      <c r="S60" s="15"/>
      <c r="T60" s="15"/>
      <c r="U60" s="15">
        <f>(((70000/4900))/(I60*AF60))*100</f>
        <v>12.465719272001994</v>
      </c>
      <c r="V60" s="15"/>
      <c r="W60" s="15"/>
      <c r="X60" s="15"/>
      <c r="Y60" s="15"/>
      <c r="Z60" s="15"/>
      <c r="AA60" s="32">
        <f t="shared" si="12"/>
        <v>0.48354430379746838</v>
      </c>
      <c r="AB60" s="15"/>
      <c r="AC60" s="15"/>
      <c r="AD60" s="35"/>
      <c r="AE60" s="33"/>
      <c r="AF60" s="15">
        <v>3</v>
      </c>
      <c r="AG60" s="15">
        <v>1</v>
      </c>
      <c r="AH60" s="15">
        <v>0</v>
      </c>
      <c r="AI60" s="15">
        <v>1</v>
      </c>
      <c r="AJ60" s="15" t="s">
        <v>377</v>
      </c>
      <c r="AK60" s="15">
        <v>12</v>
      </c>
      <c r="AL60" s="15"/>
      <c r="AM60" s="33"/>
      <c r="AN60" s="33"/>
      <c r="AO60" s="15" t="s">
        <v>191</v>
      </c>
      <c r="AP60" s="15" t="s">
        <v>191</v>
      </c>
      <c r="AQ60" s="15" t="s">
        <v>191</v>
      </c>
      <c r="AR60" s="15"/>
      <c r="AV60" s="23">
        <v>45425</v>
      </c>
      <c r="AW60" t="s">
        <v>276</v>
      </c>
      <c r="AX60" t="s">
        <v>191</v>
      </c>
      <c r="AY60" t="s">
        <v>197</v>
      </c>
      <c r="AZ60" t="s">
        <v>197</v>
      </c>
    </row>
    <row r="61" spans="1:52" ht="30">
      <c r="A61" s="38" t="s">
        <v>422</v>
      </c>
      <c r="B61" s="15" t="s">
        <v>423</v>
      </c>
      <c r="C61" s="15" t="s">
        <v>195</v>
      </c>
      <c r="D61" s="15">
        <v>1</v>
      </c>
      <c r="E61" s="15" t="s">
        <v>424</v>
      </c>
      <c r="F61" s="15" t="s">
        <v>424</v>
      </c>
      <c r="G61" s="15">
        <v>0</v>
      </c>
      <c r="H61" s="15">
        <v>16.5</v>
      </c>
      <c r="I61" s="15">
        <v>32</v>
      </c>
      <c r="J61" s="15">
        <v>54</v>
      </c>
      <c r="K61" s="15">
        <v>3</v>
      </c>
      <c r="L61" s="35">
        <f t="shared" si="11"/>
        <v>5.5555555555555552E-2</v>
      </c>
      <c r="M61" s="15" t="s">
        <v>191</v>
      </c>
      <c r="N61" s="15" t="s">
        <v>191</v>
      </c>
      <c r="O61" s="15" t="s">
        <v>193</v>
      </c>
      <c r="P61" s="15" t="s">
        <v>191</v>
      </c>
      <c r="Q61" s="15">
        <v>22</v>
      </c>
      <c r="R61" s="15"/>
      <c r="S61" s="15"/>
      <c r="T61" s="15">
        <v>5</v>
      </c>
      <c r="U61" s="15">
        <f>(((120000/4900))/(I61*AF61))*100</f>
        <v>19.132653061224488</v>
      </c>
      <c r="V61" s="15"/>
      <c r="W61" s="15"/>
      <c r="X61" s="15">
        <v>17</v>
      </c>
      <c r="Y61" s="15"/>
      <c r="Z61" s="15" t="s">
        <v>214</v>
      </c>
      <c r="AA61" s="32">
        <f t="shared" si="12"/>
        <v>1.4545454545454546</v>
      </c>
      <c r="AB61" s="15">
        <v>11</v>
      </c>
      <c r="AC61" s="15">
        <v>2</v>
      </c>
      <c r="AD61" s="35">
        <f>AC61/AB61</f>
        <v>0.18181818181818182</v>
      </c>
      <c r="AE61" s="33">
        <f>Q61/AB61</f>
        <v>2</v>
      </c>
      <c r="AF61" s="15">
        <v>4</v>
      </c>
      <c r="AG61" s="15">
        <v>1</v>
      </c>
      <c r="AH61" s="15">
        <v>1</v>
      </c>
      <c r="AI61" s="15">
        <v>1</v>
      </c>
      <c r="AJ61" s="15" t="s">
        <v>425</v>
      </c>
      <c r="AK61" s="15">
        <v>16</v>
      </c>
      <c r="AL61" s="15">
        <v>4500</v>
      </c>
      <c r="AM61" s="33">
        <f>0.75*AL61</f>
        <v>3375</v>
      </c>
      <c r="AN61" s="33">
        <f>AL61/Q61</f>
        <v>204.54545454545453</v>
      </c>
      <c r="AO61" s="15" t="s">
        <v>195</v>
      </c>
      <c r="AP61" s="15" t="s">
        <v>191</v>
      </c>
      <c r="AQ61" s="15" t="s">
        <v>195</v>
      </c>
      <c r="AR61" s="16" t="s">
        <v>307</v>
      </c>
      <c r="AS61" s="26"/>
      <c r="AT61" s="26"/>
      <c r="AU61" s="29">
        <v>45470</v>
      </c>
      <c r="AV61" s="25">
        <v>45422</v>
      </c>
      <c r="AW61" s="26" t="s">
        <v>242</v>
      </c>
      <c r="AX61" s="26" t="s">
        <v>191</v>
      </c>
      <c r="AY61" s="26" t="s">
        <v>197</v>
      </c>
      <c r="AZ61" s="26" t="s">
        <v>197</v>
      </c>
    </row>
    <row r="62" spans="1:52" s="26" customFormat="1" ht="75">
      <c r="A62" s="38" t="s">
        <v>426</v>
      </c>
      <c r="B62" s="15" t="s">
        <v>373</v>
      </c>
      <c r="C62" s="15" t="s">
        <v>191</v>
      </c>
      <c r="D62" s="15">
        <v>6</v>
      </c>
      <c r="E62" s="15" t="s">
        <v>362</v>
      </c>
      <c r="F62" s="15" t="s">
        <v>427</v>
      </c>
      <c r="G62" s="15">
        <v>0</v>
      </c>
      <c r="H62" s="15">
        <v>25.2</v>
      </c>
      <c r="I62" s="15">
        <v>49</v>
      </c>
      <c r="J62" s="15">
        <v>30</v>
      </c>
      <c r="K62" s="15">
        <v>3</v>
      </c>
      <c r="L62" s="35">
        <f t="shared" si="11"/>
        <v>0.1</v>
      </c>
      <c r="M62" s="15" t="s">
        <v>195</v>
      </c>
      <c r="N62" s="15" t="s">
        <v>191</v>
      </c>
      <c r="O62" s="16" t="s">
        <v>428</v>
      </c>
      <c r="P62" s="15" t="s">
        <v>191</v>
      </c>
      <c r="Q62" s="15">
        <v>245</v>
      </c>
      <c r="R62" s="15"/>
      <c r="S62" s="15"/>
      <c r="T62" s="15">
        <v>230</v>
      </c>
      <c r="U62" s="15">
        <f>(((130000/4900))/(I62*AF62))*100</f>
        <v>10.828821324448148</v>
      </c>
      <c r="V62" s="15">
        <v>9</v>
      </c>
      <c r="W62" s="15"/>
      <c r="X62" s="15">
        <v>10</v>
      </c>
      <c r="Y62" s="15"/>
      <c r="Z62" s="15">
        <v>1</v>
      </c>
      <c r="AA62" s="32">
        <f t="shared" si="12"/>
        <v>0.2</v>
      </c>
      <c r="AB62" s="15">
        <v>170</v>
      </c>
      <c r="AC62" s="15">
        <v>16</v>
      </c>
      <c r="AD62" s="35">
        <f>AC62/AB62</f>
        <v>9.4117647058823528E-2</v>
      </c>
      <c r="AE62" s="33">
        <f>Q62/AB62</f>
        <v>1.4411764705882353</v>
      </c>
      <c r="AF62" s="15">
        <v>5</v>
      </c>
      <c r="AG62" s="15">
        <v>1</v>
      </c>
      <c r="AH62" s="15">
        <v>0</v>
      </c>
      <c r="AI62" s="15">
        <v>1</v>
      </c>
      <c r="AJ62" s="15" t="s">
        <v>221</v>
      </c>
      <c r="AK62" s="15">
        <v>15</v>
      </c>
      <c r="AL62" s="15">
        <v>63000</v>
      </c>
      <c r="AM62" s="33">
        <f>0.75*AL62</f>
        <v>47250</v>
      </c>
      <c r="AN62" s="33">
        <f>AL62/Q62</f>
        <v>257.14285714285717</v>
      </c>
      <c r="AO62" s="15" t="s">
        <v>191</v>
      </c>
      <c r="AP62" s="15" t="s">
        <v>191</v>
      </c>
      <c r="AQ62" s="15" t="s">
        <v>191</v>
      </c>
      <c r="AR62" s="16" t="s">
        <v>429</v>
      </c>
      <c r="AT62" s="26" t="s">
        <v>373</v>
      </c>
      <c r="AV62" s="25">
        <v>45419</v>
      </c>
      <c r="AW62" s="26" t="s">
        <v>430</v>
      </c>
      <c r="AX62" s="26" t="s">
        <v>191</v>
      </c>
      <c r="AY62" s="26" t="s">
        <v>197</v>
      </c>
      <c r="AZ62" s="26" t="s">
        <v>197</v>
      </c>
    </row>
    <row r="63" spans="1:52">
      <c r="A63" s="38" t="s">
        <v>431</v>
      </c>
      <c r="B63" s="15" t="s">
        <v>432</v>
      </c>
      <c r="C63" s="15" t="s">
        <v>195</v>
      </c>
      <c r="D63" s="15">
        <v>1</v>
      </c>
      <c r="E63" s="15" t="s">
        <v>398</v>
      </c>
      <c r="F63" s="15" t="s">
        <v>287</v>
      </c>
      <c r="G63" s="15">
        <v>2</v>
      </c>
      <c r="H63" s="15">
        <v>8.6</v>
      </c>
      <c r="I63" s="15">
        <v>16.7</v>
      </c>
      <c r="J63" s="15">
        <v>28</v>
      </c>
      <c r="K63" s="15">
        <v>3</v>
      </c>
      <c r="L63" s="35">
        <f t="shared" si="11"/>
        <v>0.10714285714285714</v>
      </c>
      <c r="M63" s="15" t="s">
        <v>191</v>
      </c>
      <c r="N63" s="15" t="s">
        <v>195</v>
      </c>
      <c r="O63" s="15"/>
      <c r="P63" s="15" t="s">
        <v>195</v>
      </c>
      <c r="Q63" s="15">
        <v>35</v>
      </c>
      <c r="R63" s="15"/>
      <c r="S63" s="15"/>
      <c r="T63" s="15">
        <v>33</v>
      </c>
      <c r="U63" s="15">
        <f>(((130000/4900))/(I63*AF63))*100</f>
        <v>22.695134512316475</v>
      </c>
      <c r="V63" s="15"/>
      <c r="W63" s="15"/>
      <c r="X63" s="15">
        <v>2</v>
      </c>
      <c r="Y63" s="15"/>
      <c r="Z63" s="15">
        <v>1</v>
      </c>
      <c r="AA63" s="32">
        <f t="shared" si="12"/>
        <v>0.47714285714285715</v>
      </c>
      <c r="AB63" s="15">
        <v>20</v>
      </c>
      <c r="AC63" s="15">
        <v>4</v>
      </c>
      <c r="AD63" s="35">
        <f>AC63/AB63</f>
        <v>0.2</v>
      </c>
      <c r="AE63" s="33">
        <f>Q63/AB63</f>
        <v>1.75</v>
      </c>
      <c r="AF63" s="15">
        <v>7</v>
      </c>
      <c r="AG63" s="15">
        <v>1</v>
      </c>
      <c r="AH63" s="15">
        <v>0</v>
      </c>
      <c r="AI63" s="15">
        <v>1</v>
      </c>
      <c r="AJ63" s="15" t="s">
        <v>215</v>
      </c>
      <c r="AK63" s="15">
        <v>15</v>
      </c>
      <c r="AL63" s="15">
        <v>10000</v>
      </c>
      <c r="AM63" s="33">
        <f>0.75*AL63</f>
        <v>7500</v>
      </c>
      <c r="AN63" s="33">
        <f>AL63/Q63</f>
        <v>285.71428571428572</v>
      </c>
      <c r="AO63" s="15" t="s">
        <v>195</v>
      </c>
      <c r="AP63" s="15" t="s">
        <v>195</v>
      </c>
      <c r="AQ63" s="15" t="s">
        <v>195</v>
      </c>
      <c r="AR63" s="15"/>
      <c r="AU63" s="27">
        <v>45461</v>
      </c>
      <c r="AV63" s="23">
        <v>45419</v>
      </c>
      <c r="AW63" t="s">
        <v>242</v>
      </c>
      <c r="AX63" t="s">
        <v>191</v>
      </c>
      <c r="AY63" t="s">
        <v>197</v>
      </c>
      <c r="AZ63" t="s">
        <v>197</v>
      </c>
    </row>
    <row r="64" spans="1:52">
      <c r="A64" s="38" t="s">
        <v>433</v>
      </c>
      <c r="B64" s="15" t="s">
        <v>434</v>
      </c>
      <c r="C64" s="15" t="s">
        <v>191</v>
      </c>
      <c r="D64" s="15">
        <v>2</v>
      </c>
      <c r="E64" s="15" t="s">
        <v>435</v>
      </c>
      <c r="F64" s="15" t="s">
        <v>436</v>
      </c>
      <c r="G64" s="15">
        <v>0</v>
      </c>
      <c r="H64" s="15">
        <v>15.8</v>
      </c>
      <c r="I64" s="15">
        <v>31.1</v>
      </c>
      <c r="J64" s="15">
        <v>54</v>
      </c>
      <c r="K64" s="15">
        <v>11</v>
      </c>
      <c r="L64" s="35">
        <f t="shared" si="11"/>
        <v>0.20370370370370369</v>
      </c>
      <c r="M64" s="15" t="s">
        <v>191</v>
      </c>
      <c r="N64" s="15" t="s">
        <v>191</v>
      </c>
      <c r="O64" s="15" t="s">
        <v>193</v>
      </c>
      <c r="P64" s="15" t="s">
        <v>195</v>
      </c>
      <c r="Q64" s="15">
        <v>70</v>
      </c>
      <c r="R64" s="15"/>
      <c r="S64" s="15"/>
      <c r="T64" s="15">
        <v>43</v>
      </c>
      <c r="U64" s="15">
        <f>(((100000/4900))/(I64*AF64))*100</f>
        <v>16.405275936741255</v>
      </c>
      <c r="V64" s="15"/>
      <c r="W64" s="15"/>
      <c r="X64" s="15">
        <v>27</v>
      </c>
      <c r="Y64" s="15"/>
      <c r="Z64" s="15">
        <v>1</v>
      </c>
      <c r="AA64" s="32">
        <f t="shared" si="12"/>
        <v>0.44428571428571428</v>
      </c>
      <c r="AB64" s="15">
        <v>67</v>
      </c>
      <c r="AC64" s="15">
        <v>3</v>
      </c>
      <c r="AD64" s="35">
        <f>AC64/AB64</f>
        <v>4.4776119402985072E-2</v>
      </c>
      <c r="AE64" s="33">
        <f>Q64/AB64</f>
        <v>1.044776119402985</v>
      </c>
      <c r="AF64" s="15">
        <v>4</v>
      </c>
      <c r="AG64" s="15">
        <v>1</v>
      </c>
      <c r="AH64" s="15">
        <v>0</v>
      </c>
      <c r="AI64" s="15">
        <v>1</v>
      </c>
      <c r="AJ64" s="15" t="s">
        <v>227</v>
      </c>
      <c r="AK64" s="15">
        <v>16</v>
      </c>
      <c r="AL64" s="15">
        <v>15000</v>
      </c>
      <c r="AM64" s="33">
        <f>0.75*AL64</f>
        <v>11250</v>
      </c>
      <c r="AN64" s="33">
        <f>AL64/Q64</f>
        <v>214.28571428571428</v>
      </c>
      <c r="AO64" s="15" t="s">
        <v>195</v>
      </c>
      <c r="AP64" s="15"/>
      <c r="AQ64" s="15" t="s">
        <v>195</v>
      </c>
      <c r="AR64" s="15"/>
      <c r="AU64" t="s">
        <v>200</v>
      </c>
      <c r="AV64" s="23">
        <v>45425</v>
      </c>
      <c r="AW64" t="s">
        <v>276</v>
      </c>
      <c r="AX64" t="s">
        <v>191</v>
      </c>
      <c r="AY64" t="s">
        <v>197</v>
      </c>
      <c r="AZ64" t="s">
        <v>197</v>
      </c>
    </row>
    <row r="65" spans="1:39">
      <c r="A65" s="6">
        <f>COUNTA(A5:A64)</f>
        <v>60</v>
      </c>
      <c r="B65" s="20">
        <v>49</v>
      </c>
      <c r="G65" s="20">
        <f>COUNTA(G5:G64)</f>
        <v>60</v>
      </c>
      <c r="J65" s="20">
        <f>SUM(J5:J64)</f>
        <v>2168</v>
      </c>
      <c r="K65" s="20">
        <f>SUM(K5:K64)</f>
        <v>198</v>
      </c>
      <c r="Q65" s="20">
        <f>SUM(Q5:Q64)</f>
        <v>3620</v>
      </c>
      <c r="R65" s="20">
        <f>SUM(R5:R64)</f>
        <v>358</v>
      </c>
      <c r="S65" s="20"/>
      <c r="T65" s="20">
        <f t="shared" ref="T65:X65" si="13">SUM(T5:T64)</f>
        <v>1878</v>
      </c>
      <c r="U65" s="20"/>
      <c r="V65" s="20">
        <f t="shared" si="13"/>
        <v>50</v>
      </c>
      <c r="W65" s="20"/>
      <c r="X65" s="20">
        <f t="shared" si="13"/>
        <v>1048</v>
      </c>
      <c r="Y65" s="20"/>
      <c r="AB65" s="20">
        <f>SUM(AB5:AB64)</f>
        <v>2266</v>
      </c>
      <c r="AC65" s="20">
        <f>SUM(AC5:AC64)</f>
        <v>206</v>
      </c>
      <c r="AL65" s="20">
        <f>SUM(AL5:AL64)</f>
        <v>795380</v>
      </c>
      <c r="AM65" s="20">
        <f>SUM(AM5:AM64)</f>
        <v>596535</v>
      </c>
    </row>
  </sheetData>
  <mergeCells count="6">
    <mergeCell ref="AW2:AZ2"/>
    <mergeCell ref="AL2:AN2"/>
    <mergeCell ref="AO2:AR2"/>
    <mergeCell ref="B2:P2"/>
    <mergeCell ref="Q2:AE2"/>
    <mergeCell ref="AF2:AK2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29CDC73D-1FD6-45A2-93CB-9EB059E39A0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'bus urbain'!G5:G5</xm:f>
              <xm:sqref>H5</xm:sqref>
            </x14:sparkline>
            <x14:sparkline>
              <xm:f>'bus urbain'!G6:G6</xm:f>
              <xm:sqref>H6</xm:sqref>
            </x14:sparkline>
            <x14:sparkline>
              <xm:f>'bus urbain'!G7:G7</xm:f>
              <xm:sqref>H7</xm:sqref>
            </x14:sparkline>
            <x14:sparkline>
              <xm:f>'bus urbain'!G8:G8</xm:f>
              <xm:sqref>H8</xm:sqref>
            </x14:sparkline>
            <x14:sparkline>
              <xm:f>'bus urbain'!G9:G9</xm:f>
              <xm:sqref>H9</xm:sqref>
            </x14:sparkline>
            <x14:sparkline>
              <xm:f>'bus urbain'!G10:G10</xm:f>
              <xm:sqref>H10</xm:sqref>
            </x14:sparkline>
            <x14:sparkline>
              <xm:f>'bus urbain'!G11:G11</xm:f>
              <xm:sqref>H11</xm:sqref>
            </x14:sparkline>
            <x14:sparkline>
              <xm:f>'bus urbain'!G12:G12</xm:f>
              <xm:sqref>H12</xm:sqref>
            </x14:sparkline>
            <x14:sparkline>
              <xm:f>'bus urbain'!G13:G13</xm:f>
              <xm:sqref>H13</xm:sqref>
            </x14:sparkline>
            <x14:sparkline>
              <xm:f>'bus urbain'!G14:G14</xm:f>
              <xm:sqref>H14</xm:sqref>
            </x14:sparkline>
            <x14:sparkline>
              <xm:f>'bus urbain'!G15:G15</xm:f>
              <xm:sqref>H15</xm:sqref>
            </x14:sparkline>
            <x14:sparkline>
              <xm:f>'bus urbain'!G16:G16</xm:f>
              <xm:sqref>H16</xm:sqref>
            </x14:sparkline>
            <x14:sparkline>
              <xm:f>'bus urbain'!G17:G17</xm:f>
              <xm:sqref>H17</xm:sqref>
            </x14:sparkline>
            <x14:sparkline>
              <xm:f>'bus urbain'!G18:G18</xm:f>
              <xm:sqref>H18</xm:sqref>
            </x14:sparkline>
            <x14:sparkline>
              <xm:f>'bus urbain'!G19:G19</xm:f>
              <xm:sqref>H19</xm:sqref>
            </x14:sparkline>
            <x14:sparkline>
              <xm:f>'bus urbain'!G20:G20</xm:f>
              <xm:sqref>H20</xm:sqref>
            </x14:sparkline>
            <x14:sparkline>
              <xm:f>'bus urbain'!G21:G21</xm:f>
              <xm:sqref>H21</xm:sqref>
            </x14:sparkline>
            <x14:sparkline>
              <xm:f>'bus urbain'!G22:G22</xm:f>
              <xm:sqref>H22</xm:sqref>
            </x14:sparkline>
            <x14:sparkline>
              <xm:f>'bus urbain'!G23:G23</xm:f>
              <xm:sqref>H23</xm:sqref>
            </x14:sparkline>
            <x14:sparkline>
              <xm:f>'bus urbain'!G24:G24</xm:f>
              <xm:sqref>H24</xm:sqref>
            </x14:sparkline>
            <x14:sparkline>
              <xm:f>'bus urbain'!G25:G25</xm:f>
              <xm:sqref>H25</xm:sqref>
            </x14:sparkline>
            <x14:sparkline>
              <xm:f>'bus urbain'!G26:G26</xm:f>
              <xm:sqref>H26</xm:sqref>
            </x14:sparkline>
            <x14:sparkline>
              <xm:f>'bus urbain'!G27:G27</xm:f>
              <xm:sqref>H27</xm:sqref>
            </x14:sparkline>
            <x14:sparkline>
              <xm:f>'bus urbain'!G28:G28</xm:f>
              <xm:sqref>H28</xm:sqref>
            </x14:sparkline>
            <x14:sparkline>
              <xm:f>'bus urbain'!G29:G29</xm:f>
              <xm:sqref>H29</xm:sqref>
            </x14:sparkline>
            <x14:sparkline>
              <xm:f>'bus urbain'!G30:G30</xm:f>
              <xm:sqref>H30</xm:sqref>
            </x14:sparkline>
            <x14:sparkline>
              <xm:f>'bus urbain'!G31:G31</xm:f>
              <xm:sqref>H31</xm:sqref>
            </x14:sparkline>
            <x14:sparkline>
              <xm:f>'bus urbain'!G32:G32</xm:f>
              <xm:sqref>H32</xm:sqref>
            </x14:sparkline>
            <x14:sparkline>
              <xm:f>'bus urbain'!G33:G33</xm:f>
              <xm:sqref>H33</xm:sqref>
            </x14:sparkline>
            <x14:sparkline>
              <xm:f>'bus urbain'!G34:G34</xm:f>
              <xm:sqref>H34</xm:sqref>
            </x14:sparkline>
            <x14:sparkline>
              <xm:f>'bus urbain'!G35:G35</xm:f>
              <xm:sqref>H35</xm:sqref>
            </x14:sparkline>
            <x14:sparkline>
              <xm:f>'bus urbain'!G36:G36</xm:f>
              <xm:sqref>H36</xm:sqref>
            </x14:sparkline>
            <x14:sparkline>
              <xm:f>'bus urbain'!G37:G37</xm:f>
              <xm:sqref>H37</xm:sqref>
            </x14:sparkline>
            <x14:sparkline>
              <xm:f>'bus urbain'!G38:G38</xm:f>
              <xm:sqref>H38</xm:sqref>
            </x14:sparkline>
            <x14:sparkline>
              <xm:f>'bus urbain'!G39:G39</xm:f>
              <xm:sqref>H39</xm:sqref>
            </x14:sparkline>
            <x14:sparkline>
              <xm:f>'bus urbain'!G40:G40</xm:f>
              <xm:sqref>H40</xm:sqref>
            </x14:sparkline>
            <x14:sparkline>
              <xm:f>'bus urbain'!G41:G41</xm:f>
              <xm:sqref>H41</xm:sqref>
            </x14:sparkline>
            <x14:sparkline>
              <xm:f>'bus urbain'!G42:G42</xm:f>
              <xm:sqref>H42</xm:sqref>
            </x14:sparkline>
            <x14:sparkline>
              <xm:f>'bus urbain'!G43:G43</xm:f>
              <xm:sqref>H43</xm:sqref>
            </x14:sparkline>
            <x14:sparkline>
              <xm:f>'bus urbain'!G44:G44</xm:f>
              <xm:sqref>H44</xm:sqref>
            </x14:sparkline>
            <x14:sparkline>
              <xm:f>'bus urbain'!G45:G45</xm:f>
              <xm:sqref>H45</xm:sqref>
            </x14:sparkline>
            <x14:sparkline>
              <xm:f>'bus urbain'!G46:G46</xm:f>
              <xm:sqref>H46</xm:sqref>
            </x14:sparkline>
            <x14:sparkline>
              <xm:f>'bus urbain'!G47:G47</xm:f>
              <xm:sqref>H47</xm:sqref>
            </x14:sparkline>
            <x14:sparkline>
              <xm:f>'bus urbain'!G48:G48</xm:f>
              <xm:sqref>H48</xm:sqref>
            </x14:sparkline>
            <x14:sparkline>
              <xm:f>'bus urbain'!G49:G49</xm:f>
              <xm:sqref>H49</xm:sqref>
            </x14:sparkline>
            <x14:sparkline>
              <xm:f>'bus urbain'!G50:G50</xm:f>
              <xm:sqref>H50</xm:sqref>
            </x14:sparkline>
            <x14:sparkline>
              <xm:f>'bus urbain'!G51:G51</xm:f>
              <xm:sqref>H51</xm:sqref>
            </x14:sparkline>
            <x14:sparkline>
              <xm:f>'bus urbain'!G52:G52</xm:f>
              <xm:sqref>H52</xm:sqref>
            </x14:sparkline>
            <x14:sparkline>
              <xm:f>'bus urbain'!G53:G53</xm:f>
              <xm:sqref>H53</xm:sqref>
            </x14:sparkline>
            <x14:sparkline>
              <xm:f>'bus urbain'!G54:G54</xm:f>
              <xm:sqref>H54</xm:sqref>
            </x14:sparkline>
            <x14:sparkline>
              <xm:f>'bus urbain'!G55:G55</xm:f>
              <xm:sqref>H55</xm:sqref>
            </x14:sparkline>
            <x14:sparkline>
              <xm:f>'bus urbain'!G56:G56</xm:f>
              <xm:sqref>H56</xm:sqref>
            </x14:sparkline>
            <x14:sparkline>
              <xm:f>'bus urbain'!G57:G57</xm:f>
              <xm:sqref>H57</xm:sqref>
            </x14:sparkline>
            <x14:sparkline>
              <xm:f>'bus urbain'!G58:G58</xm:f>
              <xm:sqref>H58</xm:sqref>
            </x14:sparkline>
            <x14:sparkline>
              <xm:f>'bus urbain'!G59:G59</xm:f>
              <xm:sqref>H59</xm:sqref>
            </x14:sparkline>
            <x14:sparkline>
              <xm:f>'bus urbain'!G60:G60</xm:f>
              <xm:sqref>H60</xm:sqref>
            </x14:sparkline>
            <x14:sparkline>
              <xm:f>'bus urbain'!G61:G61</xm:f>
              <xm:sqref>H61</xm:sqref>
            </x14:sparkline>
            <x14:sparkline>
              <xm:f>'bus urbain'!G62:G62</xm:f>
              <xm:sqref>H62</xm:sqref>
            </x14:sparkline>
            <x14:sparkline>
              <xm:f>'bus urbain'!G63:G63</xm:f>
              <xm:sqref>H63</xm:sqref>
            </x14:sparkline>
            <x14:sparkline>
              <xm:f>'bus urbain'!G64:G64</xm:f>
              <xm:sqref>H64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25C3-C777-4570-B50A-FC9225AF40ED}">
  <dimension ref="A1:AZ14"/>
  <sheetViews>
    <sheetView zoomScale="70" zoomScaleNormal="70" workbookViewId="0">
      <pane ySplit="4" topLeftCell="A5" activePane="bottomLeft" state="frozen"/>
      <selection pane="bottomLeft" activeCell="BD5" sqref="BD5"/>
    </sheetView>
  </sheetViews>
  <sheetFormatPr defaultColWidth="11.42578125" defaultRowHeight="15"/>
  <cols>
    <col min="1" max="1" width="11.42578125" style="19"/>
    <col min="2" max="2" width="14" customWidth="1"/>
    <col min="3" max="3" width="11.85546875" customWidth="1"/>
    <col min="4" max="4" width="12.42578125" customWidth="1"/>
    <col min="5" max="5" width="15.7109375" bestFit="1" customWidth="1"/>
    <col min="6" max="6" width="23.7109375" bestFit="1" customWidth="1"/>
    <col min="7" max="7" width="13.42578125" customWidth="1"/>
    <col min="12" max="12" width="15.85546875" customWidth="1"/>
    <col min="13" max="14" width="13" customWidth="1"/>
    <col min="15" max="15" width="12.42578125" customWidth="1"/>
    <col min="16" max="16" width="13" customWidth="1"/>
    <col min="19" max="19" width="11.85546875" customWidth="1"/>
    <col min="21" max="21" width="14.28515625" customWidth="1"/>
    <col min="23" max="23" width="14.28515625" customWidth="1"/>
    <col min="24" max="24" width="13.7109375" customWidth="1"/>
    <col min="25" max="25" width="14.28515625" customWidth="1"/>
    <col min="26" max="26" width="18" customWidth="1"/>
    <col min="29" max="29" width="13.28515625" customWidth="1"/>
    <col min="30" max="30" width="13.7109375" customWidth="1"/>
    <col min="31" max="31" width="19.140625" customWidth="1"/>
    <col min="33" max="34" width="14.28515625" customWidth="1"/>
    <col min="36" max="36" width="12.85546875" bestFit="1" customWidth="1"/>
    <col min="37" max="37" width="11.5703125" customWidth="1"/>
    <col min="38" max="39" width="13.28515625" customWidth="1"/>
    <col min="40" max="40" width="15.140625" customWidth="1"/>
    <col min="41" max="43" width="14.28515625" customWidth="1"/>
    <col min="44" max="44" width="13.7109375" customWidth="1"/>
    <col min="45" max="45" width="15.7109375" customWidth="1"/>
    <col min="46" max="46" width="19.5703125" bestFit="1" customWidth="1"/>
    <col min="47" max="47" width="13.7109375" customWidth="1"/>
    <col min="48" max="48" width="22.85546875" customWidth="1"/>
    <col min="49" max="49" width="33.28515625" customWidth="1"/>
    <col min="50" max="50" width="14.85546875" customWidth="1"/>
    <col min="51" max="51" width="23.28515625" customWidth="1"/>
    <col min="52" max="52" width="22.85546875" customWidth="1"/>
  </cols>
  <sheetData>
    <row r="1" spans="1:52">
      <c r="A1" s="5"/>
    </row>
    <row r="2" spans="1:52" ht="15.75" customHeight="1">
      <c r="A2" s="6"/>
      <c r="B2" s="75" t="s">
        <v>24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7"/>
      <c r="Q2" s="75" t="s">
        <v>59</v>
      </c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7"/>
      <c r="AF2" s="75" t="s">
        <v>94</v>
      </c>
      <c r="AG2" s="76"/>
      <c r="AH2" s="76"/>
      <c r="AI2" s="76"/>
      <c r="AJ2" s="76"/>
      <c r="AK2" s="77"/>
      <c r="AL2" s="75" t="s">
        <v>108</v>
      </c>
      <c r="AM2" s="76"/>
      <c r="AN2" s="77"/>
      <c r="AO2" s="75" t="s">
        <v>126</v>
      </c>
      <c r="AP2" s="76"/>
      <c r="AQ2" s="76"/>
      <c r="AR2" s="77"/>
      <c r="AT2" s="20" t="s">
        <v>127</v>
      </c>
      <c r="AU2" s="20" t="s">
        <v>128</v>
      </c>
      <c r="AV2" s="20" t="s">
        <v>437</v>
      </c>
      <c r="AW2" s="73" t="s">
        <v>130</v>
      </c>
      <c r="AX2" s="74"/>
      <c r="AY2" s="74"/>
      <c r="AZ2" s="74"/>
    </row>
    <row r="3" spans="1:52" ht="94.5">
      <c r="A3" s="4" t="s">
        <v>131</v>
      </c>
      <c r="B3" s="7" t="s">
        <v>21</v>
      </c>
      <c r="C3" s="7" t="s">
        <v>25</v>
      </c>
      <c r="D3" s="7" t="s">
        <v>28</v>
      </c>
      <c r="E3" s="7" t="s">
        <v>30</v>
      </c>
      <c r="F3" s="7" t="s">
        <v>32</v>
      </c>
      <c r="G3" s="7" t="s">
        <v>132</v>
      </c>
      <c r="H3" s="7" t="s">
        <v>133</v>
      </c>
      <c r="I3" s="7" t="s">
        <v>43</v>
      </c>
      <c r="J3" s="7" t="s">
        <v>134</v>
      </c>
      <c r="K3" s="7" t="s">
        <v>47</v>
      </c>
      <c r="L3" s="8" t="s">
        <v>48</v>
      </c>
      <c r="M3" s="7" t="s">
        <v>53</v>
      </c>
      <c r="N3" s="7" t="s">
        <v>55</v>
      </c>
      <c r="O3" s="7" t="s">
        <v>56</v>
      </c>
      <c r="P3" s="7" t="s">
        <v>58</v>
      </c>
      <c r="Q3" s="9" t="s">
        <v>135</v>
      </c>
      <c r="R3" s="9" t="s">
        <v>136</v>
      </c>
      <c r="S3" s="9" t="s">
        <v>67</v>
      </c>
      <c r="T3" s="9" t="s">
        <v>70</v>
      </c>
      <c r="U3" s="9" t="s">
        <v>67</v>
      </c>
      <c r="V3" s="9" t="s">
        <v>73</v>
      </c>
      <c r="W3" s="9" t="s">
        <v>67</v>
      </c>
      <c r="X3" s="9" t="s">
        <v>75</v>
      </c>
      <c r="Y3" s="9" t="s">
        <v>67</v>
      </c>
      <c r="Z3" s="9" t="s">
        <v>78</v>
      </c>
      <c r="AA3" s="10" t="s">
        <v>81</v>
      </c>
      <c r="AB3" s="9" t="s">
        <v>84</v>
      </c>
      <c r="AC3" s="9" t="s">
        <v>86</v>
      </c>
      <c r="AD3" s="10" t="s">
        <v>88</v>
      </c>
      <c r="AE3" s="10" t="s">
        <v>91</v>
      </c>
      <c r="AF3" s="11" t="s">
        <v>95</v>
      </c>
      <c r="AG3" s="11" t="s">
        <v>97</v>
      </c>
      <c r="AH3" s="11" t="s">
        <v>100</v>
      </c>
      <c r="AI3" s="11" t="s">
        <v>101</v>
      </c>
      <c r="AJ3" s="11" t="s">
        <v>103</v>
      </c>
      <c r="AK3" s="11" t="s">
        <v>106</v>
      </c>
      <c r="AL3" s="12" t="s">
        <v>109</v>
      </c>
      <c r="AM3" s="12" t="s">
        <v>137</v>
      </c>
      <c r="AN3" s="13" t="s">
        <v>113</v>
      </c>
      <c r="AO3" s="14" t="s">
        <v>117</v>
      </c>
      <c r="AP3" s="14" t="s">
        <v>120</v>
      </c>
      <c r="AQ3" s="14" t="s">
        <v>122</v>
      </c>
      <c r="AR3" s="14" t="s">
        <v>124</v>
      </c>
    </row>
    <row r="4" spans="1:52" s="43" customFormat="1" ht="31.5">
      <c r="A4" s="40" t="s">
        <v>138</v>
      </c>
      <c r="B4" s="8" t="s">
        <v>139</v>
      </c>
      <c r="C4" s="8" t="s">
        <v>140</v>
      </c>
      <c r="D4" s="8" t="s">
        <v>141</v>
      </c>
      <c r="E4" s="8" t="s">
        <v>142</v>
      </c>
      <c r="F4" s="8" t="s">
        <v>143</v>
      </c>
      <c r="G4" s="8" t="s">
        <v>144</v>
      </c>
      <c r="H4" s="8" t="s">
        <v>145</v>
      </c>
      <c r="I4" s="8" t="s">
        <v>438</v>
      </c>
      <c r="J4" s="8" t="s">
        <v>147</v>
      </c>
      <c r="K4" s="8" t="s">
        <v>148</v>
      </c>
      <c r="L4" s="8" t="s">
        <v>149</v>
      </c>
      <c r="M4" s="8" t="s">
        <v>150</v>
      </c>
      <c r="N4" s="8" t="s">
        <v>151</v>
      </c>
      <c r="O4" s="8" t="s">
        <v>152</v>
      </c>
      <c r="P4" s="8" t="s">
        <v>153</v>
      </c>
      <c r="Q4" s="10" t="s">
        <v>154</v>
      </c>
      <c r="R4" s="10" t="s">
        <v>155</v>
      </c>
      <c r="S4" s="10" t="s">
        <v>156</v>
      </c>
      <c r="T4" s="10" t="s">
        <v>157</v>
      </c>
      <c r="U4" s="10" t="s">
        <v>158</v>
      </c>
      <c r="V4" s="10" t="s">
        <v>159</v>
      </c>
      <c r="W4" s="10" t="s">
        <v>160</v>
      </c>
      <c r="X4" s="10" t="s">
        <v>161</v>
      </c>
      <c r="Y4" s="10" t="s">
        <v>162</v>
      </c>
      <c r="Z4" s="10" t="s">
        <v>163</v>
      </c>
      <c r="AA4" s="10" t="s">
        <v>164</v>
      </c>
      <c r="AB4" s="10" t="s">
        <v>165</v>
      </c>
      <c r="AC4" s="10" t="s">
        <v>439</v>
      </c>
      <c r="AD4" s="10" t="s">
        <v>167</v>
      </c>
      <c r="AE4" s="10" t="s">
        <v>168</v>
      </c>
      <c r="AF4" s="41" t="s">
        <v>169</v>
      </c>
      <c r="AG4" s="41" t="s">
        <v>170</v>
      </c>
      <c r="AH4" s="41" t="s">
        <v>172</v>
      </c>
      <c r="AI4" s="41" t="s">
        <v>440</v>
      </c>
      <c r="AJ4" s="41" t="s">
        <v>173</v>
      </c>
      <c r="AK4" s="41" t="s">
        <v>174</v>
      </c>
      <c r="AL4" s="13" t="s">
        <v>175</v>
      </c>
      <c r="AM4" s="13" t="s">
        <v>176</v>
      </c>
      <c r="AN4" s="13" t="s">
        <v>177</v>
      </c>
      <c r="AO4" s="42" t="s">
        <v>178</v>
      </c>
      <c r="AP4" s="42" t="s">
        <v>179</v>
      </c>
      <c r="AQ4" s="42" t="s">
        <v>180</v>
      </c>
      <c r="AR4" s="42" t="s">
        <v>181</v>
      </c>
      <c r="AS4" s="43" t="s">
        <v>182</v>
      </c>
      <c r="AT4" s="44" t="s">
        <v>183</v>
      </c>
      <c r="AU4" s="45" t="s">
        <v>184</v>
      </c>
      <c r="AV4" s="46" t="s">
        <v>441</v>
      </c>
      <c r="AW4" s="47" t="s">
        <v>186</v>
      </c>
      <c r="AX4" s="43" t="s">
        <v>187</v>
      </c>
      <c r="AY4" s="47" t="s">
        <v>188</v>
      </c>
      <c r="AZ4" s="47" t="s">
        <v>189</v>
      </c>
    </row>
    <row r="5" spans="1:52" ht="30">
      <c r="A5" s="38" t="s">
        <v>442</v>
      </c>
      <c r="B5" s="16" t="s">
        <v>443</v>
      </c>
      <c r="C5" s="15" t="s">
        <v>191</v>
      </c>
      <c r="D5" s="15">
        <v>7</v>
      </c>
      <c r="E5" s="15" t="s">
        <v>206</v>
      </c>
      <c r="F5" s="15" t="s">
        <v>444</v>
      </c>
      <c r="G5" s="15">
        <v>1</v>
      </c>
      <c r="H5" s="15">
        <v>13</v>
      </c>
      <c r="I5" s="15">
        <v>25.2</v>
      </c>
      <c r="J5" s="15">
        <v>44</v>
      </c>
      <c r="K5" s="15">
        <v>0</v>
      </c>
      <c r="L5" s="15">
        <f t="shared" ref="L5:L6" si="0">K5/J5</f>
        <v>0</v>
      </c>
      <c r="M5" s="15" t="s">
        <v>195</v>
      </c>
      <c r="N5" s="15" t="s">
        <v>191</v>
      </c>
      <c r="O5" s="15" t="s">
        <v>193</v>
      </c>
      <c r="P5" s="15" t="s">
        <v>195</v>
      </c>
      <c r="Q5" s="15">
        <v>143</v>
      </c>
      <c r="R5" s="15">
        <v>50</v>
      </c>
      <c r="S5" s="15"/>
      <c r="T5" s="15">
        <f>60+24</f>
        <v>84</v>
      </c>
      <c r="U5" s="15">
        <f>(((110000/4900))/(I5*AF5))*100</f>
        <v>22.270813087139619</v>
      </c>
      <c r="V5" s="15"/>
      <c r="W5" s="15"/>
      <c r="X5" s="15">
        <v>6</v>
      </c>
      <c r="Y5" s="15"/>
      <c r="Z5" s="15">
        <v>0</v>
      </c>
      <c r="AA5" s="32">
        <f>I5/Q5</f>
        <v>0.17622377622377622</v>
      </c>
      <c r="AB5" s="15">
        <f>112+15+1</f>
        <v>128</v>
      </c>
      <c r="AC5" s="15">
        <v>4</v>
      </c>
      <c r="AD5" s="36">
        <f>AC5/AB5</f>
        <v>3.125E-2</v>
      </c>
      <c r="AE5" s="33">
        <f t="shared" ref="AE5:AE13" si="1">Q5/AB5</f>
        <v>1.1171875</v>
      </c>
      <c r="AF5" s="15">
        <v>4</v>
      </c>
      <c r="AG5" s="15">
        <v>1</v>
      </c>
      <c r="AH5" s="15">
        <v>1</v>
      </c>
      <c r="AI5" s="15">
        <v>1</v>
      </c>
      <c r="AJ5" s="15" t="s">
        <v>445</v>
      </c>
      <c r="AK5" s="15">
        <v>16</v>
      </c>
      <c r="AL5" s="15">
        <f>35200+6400</f>
        <v>41600</v>
      </c>
      <c r="AM5" s="33">
        <f>AL5*0.75</f>
        <v>31200</v>
      </c>
      <c r="AN5" s="33">
        <f>AL5/Q5</f>
        <v>290.90909090909093</v>
      </c>
      <c r="AO5" s="15" t="s">
        <v>195</v>
      </c>
      <c r="AP5" s="15" t="s">
        <v>195</v>
      </c>
      <c r="AQ5" s="15" t="s">
        <v>195</v>
      </c>
      <c r="AR5" s="15"/>
      <c r="AT5" s="2" t="s">
        <v>443</v>
      </c>
      <c r="AU5" s="2"/>
      <c r="AV5" s="23">
        <v>45422</v>
      </c>
      <c r="AW5" s="18" t="s">
        <v>446</v>
      </c>
      <c r="AX5" s="26" t="s">
        <v>191</v>
      </c>
      <c r="AY5" s="26" t="s">
        <v>197</v>
      </c>
      <c r="AZ5" s="26" t="s">
        <v>197</v>
      </c>
    </row>
    <row r="6" spans="1:52" s="18" customFormat="1" ht="60">
      <c r="A6" s="38" t="s">
        <v>447</v>
      </c>
      <c r="B6" s="16" t="s">
        <v>448</v>
      </c>
      <c r="C6" s="15" t="s">
        <v>191</v>
      </c>
      <c r="D6" s="15">
        <v>4</v>
      </c>
      <c r="E6" s="15" t="s">
        <v>212</v>
      </c>
      <c r="F6" s="15" t="s">
        <v>449</v>
      </c>
      <c r="G6" s="15">
        <v>0</v>
      </c>
      <c r="H6" s="15">
        <v>18.5</v>
      </c>
      <c r="I6" s="15">
        <v>37</v>
      </c>
      <c r="J6" s="15">
        <v>16</v>
      </c>
      <c r="K6" s="15">
        <v>0</v>
      </c>
      <c r="L6" s="15">
        <f t="shared" si="0"/>
        <v>0</v>
      </c>
      <c r="M6" s="15" t="s">
        <v>195</v>
      </c>
      <c r="N6" s="15" t="s">
        <v>191</v>
      </c>
      <c r="O6" s="16" t="s">
        <v>450</v>
      </c>
      <c r="P6" s="15" t="s">
        <v>195</v>
      </c>
      <c r="Q6" s="15">
        <f>108+34+22+40</f>
        <v>204</v>
      </c>
      <c r="R6" s="15">
        <f>3+2</f>
        <v>5</v>
      </c>
      <c r="S6" s="15"/>
      <c r="T6" s="15">
        <f>8+7+20+9+25</f>
        <v>69</v>
      </c>
      <c r="U6" s="15">
        <f>(((80000/4900))/(I6*AF6))*100</f>
        <v>11.031439602868174</v>
      </c>
      <c r="V6" s="15"/>
      <c r="W6" s="15"/>
      <c r="X6" s="15">
        <f>39+14+14+13+13</f>
        <v>93</v>
      </c>
      <c r="Y6" s="15"/>
      <c r="Z6" s="15">
        <v>0</v>
      </c>
      <c r="AA6" s="32">
        <f t="shared" ref="AA6:AA13" si="2">I6/Q6</f>
        <v>0.18137254901960784</v>
      </c>
      <c r="AB6" s="15">
        <f>90+30+9</f>
        <v>129</v>
      </c>
      <c r="AC6" s="15">
        <f>43+6+5</f>
        <v>54</v>
      </c>
      <c r="AD6" s="36">
        <f t="shared" ref="AD6:AD13" si="3">AC6/AB6</f>
        <v>0.41860465116279072</v>
      </c>
      <c r="AE6" s="33">
        <f t="shared" si="1"/>
        <v>1.5813953488372092</v>
      </c>
      <c r="AF6" s="15">
        <v>4</v>
      </c>
      <c r="AG6" s="15">
        <v>1</v>
      </c>
      <c r="AH6" s="15">
        <v>0</v>
      </c>
      <c r="AI6" s="15">
        <v>1</v>
      </c>
      <c r="AJ6" s="15" t="s">
        <v>311</v>
      </c>
      <c r="AK6" s="15">
        <v>17</v>
      </c>
      <c r="AL6" s="15">
        <f>2000+3360+9000+6000</f>
        <v>20360</v>
      </c>
      <c r="AM6" s="33">
        <f t="shared" ref="AM6:AM13" si="4">AL6*0.75</f>
        <v>15270</v>
      </c>
      <c r="AN6" s="33">
        <f t="shared" ref="AN6:AN13" si="5">AL6/Q6</f>
        <v>99.803921568627445</v>
      </c>
      <c r="AO6" s="15" t="s">
        <v>195</v>
      </c>
      <c r="AP6" s="15" t="s">
        <v>195</v>
      </c>
      <c r="AQ6" s="15" t="s">
        <v>195</v>
      </c>
      <c r="AR6" s="15"/>
      <c r="AT6" s="21" t="s">
        <v>451</v>
      </c>
      <c r="AU6" s="30">
        <v>45467</v>
      </c>
      <c r="AV6" s="24">
        <v>45419</v>
      </c>
      <c r="AW6" s="18" t="s">
        <v>196</v>
      </c>
      <c r="AX6" s="18" t="s">
        <v>191</v>
      </c>
      <c r="AY6" s="18" t="s">
        <v>197</v>
      </c>
      <c r="AZ6" s="18" t="s">
        <v>197</v>
      </c>
    </row>
    <row r="7" spans="1:52" s="18" customFormat="1" ht="75">
      <c r="A7" s="38" t="s">
        <v>452</v>
      </c>
      <c r="B7" s="16" t="s">
        <v>453</v>
      </c>
      <c r="C7" s="15" t="s">
        <v>191</v>
      </c>
      <c r="D7" s="15">
        <v>7</v>
      </c>
      <c r="E7" s="15" t="s">
        <v>454</v>
      </c>
      <c r="F7" s="15" t="s">
        <v>455</v>
      </c>
      <c r="G7" s="15">
        <v>0</v>
      </c>
      <c r="H7" s="15">
        <v>33.6</v>
      </c>
      <c r="I7" s="15">
        <v>67.2</v>
      </c>
      <c r="J7" s="15">
        <v>74</v>
      </c>
      <c r="K7" s="15">
        <v>1</v>
      </c>
      <c r="L7" s="35">
        <f>K7/J7</f>
        <v>1.3513513513513514E-2</v>
      </c>
      <c r="M7" s="15" t="s">
        <v>195</v>
      </c>
      <c r="N7" s="15" t="s">
        <v>191</v>
      </c>
      <c r="O7" s="16" t="s">
        <v>456</v>
      </c>
      <c r="P7" s="15" t="s">
        <v>195</v>
      </c>
      <c r="Q7" s="15">
        <f>21+135+49+200+150</f>
        <v>555</v>
      </c>
      <c r="R7" s="15">
        <v>20</v>
      </c>
      <c r="S7" s="15"/>
      <c r="T7" s="15">
        <f>135+49+170+150</f>
        <v>504</v>
      </c>
      <c r="U7" s="15">
        <f>(((100000/4900))/(I7*AF7))*100</f>
        <v>7.5923226433430511</v>
      </c>
      <c r="V7" s="15"/>
      <c r="W7" s="15"/>
      <c r="X7" s="15">
        <f>21+10</f>
        <v>31</v>
      </c>
      <c r="Y7" s="15"/>
      <c r="Z7" s="15">
        <v>0</v>
      </c>
      <c r="AA7" s="32">
        <f t="shared" si="2"/>
        <v>0.12108108108108108</v>
      </c>
      <c r="AB7" s="15">
        <f>21+100+30+190+90</f>
        <v>431</v>
      </c>
      <c r="AC7" s="15">
        <f>5+35+5+20+15</f>
        <v>80</v>
      </c>
      <c r="AD7" s="36">
        <f t="shared" si="3"/>
        <v>0.18561484918793503</v>
      </c>
      <c r="AE7" s="33">
        <f t="shared" si="1"/>
        <v>1.2877030162412992</v>
      </c>
      <c r="AF7" s="15">
        <v>4</v>
      </c>
      <c r="AG7" s="15">
        <v>1</v>
      </c>
      <c r="AH7" s="15">
        <v>1</v>
      </c>
      <c r="AI7" s="15">
        <v>1</v>
      </c>
      <c r="AJ7" s="15" t="s">
        <v>221</v>
      </c>
      <c r="AK7" s="15">
        <v>15</v>
      </c>
      <c r="AL7" s="15">
        <f>20000+4500+8000+51000</f>
        <v>83500</v>
      </c>
      <c r="AM7" s="33">
        <f t="shared" si="4"/>
        <v>62625</v>
      </c>
      <c r="AN7" s="33">
        <f t="shared" si="5"/>
        <v>150.45045045045046</v>
      </c>
      <c r="AO7" s="15" t="s">
        <v>195</v>
      </c>
      <c r="AP7" s="15" t="s">
        <v>191</v>
      </c>
      <c r="AQ7" s="15" t="s">
        <v>191</v>
      </c>
      <c r="AR7" s="15" t="s">
        <v>251</v>
      </c>
      <c r="AU7" s="30" t="s">
        <v>457</v>
      </c>
      <c r="AV7" s="25">
        <v>45420</v>
      </c>
      <c r="AW7" s="18" t="s">
        <v>276</v>
      </c>
      <c r="AX7" s="18" t="s">
        <v>191</v>
      </c>
      <c r="AY7" s="18" t="s">
        <v>197</v>
      </c>
      <c r="AZ7" s="18" t="s">
        <v>197</v>
      </c>
    </row>
    <row r="8" spans="1:52" s="18" customFormat="1" ht="150">
      <c r="A8" s="38" t="s">
        <v>458</v>
      </c>
      <c r="B8" s="16" t="s">
        <v>459</v>
      </c>
      <c r="C8" s="15" t="s">
        <v>191</v>
      </c>
      <c r="D8" s="15">
        <v>12</v>
      </c>
      <c r="E8" s="15" t="s">
        <v>460</v>
      </c>
      <c r="F8" s="15" t="s">
        <v>461</v>
      </c>
      <c r="G8" s="15">
        <v>1</v>
      </c>
      <c r="H8" s="15">
        <v>30</v>
      </c>
      <c r="I8" s="15">
        <v>59</v>
      </c>
      <c r="J8" s="15">
        <v>54</v>
      </c>
      <c r="K8" s="15">
        <v>2</v>
      </c>
      <c r="L8" s="35">
        <f t="shared" ref="L8:L13" si="6">K8/J8</f>
        <v>3.7037037037037035E-2</v>
      </c>
      <c r="M8" s="15" t="s">
        <v>195</v>
      </c>
      <c r="N8" s="15" t="s">
        <v>191</v>
      </c>
      <c r="O8" s="15" t="s">
        <v>193</v>
      </c>
      <c r="P8" s="15" t="s">
        <v>191</v>
      </c>
      <c r="Q8" s="15">
        <f>418+21+7+40+60</f>
        <v>546</v>
      </c>
      <c r="R8" s="15">
        <f>1+32</f>
        <v>33</v>
      </c>
      <c r="S8" s="15"/>
      <c r="T8" s="15">
        <f>18+155+12+1+2+50</f>
        <v>238</v>
      </c>
      <c r="U8" s="15">
        <f>(((120000/4900))/(I8*AF8))*100</f>
        <v>8.301625735039778</v>
      </c>
      <c r="V8" s="15"/>
      <c r="W8" s="15"/>
      <c r="X8" s="15">
        <f>9+6+6+10</f>
        <v>31</v>
      </c>
      <c r="Y8" s="15"/>
      <c r="Z8" s="15">
        <v>0</v>
      </c>
      <c r="AA8" s="32">
        <f t="shared" si="2"/>
        <v>0.10805860805860806</v>
      </c>
      <c r="AB8" s="15">
        <f>361+12+7+38+35</f>
        <v>453</v>
      </c>
      <c r="AC8" s="15">
        <f>6+5+3+1+10+4</f>
        <v>29</v>
      </c>
      <c r="AD8" s="36">
        <f t="shared" si="3"/>
        <v>6.4017660044150104E-2</v>
      </c>
      <c r="AE8" s="33">
        <f t="shared" si="1"/>
        <v>1.2052980132450331</v>
      </c>
      <c r="AF8" s="15">
        <v>5</v>
      </c>
      <c r="AG8" s="15">
        <v>1</v>
      </c>
      <c r="AH8" s="15">
        <v>0</v>
      </c>
      <c r="AI8" s="15">
        <v>0</v>
      </c>
      <c r="AJ8" s="15" t="s">
        <v>311</v>
      </c>
      <c r="AK8" s="15">
        <v>17</v>
      </c>
      <c r="AL8" s="15">
        <f>450+62000+1500+1500+7000+16000</f>
        <v>88450</v>
      </c>
      <c r="AM8" s="33">
        <f t="shared" si="4"/>
        <v>66337.5</v>
      </c>
      <c r="AN8" s="33">
        <f t="shared" si="5"/>
        <v>161.99633699633699</v>
      </c>
      <c r="AO8" s="15" t="s">
        <v>195</v>
      </c>
      <c r="AP8" s="15" t="s">
        <v>191</v>
      </c>
      <c r="AQ8" s="15" t="s">
        <v>195</v>
      </c>
      <c r="AR8" s="15"/>
      <c r="AT8" s="21" t="s">
        <v>462</v>
      </c>
      <c r="AU8" s="30" t="s">
        <v>463</v>
      </c>
      <c r="AV8" s="24">
        <v>45425</v>
      </c>
      <c r="AW8" s="18" t="s">
        <v>242</v>
      </c>
      <c r="AX8" s="18" t="s">
        <v>195</v>
      </c>
      <c r="AY8" s="18" t="s">
        <v>229</v>
      </c>
      <c r="AZ8" s="18" t="s">
        <v>229</v>
      </c>
    </row>
    <row r="9" spans="1:52" s="18" customFormat="1" ht="90">
      <c r="A9" s="38" t="s">
        <v>464</v>
      </c>
      <c r="B9" s="16" t="s">
        <v>465</v>
      </c>
      <c r="C9" s="15" t="s">
        <v>191</v>
      </c>
      <c r="D9" s="15">
        <v>16</v>
      </c>
      <c r="E9" s="15" t="s">
        <v>466</v>
      </c>
      <c r="F9" s="15" t="s">
        <v>467</v>
      </c>
      <c r="G9" s="15">
        <v>0</v>
      </c>
      <c r="H9" s="15">
        <v>32</v>
      </c>
      <c r="I9" s="15">
        <v>63</v>
      </c>
      <c r="J9" s="15">
        <v>50</v>
      </c>
      <c r="K9" s="15">
        <v>10</v>
      </c>
      <c r="L9" s="35">
        <f t="shared" si="6"/>
        <v>0.2</v>
      </c>
      <c r="M9" s="15" t="s">
        <v>191</v>
      </c>
      <c r="N9" s="15" t="s">
        <v>191</v>
      </c>
      <c r="O9" s="16" t="s">
        <v>250</v>
      </c>
      <c r="P9" s="15" t="s">
        <v>195</v>
      </c>
      <c r="Q9" s="15">
        <f>49+65+60+45</f>
        <v>219</v>
      </c>
      <c r="R9" s="15">
        <f>2+1</f>
        <v>3</v>
      </c>
      <c r="S9" s="15"/>
      <c r="T9" s="15">
        <f>30+1+28+38</f>
        <v>97</v>
      </c>
      <c r="U9" s="15"/>
      <c r="V9" s="15">
        <f>2+1</f>
        <v>3</v>
      </c>
      <c r="W9" s="15"/>
      <c r="X9" s="15">
        <f>15+64+28+7</f>
        <v>114</v>
      </c>
      <c r="Y9" s="15">
        <f>(((80000/4900))/(I9*AF9))*100</f>
        <v>6.4787819889860714</v>
      </c>
      <c r="Z9" s="15">
        <v>1</v>
      </c>
      <c r="AA9" s="32">
        <f t="shared" si="2"/>
        <v>0.28767123287671231</v>
      </c>
      <c r="AB9" s="15">
        <f>40+60+60+10</f>
        <v>170</v>
      </c>
      <c r="AC9" s="15">
        <f>6+10+6+4</f>
        <v>26</v>
      </c>
      <c r="AD9" s="36">
        <f t="shared" si="3"/>
        <v>0.15294117647058825</v>
      </c>
      <c r="AE9" s="33">
        <f t="shared" si="1"/>
        <v>1.2882352941176471</v>
      </c>
      <c r="AF9" s="15">
        <v>4</v>
      </c>
      <c r="AG9" s="15">
        <v>1</v>
      </c>
      <c r="AH9" s="15">
        <v>0</v>
      </c>
      <c r="AI9" s="15">
        <v>1</v>
      </c>
      <c r="AJ9" s="15" t="s">
        <v>207</v>
      </c>
      <c r="AK9" s="15">
        <v>16</v>
      </c>
      <c r="AL9" s="15">
        <f>10000+14000+6000+11500</f>
        <v>41500</v>
      </c>
      <c r="AM9" s="33">
        <f t="shared" si="4"/>
        <v>31125</v>
      </c>
      <c r="AN9" s="33">
        <f t="shared" si="5"/>
        <v>189.49771689497717</v>
      </c>
      <c r="AO9" s="15" t="s">
        <v>195</v>
      </c>
      <c r="AP9" s="15" t="s">
        <v>195</v>
      </c>
      <c r="AQ9" s="15" t="s">
        <v>191</v>
      </c>
      <c r="AR9" s="15" t="s">
        <v>251</v>
      </c>
      <c r="AU9" s="30" t="s">
        <v>468</v>
      </c>
      <c r="AV9" s="25">
        <v>45420</v>
      </c>
      <c r="AW9" s="18" t="s">
        <v>469</v>
      </c>
      <c r="AX9" s="18" t="s">
        <v>191</v>
      </c>
      <c r="AY9" s="18" t="s">
        <v>197</v>
      </c>
      <c r="AZ9" s="18" t="s">
        <v>197</v>
      </c>
    </row>
    <row r="10" spans="1:52" s="18" customFormat="1" ht="120">
      <c r="A10" s="38" t="s">
        <v>470</v>
      </c>
      <c r="B10" s="16" t="s">
        <v>471</v>
      </c>
      <c r="C10" s="15" t="s">
        <v>191</v>
      </c>
      <c r="D10" s="15">
        <v>17</v>
      </c>
      <c r="E10" s="15" t="s">
        <v>335</v>
      </c>
      <c r="F10" s="15" t="s">
        <v>472</v>
      </c>
      <c r="G10" s="15">
        <v>2</v>
      </c>
      <c r="H10" s="15">
        <v>26</v>
      </c>
      <c r="I10" s="15">
        <v>52</v>
      </c>
      <c r="J10" s="18">
        <v>48</v>
      </c>
      <c r="K10" s="15">
        <v>7</v>
      </c>
      <c r="L10" s="35">
        <f t="shared" si="6"/>
        <v>0.14583333333333334</v>
      </c>
      <c r="M10" s="15" t="s">
        <v>191</v>
      </c>
      <c r="N10" s="15" t="s">
        <v>191</v>
      </c>
      <c r="O10" s="15" t="s">
        <v>193</v>
      </c>
      <c r="P10" s="15" t="s">
        <v>195</v>
      </c>
      <c r="Q10" s="15">
        <f>30+120+120+55+15</f>
        <v>340</v>
      </c>
      <c r="R10" s="15">
        <f>4+4+17+8</f>
        <v>33</v>
      </c>
      <c r="S10" s="15"/>
      <c r="T10" s="15">
        <f>25+100+100+38+7</f>
        <v>270</v>
      </c>
      <c r="U10" s="15">
        <f>(((130000/4900))/(I10*AF10))*100</f>
        <v>12.755102040816327</v>
      </c>
      <c r="V10" s="15">
        <f>16+16</f>
        <v>32</v>
      </c>
      <c r="W10" s="15"/>
      <c r="X10" s="15">
        <f>5</f>
        <v>5</v>
      </c>
      <c r="Y10" s="15"/>
      <c r="Z10" s="15">
        <v>0</v>
      </c>
      <c r="AA10" s="32">
        <f t="shared" si="2"/>
        <v>0.15294117647058825</v>
      </c>
      <c r="AB10" s="15">
        <f>28+80+90+50+5</f>
        <v>253</v>
      </c>
      <c r="AC10" s="15">
        <f>3+15+10+8</f>
        <v>36</v>
      </c>
      <c r="AD10" s="36">
        <f t="shared" si="3"/>
        <v>0.14229249011857709</v>
      </c>
      <c r="AE10" s="33">
        <f t="shared" si="1"/>
        <v>1.3438735177865613</v>
      </c>
      <c r="AF10" s="15">
        <v>4</v>
      </c>
      <c r="AG10" s="15">
        <v>1</v>
      </c>
      <c r="AH10" s="15">
        <v>1</v>
      </c>
      <c r="AI10" s="15">
        <v>1</v>
      </c>
      <c r="AJ10" s="15" t="s">
        <v>311</v>
      </c>
      <c r="AK10" s="15">
        <v>17</v>
      </c>
      <c r="AL10" s="15">
        <f>6000+21000+26000+11000+3000</f>
        <v>67000</v>
      </c>
      <c r="AM10" s="33">
        <f t="shared" si="4"/>
        <v>50250</v>
      </c>
      <c r="AN10" s="33">
        <f t="shared" si="5"/>
        <v>197.05882352941177</v>
      </c>
      <c r="AO10" s="15" t="s">
        <v>195</v>
      </c>
      <c r="AP10" s="15" t="s">
        <v>195</v>
      </c>
      <c r="AQ10" s="15" t="s">
        <v>195</v>
      </c>
      <c r="AR10" s="15"/>
      <c r="AU10" s="30" t="s">
        <v>473</v>
      </c>
      <c r="AV10" s="24">
        <v>45420</v>
      </c>
      <c r="AW10" s="18" t="s">
        <v>276</v>
      </c>
      <c r="AX10" s="18" t="s">
        <v>191</v>
      </c>
      <c r="AY10" s="18" t="s">
        <v>229</v>
      </c>
      <c r="AZ10" s="18" t="s">
        <v>229</v>
      </c>
    </row>
    <row r="11" spans="1:52" s="18" customFormat="1" ht="45">
      <c r="A11" s="38" t="s">
        <v>474</v>
      </c>
      <c r="B11" s="16" t="s">
        <v>475</v>
      </c>
      <c r="C11" s="15" t="s">
        <v>191</v>
      </c>
      <c r="D11" s="15">
        <v>20</v>
      </c>
      <c r="E11" s="15" t="s">
        <v>476</v>
      </c>
      <c r="F11" s="15" t="s">
        <v>477</v>
      </c>
      <c r="G11" s="15">
        <v>0</v>
      </c>
      <c r="H11" s="15">
        <v>30</v>
      </c>
      <c r="I11" s="15">
        <v>60</v>
      </c>
      <c r="J11" s="15">
        <v>68</v>
      </c>
      <c r="K11" s="15">
        <v>5</v>
      </c>
      <c r="L11" s="35">
        <f t="shared" si="6"/>
        <v>7.3529411764705885E-2</v>
      </c>
      <c r="M11" s="15" t="s">
        <v>195</v>
      </c>
      <c r="N11" s="15" t="s">
        <v>191</v>
      </c>
      <c r="O11" s="15" t="s">
        <v>193</v>
      </c>
      <c r="P11" s="15" t="s">
        <v>191</v>
      </c>
      <c r="Q11" s="15">
        <f>351+28+145</f>
        <v>524</v>
      </c>
      <c r="R11" s="15">
        <v>1</v>
      </c>
      <c r="S11" s="15"/>
      <c r="T11" s="15">
        <f>245+26+100</f>
        <v>371</v>
      </c>
      <c r="U11" s="15">
        <f>(((150000/4900))/(I11*AF11))*100</f>
        <v>12.755102040816327</v>
      </c>
      <c r="V11" s="15">
        <v>2</v>
      </c>
      <c r="W11" s="15"/>
      <c r="X11" s="15">
        <f>105+45</f>
        <v>150</v>
      </c>
      <c r="Y11" s="15"/>
      <c r="Z11" s="15">
        <v>1</v>
      </c>
      <c r="AA11" s="32">
        <f t="shared" si="2"/>
        <v>0.11450381679389313</v>
      </c>
      <c r="AB11" s="15">
        <f>351+26+73</f>
        <v>450</v>
      </c>
      <c r="AC11" s="15">
        <v>13</v>
      </c>
      <c r="AD11" s="36">
        <f t="shared" si="3"/>
        <v>2.8888888888888888E-2</v>
      </c>
      <c r="AE11" s="33">
        <f t="shared" si="1"/>
        <v>1.1644444444444444</v>
      </c>
      <c r="AF11" s="15">
        <v>4</v>
      </c>
      <c r="AG11" s="15">
        <v>1</v>
      </c>
      <c r="AH11" s="15">
        <v>1</v>
      </c>
      <c r="AI11" s="15">
        <v>1</v>
      </c>
      <c r="AJ11" s="15" t="s">
        <v>377</v>
      </c>
      <c r="AK11" s="15">
        <v>14</v>
      </c>
      <c r="AL11" s="15">
        <f>100000+7000+31000</f>
        <v>138000</v>
      </c>
      <c r="AM11" s="33">
        <f t="shared" si="4"/>
        <v>103500</v>
      </c>
      <c r="AN11" s="33">
        <f t="shared" si="5"/>
        <v>263.35877862595419</v>
      </c>
      <c r="AO11" s="18" t="s">
        <v>195</v>
      </c>
      <c r="AP11" s="15" t="s">
        <v>191</v>
      </c>
      <c r="AQ11" s="15" t="s">
        <v>195</v>
      </c>
      <c r="AR11" s="16" t="s">
        <v>478</v>
      </c>
      <c r="AT11" s="18" t="s">
        <v>479</v>
      </c>
      <c r="AU11" s="30" t="s">
        <v>480</v>
      </c>
      <c r="AV11" s="24">
        <v>45426</v>
      </c>
      <c r="AW11" s="18" t="s">
        <v>430</v>
      </c>
      <c r="AX11" s="18" t="s">
        <v>191</v>
      </c>
      <c r="AY11" s="18" t="s">
        <v>229</v>
      </c>
      <c r="AZ11" s="18" t="s">
        <v>197</v>
      </c>
    </row>
    <row r="12" spans="1:52" s="18" customFormat="1" ht="75">
      <c r="A12" s="38" t="s">
        <v>481</v>
      </c>
      <c r="B12" s="16" t="s">
        <v>482</v>
      </c>
      <c r="C12" s="15" t="s">
        <v>191</v>
      </c>
      <c r="D12" s="15">
        <v>9</v>
      </c>
      <c r="E12" s="15" t="s">
        <v>262</v>
      </c>
      <c r="F12" s="15" t="s">
        <v>483</v>
      </c>
      <c r="G12" s="15">
        <v>0</v>
      </c>
      <c r="H12" s="15">
        <v>26</v>
      </c>
      <c r="I12" s="15">
        <v>52</v>
      </c>
      <c r="J12" s="15">
        <v>60</v>
      </c>
      <c r="K12" s="15">
        <v>0</v>
      </c>
      <c r="L12" s="35">
        <f t="shared" si="6"/>
        <v>0</v>
      </c>
      <c r="M12" s="15" t="s">
        <v>191</v>
      </c>
      <c r="N12" s="15" t="s">
        <v>191</v>
      </c>
      <c r="O12" s="15" t="s">
        <v>193</v>
      </c>
      <c r="P12" s="15" t="s">
        <v>191</v>
      </c>
      <c r="Q12" s="15">
        <f>14+20+50+110</f>
        <v>194</v>
      </c>
      <c r="R12" s="15"/>
      <c r="S12" s="15"/>
      <c r="T12" s="15">
        <f>8+2+40+80</f>
        <v>130</v>
      </c>
      <c r="U12" s="15">
        <f>(((100000/4900))/(I12*AF12))*100</f>
        <v>13.082155939298795</v>
      </c>
      <c r="V12" s="15">
        <v>7</v>
      </c>
      <c r="W12" s="15"/>
      <c r="X12" s="15">
        <f>6+18+10+23</f>
        <v>57</v>
      </c>
      <c r="Y12" s="15"/>
      <c r="Z12" s="15">
        <v>1</v>
      </c>
      <c r="AA12" s="32">
        <f t="shared" si="2"/>
        <v>0.26804123711340205</v>
      </c>
      <c r="AB12" s="15">
        <f>13+12+30+40</f>
        <v>95</v>
      </c>
      <c r="AC12" s="15">
        <f>4+5+10+20</f>
        <v>39</v>
      </c>
      <c r="AD12" s="36">
        <f t="shared" si="3"/>
        <v>0.41052631578947368</v>
      </c>
      <c r="AE12" s="33">
        <f t="shared" si="1"/>
        <v>2.0421052631578949</v>
      </c>
      <c r="AF12" s="15">
        <v>3</v>
      </c>
      <c r="AG12" s="15">
        <v>0</v>
      </c>
      <c r="AH12" s="15">
        <v>1</v>
      </c>
      <c r="AI12" s="15">
        <v>1</v>
      </c>
      <c r="AJ12" s="15" t="s">
        <v>257</v>
      </c>
      <c r="AK12" s="15">
        <v>14</v>
      </c>
      <c r="AL12" s="15">
        <f>3000+3500+8000+12500</f>
        <v>27000</v>
      </c>
      <c r="AM12" s="33">
        <f t="shared" si="4"/>
        <v>20250</v>
      </c>
      <c r="AN12" s="33">
        <f t="shared" si="5"/>
        <v>139.17525773195877</v>
      </c>
      <c r="AO12" s="15" t="s">
        <v>195</v>
      </c>
      <c r="AP12" s="15" t="s">
        <v>195</v>
      </c>
      <c r="AQ12" s="15" t="s">
        <v>195</v>
      </c>
      <c r="AR12" s="15" t="s">
        <v>251</v>
      </c>
      <c r="AT12" s="18" t="s">
        <v>200</v>
      </c>
      <c r="AU12" s="30" t="s">
        <v>484</v>
      </c>
      <c r="AV12" s="24">
        <v>45419</v>
      </c>
      <c r="AW12" s="18" t="s">
        <v>276</v>
      </c>
      <c r="AX12" s="18" t="s">
        <v>191</v>
      </c>
      <c r="AY12" s="26" t="s">
        <v>197</v>
      </c>
      <c r="AZ12" s="18" t="s">
        <v>197</v>
      </c>
    </row>
    <row r="13" spans="1:52" s="18" customFormat="1" ht="60">
      <c r="A13" s="38" t="s">
        <v>485</v>
      </c>
      <c r="B13" s="16" t="s">
        <v>486</v>
      </c>
      <c r="C13" s="15" t="s">
        <v>191</v>
      </c>
      <c r="D13" s="15">
        <v>6</v>
      </c>
      <c r="E13" s="15" t="s">
        <v>466</v>
      </c>
      <c r="F13" s="15" t="s">
        <v>487</v>
      </c>
      <c r="G13" s="15">
        <v>0</v>
      </c>
      <c r="H13" s="15">
        <v>15.3</v>
      </c>
      <c r="I13" s="15">
        <v>27.8</v>
      </c>
      <c r="J13" s="15">
        <v>36</v>
      </c>
      <c r="K13" s="15">
        <v>4</v>
      </c>
      <c r="L13" s="35">
        <f t="shared" si="6"/>
        <v>0.1111111111111111</v>
      </c>
      <c r="M13" s="15" t="s">
        <v>191</v>
      </c>
      <c r="N13" s="15" t="s">
        <v>191</v>
      </c>
      <c r="O13" s="16" t="s">
        <v>301</v>
      </c>
      <c r="P13" s="15" t="s">
        <v>195</v>
      </c>
      <c r="Q13" s="15">
        <v>107</v>
      </c>
      <c r="R13" s="15"/>
      <c r="S13" s="15"/>
      <c r="T13" s="15">
        <v>74</v>
      </c>
      <c r="U13" s="15"/>
      <c r="V13" s="15"/>
      <c r="W13" s="15"/>
      <c r="X13" s="15">
        <v>33</v>
      </c>
      <c r="Y13" s="15">
        <f>(((90000/4900))/(I13*AF13))*100</f>
        <v>13.213918660989577</v>
      </c>
      <c r="Z13" s="15">
        <v>0</v>
      </c>
      <c r="AA13" s="32">
        <f t="shared" si="2"/>
        <v>0.25981308411214954</v>
      </c>
      <c r="AB13" s="15">
        <v>95</v>
      </c>
      <c r="AC13" s="15">
        <v>23</v>
      </c>
      <c r="AD13" s="36">
        <f t="shared" si="3"/>
        <v>0.24210526315789474</v>
      </c>
      <c r="AE13" s="33">
        <f t="shared" si="1"/>
        <v>1.1263157894736842</v>
      </c>
      <c r="AF13" s="15">
        <v>5</v>
      </c>
      <c r="AG13" s="15">
        <v>1</v>
      </c>
      <c r="AH13" s="15">
        <v>0</v>
      </c>
      <c r="AI13" s="15">
        <v>1</v>
      </c>
      <c r="AJ13" s="15" t="s">
        <v>194</v>
      </c>
      <c r="AK13" s="15">
        <v>15</v>
      </c>
      <c r="AL13" s="15">
        <v>13000</v>
      </c>
      <c r="AM13" s="33">
        <f t="shared" si="4"/>
        <v>9750</v>
      </c>
      <c r="AN13" s="33">
        <f t="shared" si="5"/>
        <v>121.49532710280374</v>
      </c>
      <c r="AO13" s="15" t="s">
        <v>195</v>
      </c>
      <c r="AP13" s="15" t="s">
        <v>195</v>
      </c>
      <c r="AQ13" s="15" t="s">
        <v>195</v>
      </c>
      <c r="AR13" s="15"/>
      <c r="AU13" s="28">
        <v>45461</v>
      </c>
      <c r="AV13" s="24">
        <v>45420</v>
      </c>
      <c r="AW13" s="26" t="s">
        <v>488</v>
      </c>
      <c r="AX13" s="26" t="s">
        <v>191</v>
      </c>
      <c r="AY13" s="26" t="s">
        <v>197</v>
      </c>
      <c r="AZ13" s="26" t="s">
        <v>229</v>
      </c>
    </row>
    <row r="14" spans="1:52">
      <c r="A14" s="37">
        <f>COUNTA(A5:A13)</f>
        <v>9</v>
      </c>
      <c r="B14" s="20">
        <v>42</v>
      </c>
      <c r="J14" s="20">
        <f>SUM(J5:J13)</f>
        <v>450</v>
      </c>
      <c r="K14" s="20">
        <f t="shared" ref="K14:AM14" si="7">SUM(K5:K13)</f>
        <v>29</v>
      </c>
      <c r="L14" s="20"/>
      <c r="M14" s="20"/>
      <c r="N14" s="20"/>
      <c r="O14" s="20"/>
      <c r="P14" s="20"/>
      <c r="Q14" s="20">
        <f t="shared" si="7"/>
        <v>2832</v>
      </c>
      <c r="R14" s="20">
        <f t="shared" si="7"/>
        <v>145</v>
      </c>
      <c r="S14" s="20"/>
      <c r="T14" s="20">
        <f t="shared" si="7"/>
        <v>1837</v>
      </c>
      <c r="U14" s="20"/>
      <c r="V14" s="20">
        <f t="shared" si="7"/>
        <v>44</v>
      </c>
      <c r="W14" s="20"/>
      <c r="X14" s="20">
        <f t="shared" si="7"/>
        <v>520</v>
      </c>
      <c r="Y14" s="20"/>
      <c r="Z14" s="20"/>
      <c r="AA14" s="20"/>
      <c r="AB14" s="20">
        <f t="shared" si="7"/>
        <v>2204</v>
      </c>
      <c r="AC14" s="20">
        <f t="shared" si="7"/>
        <v>304</v>
      </c>
      <c r="AD14" s="20"/>
      <c r="AE14" s="20"/>
      <c r="AF14" s="20"/>
      <c r="AG14" s="20"/>
      <c r="AH14" s="20"/>
      <c r="AI14" s="20"/>
      <c r="AJ14" s="20"/>
      <c r="AK14" s="20"/>
      <c r="AL14" s="20">
        <f t="shared" si="7"/>
        <v>520410</v>
      </c>
      <c r="AM14" s="48">
        <f t="shared" si="7"/>
        <v>390307.5</v>
      </c>
    </row>
  </sheetData>
  <mergeCells count="6">
    <mergeCell ref="B2:P2"/>
    <mergeCell ref="AW2:AZ2"/>
    <mergeCell ref="AF2:AK2"/>
    <mergeCell ref="Q2:AE2"/>
    <mergeCell ref="AO2:AR2"/>
    <mergeCell ref="AL2:AN2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W X j 4 W F + 8 i L y p A A A A + A A A A B I A H A B D b 2 5 m a W c v U G F j a 2 F n Z S 5 4 b W w g o h g A K K A U A A A A A A A A A A A A A A A A A A A A A A A A A A A A h Y 9 B D o I w F E S v Q r q n n 1 Y l a j 5 l 4 c K N J C Y m x m 1 T C j R C M V C E u 7 n w S F 5 B E k X d u Z z J m + T N 4 3 b H e K h K 7 6 q b 1 t Q 2 I o w G x N N W 1 a m x e U Q 6 l / l L E g v c S 3 W W u f Z G 2 L b r o T U R K Z y 7 r A H 6 v q f 9 j N Z N D j w I G J y S 3 U E V u p K + s a 2 T V m n y W a X / V 0 T g 8 S U j O A 0 Z X b A V p / O Q I U w 1 J s Z + E T 4 a 0 w D h p 8 R N V 7 q u 0 S J r / G S L M E W E 9 w v x B F B L A w Q U A A I A C A B Z e P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X j 4 W C i K R 7 g O A A A A E Q A A A B M A H A B G b 3 J t d W x h c y 9 T Z W N 0 a W 9 u M S 5 t I K I Y A C i g F A A A A A A A A A A A A A A A A A A A A A A A A A A A A C t O T S 7 J z M 9 T C I b Q h t Y A U E s B A i 0 A F A A C A A g A W X j 4 W F + 8 i L y p A A A A + A A A A B I A A A A A A A A A A A A A A A A A A A A A A E N v b m Z p Z y 9 Q Y W N r Y W d l L n h t b F B L A Q I t A B Q A A g A I A F l 4 + F g P y u m r p A A A A O k A A A A T A A A A A A A A A A A A A A A A A P U A A A B b Q 2 9 u d G V u d F 9 U e X B l c 1 0 u e G 1 s U E s B A i 0 A F A A C A A g A W X j 4 W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+ G r o 2 n h t x H u F k 1 / w N G t 1 4 A A A A A A g A A A A A A E G Y A A A A B A A A g A A A A b h N + 5 f I u 9 u P p f M s / Q I t 4 z h A 6 q H x n d z m a i U y M X D C C n n A A A A A A D o A A A A A C A A A g A A A A 6 s W q g x q K B Q O D S p U M 5 e F I t U 8 u X v i F 6 k P z 3 b C d O W z U e Q 5 Q A A A A + / 6 I v n z V 3 L v i d E b V j c 7 L Y f k F N b Y H 0 R K c 5 / G Y 6 S n T w E C w 6 p g 3 1 9 7 e a C Z / i l W k C m j I + O b Q R D 8 K C e 5 4 K l z Z V z w I P i 4 m i P j y c l 1 / 2 X q B q L n o X 7 1 A A A A A F x O T d w 3 m P i f D / p v s A U i V E P J H L s i E I 3 H d o q f 5 j X W k f A C Z U h L r z U 4 s b S E D u M 9 a n g v Y d o 3 P X Q d 8 / F m K 6 W f A E J b J t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DAAD2A4BE109418D69388F9BFF1DC9" ma:contentTypeVersion="14" ma:contentTypeDescription="Crée un document." ma:contentTypeScope="" ma:versionID="53e3a875a483839589a2a0656affde2e">
  <xsd:schema xmlns:xsd="http://www.w3.org/2001/XMLSchema" xmlns:xs="http://www.w3.org/2001/XMLSchema" xmlns:p="http://schemas.microsoft.com/office/2006/metadata/properties" xmlns:ns2="3a77b2b4-335d-4fe8-b8d1-5e9e08d835da" xmlns:ns3="131d02fa-b045-4b57-86ae-4afa2549d4fb" targetNamespace="http://schemas.microsoft.com/office/2006/metadata/properties" ma:root="true" ma:fieldsID="0005eb0de7d5be877e72e69eade53f1e" ns2:_="" ns3:_="">
    <xsd:import namespace="3a77b2b4-335d-4fe8-b8d1-5e9e08d835da"/>
    <xsd:import namespace="131d02fa-b045-4b57-86ae-4afa2549d4f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77b2b4-335d-4fe8-b8d1-5e9e08d835d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fb2a2987-8be3-4afa-a808-ab0323e443f1}" ma:internalName="TaxCatchAll" ma:showField="CatchAllData" ma:web="3a77b2b4-335d-4fe8-b8d1-5e9e08d835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1d02fa-b045-4b57-86ae-4afa2549d4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Balises d’images" ma:readOnly="false" ma:fieldId="{5cf76f15-5ced-4ddc-b409-7134ff3c332f}" ma:taxonomyMulti="true" ma:sspId="e5608022-1ef3-486e-99ad-cfd437b54b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1d02fa-b045-4b57-86ae-4afa2549d4fb">
      <Terms xmlns="http://schemas.microsoft.com/office/infopath/2007/PartnerControls"/>
    </lcf76f155ced4ddcb4097134ff3c332f>
    <TaxCatchAll xmlns="3a77b2b4-335d-4fe8-b8d1-5e9e08d835da" xsi:nil="true"/>
  </documentManagement>
</p:properties>
</file>

<file path=customXml/itemProps1.xml><?xml version="1.0" encoding="utf-8"?>
<ds:datastoreItem xmlns:ds="http://schemas.openxmlformats.org/officeDocument/2006/customXml" ds:itemID="{7C74AE3A-78F1-4830-A2EB-6094F4A1A4E7}"/>
</file>

<file path=customXml/itemProps2.xml><?xml version="1.0" encoding="utf-8"?>
<ds:datastoreItem xmlns:ds="http://schemas.openxmlformats.org/officeDocument/2006/customXml" ds:itemID="{C347579D-0CDF-4415-B6B8-C3904B7F7065}"/>
</file>

<file path=customXml/itemProps3.xml><?xml version="1.0" encoding="utf-8"?>
<ds:datastoreItem xmlns:ds="http://schemas.openxmlformats.org/officeDocument/2006/customXml" ds:itemID="{17CF0DF4-0389-455C-A1F1-8BDB269C43E3}"/>
</file>

<file path=customXml/itemProps4.xml><?xml version="1.0" encoding="utf-8"?>
<ds:datastoreItem xmlns:ds="http://schemas.openxmlformats.org/officeDocument/2006/customXml" ds:itemID="{38D1A158-D88A-4AB2-A27C-55D199A74A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cp:keywords/>
  <dc:description/>
  <cp:lastModifiedBy/>
  <cp:revision/>
  <dcterms:created xsi:type="dcterms:W3CDTF">2024-02-17T16:24:02Z</dcterms:created>
  <dcterms:modified xsi:type="dcterms:W3CDTF">2024-09-18T13:17:21Z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0x010100C2DAAD2A4BE109418D69388F9BFF1DC9</vt:lpwstr>
  </property>
  <property fmtid="{D5CDD505-2E9C-101B-9397-08002B2CF9AE}" pid="3" name="MediaServiceImageTags">
    <vt:lpwstr/>
  </property>
</Properties>
</file>