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updateLinks="never" codeName="DieseArbeitsmappe"/>
  <mc:AlternateContent xmlns:mc="http://schemas.openxmlformats.org/markup-compatibility/2006">
    <mc:Choice Requires="x15">
      <x15ac:absPath xmlns:x15ac="http://schemas.microsoft.com/office/spreadsheetml/2010/11/ac" url="C:\Users\TSR\Desktop\final version Nature Comms paper\TEA model\Direct Process\"/>
    </mc:Choice>
  </mc:AlternateContent>
  <xr:revisionPtr revIDLastSave="0" documentId="13_ncr:1_{21C9155C-E327-43B4-89E2-F32879BE3F69}" xr6:coauthVersionLast="47" xr6:coauthVersionMax="47" xr10:uidLastSave="{00000000-0000-0000-0000-000000000000}"/>
  <bookViews>
    <workbookView xWindow="-120" yWindow="-120" windowWidth="29040" windowHeight="15840" tabRatio="710" xr2:uid="{00000000-000D-0000-FFFF-FFFF00000000}"/>
  </bookViews>
  <sheets>
    <sheet name="Assumptions" sheetId="24" r:id="rId1"/>
    <sheet name="Comp_processes" sheetId="60" state="hidden" r:id="rId2"/>
    <sheet name="Matlab_input" sheetId="22" state="hidden" r:id="rId3"/>
    <sheet name="Gerdemann et al." sheetId="16" state="hidden" r:id="rId4"/>
    <sheet name="Sanna et al. " sheetId="17" state="hidden" r:id="rId5"/>
    <sheet name="CHEPCI &amp; Location factors" sheetId="23" state="hidden" r:id="rId6"/>
    <sheet name="Opex CemCap" sheetId="58" state="hidden" r:id="rId7"/>
    <sheet name="Capex-Cemcap" sheetId="59" state="hidden" r:id="rId8"/>
    <sheet name="Capex-Sinott et al." sheetId="26" state="hidden" r:id="rId9"/>
    <sheet name="VDI-Wärmeatlas" sheetId="56" state="hidden" r:id="rId10"/>
    <sheet name="Felder et al. &amp; NIST" sheetId="27" state="hidden" r:id="rId11"/>
    <sheet name="ETS" sheetId="28" state="hidden" r:id="rId12"/>
  </sheets>
  <externalReferences>
    <externalReference r:id="rId13"/>
  </externalReferences>
  <definedNames>
    <definedName name="Default_Dataset__1" localSheetId="3">'Gerdemann et al.'!$A$3:$B$31</definedName>
    <definedName name="Default_Dataset__1__1" localSheetId="3">'Gerdemann et al.'!$A$35:$B$35</definedName>
    <definedName name="Default_Dataset__1__2" localSheetId="3">'Gerdemann et al.'!$A$81:$B$81</definedName>
    <definedName name="Default_Dataset__2" localSheetId="3">'Gerdemann et al.'!$A$36:$B$69</definedName>
    <definedName name="Default_Dataset__2__1" localSheetId="3">'Gerdemann et al.'!$A$82:$B$115</definedName>
    <definedName name="Default_Dataset__3" localSheetId="3">'Gerdemann et al.'!$A$72:$B$77</definedName>
    <definedName name="viscosity_water" localSheetId="9">'VDI-Wärmeatlas'!$B$2:$L$14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7" i="22" l="1"/>
  <c r="R57" i="22"/>
  <c r="Q57" i="22"/>
  <c r="P57" i="22"/>
  <c r="O57" i="22"/>
  <c r="N57" i="22"/>
  <c r="M57" i="22"/>
  <c r="N52" i="22"/>
  <c r="M52" i="22"/>
  <c r="L52" i="22"/>
  <c r="P43" i="22"/>
  <c r="O43" i="22"/>
  <c r="N43" i="22"/>
  <c r="M43" i="22"/>
  <c r="L43" i="22"/>
  <c r="M42" i="22"/>
  <c r="L42" i="22"/>
  <c r="M41" i="22"/>
  <c r="L41" i="22"/>
  <c r="M40" i="22"/>
  <c r="L40" i="22"/>
  <c r="M39" i="22"/>
  <c r="L39" i="22"/>
  <c r="M38" i="22"/>
  <c r="L38" i="22"/>
  <c r="M37" i="22"/>
  <c r="L37" i="22"/>
  <c r="M36" i="22"/>
  <c r="L36" i="22"/>
  <c r="M35" i="22"/>
  <c r="L35" i="22"/>
  <c r="M34" i="22"/>
  <c r="L34" i="22"/>
  <c r="M33" i="22"/>
  <c r="L33" i="22"/>
  <c r="M32" i="22"/>
  <c r="L32" i="22"/>
  <c r="M31" i="22"/>
  <c r="L31" i="22"/>
  <c r="T30" i="22"/>
  <c r="S30" i="22"/>
  <c r="R30" i="22"/>
  <c r="Q30" i="22"/>
  <c r="P30" i="22"/>
  <c r="O30" i="22"/>
  <c r="N30" i="22"/>
  <c r="M30" i="22"/>
  <c r="L30" i="22"/>
  <c r="T29" i="22"/>
  <c r="S29" i="22"/>
  <c r="R29" i="22"/>
  <c r="Q29" i="22"/>
  <c r="P29" i="22"/>
  <c r="O29" i="22"/>
  <c r="N29" i="22"/>
  <c r="M29" i="22"/>
  <c r="L29" i="22"/>
  <c r="T28" i="22"/>
  <c r="S28" i="22"/>
  <c r="R28" i="22"/>
  <c r="Q28" i="22"/>
  <c r="P28" i="22"/>
  <c r="O28" i="22"/>
  <c r="N28" i="22"/>
  <c r="M28" i="22"/>
  <c r="L28" i="22"/>
  <c r="T27" i="22"/>
  <c r="S27" i="22"/>
  <c r="R27" i="22"/>
  <c r="Q27" i="22"/>
  <c r="P27" i="22"/>
  <c r="O27" i="22"/>
  <c r="N27" i="22"/>
  <c r="M27" i="22"/>
  <c r="L27" i="22"/>
  <c r="T26" i="22"/>
  <c r="S26" i="22"/>
  <c r="R26" i="22"/>
  <c r="Q26" i="22"/>
  <c r="P26" i="22"/>
  <c r="O26" i="22"/>
  <c r="N26" i="22"/>
  <c r="M26" i="22"/>
  <c r="L26" i="22"/>
  <c r="T25" i="22"/>
  <c r="S25" i="22"/>
  <c r="R25" i="22"/>
  <c r="Q25" i="22"/>
  <c r="P25" i="22"/>
  <c r="O25" i="22"/>
  <c r="N25" i="22"/>
  <c r="M25" i="22"/>
  <c r="L25" i="22"/>
  <c r="T24" i="22"/>
  <c r="S24" i="22"/>
  <c r="R24" i="22"/>
  <c r="Q24" i="22"/>
  <c r="P24" i="22"/>
  <c r="O24" i="22"/>
  <c r="N24" i="22"/>
  <c r="M24" i="22"/>
  <c r="L24" i="22"/>
  <c r="T23" i="22"/>
  <c r="S23" i="22"/>
  <c r="R23" i="22"/>
  <c r="Q23" i="22"/>
  <c r="P23" i="22"/>
  <c r="O23" i="22"/>
  <c r="N23" i="22"/>
  <c r="M23" i="22"/>
  <c r="L23" i="22"/>
  <c r="T22" i="22"/>
  <c r="S22" i="22"/>
  <c r="R22" i="22"/>
  <c r="Q22" i="22"/>
  <c r="P22" i="22"/>
  <c r="O22" i="22"/>
  <c r="N22" i="22"/>
  <c r="M22" i="22"/>
  <c r="L22" i="22"/>
  <c r="T21" i="22"/>
  <c r="S21" i="22"/>
  <c r="R21" i="22"/>
  <c r="Q21" i="22"/>
  <c r="P21" i="22"/>
  <c r="O21" i="22"/>
  <c r="N21" i="22"/>
  <c r="M21" i="22"/>
  <c r="L21" i="22"/>
  <c r="T20" i="22"/>
  <c r="S20" i="22"/>
  <c r="R20" i="22"/>
  <c r="Q20" i="22"/>
  <c r="P20" i="22"/>
  <c r="O20" i="22"/>
  <c r="N20" i="22"/>
  <c r="M20" i="22"/>
  <c r="L20" i="22"/>
  <c r="T19" i="22"/>
  <c r="S19" i="22"/>
  <c r="O19" i="22"/>
  <c r="N19" i="22"/>
  <c r="M19" i="22"/>
  <c r="L19" i="22"/>
  <c r="T18" i="22"/>
  <c r="S18" i="22"/>
  <c r="O18" i="22"/>
  <c r="N18" i="22"/>
  <c r="M18" i="22"/>
  <c r="L18" i="22"/>
  <c r="T17" i="22"/>
  <c r="S17" i="22"/>
  <c r="N17" i="22"/>
  <c r="M17" i="22"/>
  <c r="L17" i="22"/>
  <c r="T16" i="22"/>
  <c r="S16" i="22"/>
  <c r="N16" i="22"/>
  <c r="M16" i="22"/>
  <c r="L16" i="22"/>
  <c r="U15" i="22"/>
  <c r="N15" i="22"/>
  <c r="M15" i="22"/>
  <c r="T14" i="22"/>
  <c r="S14" i="22"/>
  <c r="O14" i="22"/>
  <c r="N14" i="22"/>
  <c r="M14" i="22"/>
  <c r="L14" i="22"/>
  <c r="T13" i="22"/>
  <c r="S13" i="22"/>
  <c r="O13" i="22"/>
  <c r="N13" i="22"/>
  <c r="M13" i="22"/>
  <c r="L13" i="22"/>
  <c r="T12" i="22"/>
  <c r="S12" i="22"/>
  <c r="O12" i="22"/>
  <c r="N12" i="22"/>
  <c r="M12" i="22"/>
  <c r="L12" i="22"/>
  <c r="T11" i="22"/>
  <c r="S11" i="22"/>
  <c r="O11" i="22"/>
  <c r="N11" i="22"/>
  <c r="M11" i="22"/>
  <c r="L11" i="22"/>
  <c r="Q10" i="22"/>
  <c r="P10" i="22"/>
  <c r="O10" i="22"/>
  <c r="N10" i="22"/>
  <c r="M10" i="22"/>
  <c r="Q9" i="22"/>
  <c r="P9" i="22"/>
  <c r="O9" i="22"/>
  <c r="N9" i="22"/>
  <c r="M9" i="22"/>
  <c r="Q8" i="22"/>
  <c r="P8" i="22"/>
  <c r="O8" i="22"/>
  <c r="N8" i="22"/>
  <c r="M8" i="22"/>
  <c r="Q7" i="22"/>
  <c r="P7" i="22"/>
  <c r="O7" i="22"/>
  <c r="N7" i="22"/>
  <c r="M7" i="22"/>
  <c r="Q6" i="22"/>
  <c r="P6" i="22"/>
  <c r="O6" i="22"/>
  <c r="N6" i="22"/>
  <c r="M6" i="22"/>
  <c r="T5" i="22"/>
  <c r="S5" i="22"/>
  <c r="N5" i="22"/>
  <c r="M5" i="22"/>
  <c r="T4" i="22"/>
  <c r="S4" i="22"/>
  <c r="Q4" i="22"/>
  <c r="P4" i="22"/>
  <c r="O4" i="22"/>
  <c r="N4" i="22"/>
  <c r="M4" i="22"/>
  <c r="T3" i="22"/>
  <c r="S3" i="22"/>
  <c r="O3" i="22"/>
  <c r="N3" i="22"/>
  <c r="M3" i="22"/>
  <c r="S36" i="24"/>
  <c r="R36" i="24"/>
  <c r="S35" i="24"/>
  <c r="R35" i="24"/>
  <c r="S30" i="24"/>
  <c r="R30" i="24"/>
  <c r="R29" i="24"/>
  <c r="S28" i="24"/>
  <c r="R28" i="24"/>
  <c r="B59" i="24" l="1"/>
  <c r="I65" i="24"/>
  <c r="J78" i="24" l="1"/>
  <c r="K78" i="24"/>
  <c r="G63" i="24" l="1"/>
  <c r="G64" i="24" s="1"/>
  <c r="G65" i="24" s="1"/>
  <c r="G66" i="24" s="1"/>
  <c r="G67" i="24" s="1"/>
  <c r="G68" i="24" s="1"/>
  <c r="G69" i="24" s="1"/>
  <c r="G70" i="24" s="1"/>
  <c r="G71" i="24" s="1"/>
  <c r="G72" i="24" s="1"/>
  <c r="G73" i="24" s="1"/>
  <c r="G74" i="24" s="1"/>
  <c r="G75" i="24" s="1"/>
  <c r="G76" i="24" s="1"/>
  <c r="G77" i="24" s="1"/>
  <c r="G78" i="24" s="1"/>
  <c r="G79" i="24" s="1"/>
  <c r="G80" i="24" s="1"/>
  <c r="G81" i="24" s="1"/>
  <c r="G82" i="24" s="1"/>
  <c r="J76" i="24"/>
  <c r="K76" i="24"/>
  <c r="I76" i="24"/>
  <c r="J74" i="24"/>
  <c r="K74" i="24"/>
  <c r="I74" i="24"/>
  <c r="J73" i="24"/>
  <c r="K73" i="24"/>
  <c r="I73" i="24"/>
  <c r="I70" i="24"/>
  <c r="I69" i="24"/>
  <c r="J69" i="24" s="1"/>
  <c r="I68" i="24"/>
  <c r="J68" i="24" s="1"/>
  <c r="J67" i="24"/>
  <c r="K67" i="24"/>
  <c r="I67" i="24"/>
  <c r="I64" i="24"/>
  <c r="K64" i="24" s="1"/>
  <c r="I62" i="24"/>
  <c r="K69" i="24" l="1"/>
  <c r="K68" i="24"/>
  <c r="J64" i="24"/>
  <c r="K71" i="24" l="1"/>
  <c r="K81" i="24"/>
  <c r="K82" i="24"/>
  <c r="K62" i="24"/>
  <c r="J62" i="24"/>
  <c r="J81" i="24"/>
  <c r="J82" i="24"/>
  <c r="I66" i="24" l="1"/>
  <c r="I80" i="24"/>
  <c r="J80" i="24" l="1"/>
  <c r="K80" i="24"/>
  <c r="K66" i="24"/>
  <c r="J66" i="24"/>
  <c r="B93" i="24" l="1"/>
  <c r="H52" i="24" l="1"/>
  <c r="H51" i="24"/>
  <c r="H53" i="24"/>
  <c r="C52" i="22" l="1"/>
  <c r="B82" i="22" l="1"/>
  <c r="C82" i="22"/>
  <c r="B83" i="22"/>
  <c r="C83" i="22"/>
  <c r="B84" i="22"/>
  <c r="C84" i="22"/>
  <c r="B77" i="22"/>
  <c r="C77" i="22"/>
  <c r="B78" i="22"/>
  <c r="C78" i="22"/>
  <c r="B79" i="22"/>
  <c r="C79" i="22"/>
  <c r="B80" i="22"/>
  <c r="C80" i="22"/>
  <c r="B81" i="22"/>
  <c r="C81" i="22"/>
  <c r="B85" i="24"/>
  <c r="B84" i="24"/>
  <c r="E16" i="60" l="1"/>
  <c r="E24" i="60" s="1"/>
  <c r="D24" i="60"/>
  <c r="C24" i="60"/>
  <c r="A16" i="60"/>
  <c r="A19" i="60" s="1"/>
  <c r="A20" i="60" s="1"/>
  <c r="A17" i="60" s="1"/>
  <c r="A18" i="60" s="1"/>
  <c r="A21" i="60" s="1"/>
  <c r="A22" i="60" s="1"/>
  <c r="B70" i="22" l="1"/>
  <c r="C70" i="22"/>
  <c r="B71" i="22"/>
  <c r="C71" i="22"/>
  <c r="B72" i="22"/>
  <c r="C72" i="22"/>
  <c r="B73" i="22"/>
  <c r="C73" i="22"/>
  <c r="B74" i="22"/>
  <c r="C74" i="22"/>
  <c r="B75" i="22"/>
  <c r="C75" i="22"/>
  <c r="B76" i="22"/>
  <c r="C76" i="22"/>
  <c r="A3" i="60" l="1"/>
  <c r="A6" i="60" s="1"/>
  <c r="A7" i="60" s="1"/>
  <c r="A4" i="60" s="1"/>
  <c r="A5" i="60" s="1"/>
  <c r="A8" i="60" s="1"/>
  <c r="A9" i="60" s="1"/>
  <c r="I79" i="24" l="1"/>
  <c r="K79" i="24" l="1"/>
  <c r="J79" i="24"/>
  <c r="C51" i="22"/>
  <c r="C53" i="22"/>
  <c r="C54" i="22"/>
  <c r="C55" i="22"/>
  <c r="C56" i="22"/>
  <c r="C57" i="22"/>
  <c r="B51" i="22"/>
  <c r="B52" i="22"/>
  <c r="B53" i="22"/>
  <c r="B54" i="22"/>
  <c r="B55" i="22"/>
  <c r="B56" i="22"/>
  <c r="B57" i="22"/>
  <c r="B50" i="22"/>
  <c r="I63" i="24" l="1"/>
  <c r="J63" i="24" l="1"/>
  <c r="K63" i="24"/>
  <c r="AF4" i="22"/>
  <c r="AF3" i="22"/>
  <c r="K70" i="24" l="1"/>
  <c r="J70" i="24"/>
  <c r="I72" i="24"/>
  <c r="J65" i="24"/>
  <c r="I71" i="24"/>
  <c r="J71" i="24" s="1"/>
  <c r="I61" i="24"/>
  <c r="J61" i="24" s="1"/>
  <c r="G62" i="24"/>
  <c r="J72" i="24" l="1"/>
  <c r="K72" i="24"/>
  <c r="C65" i="22"/>
  <c r="C64" i="22" l="1"/>
  <c r="C66" i="22"/>
  <c r="C67" i="22"/>
  <c r="C68" i="22"/>
  <c r="C69" i="22"/>
  <c r="B64" i="22"/>
  <c r="B65" i="22"/>
  <c r="B66" i="22"/>
  <c r="B67" i="22"/>
  <c r="B68" i="22"/>
  <c r="B69" i="22"/>
  <c r="C61" i="22" l="1"/>
  <c r="C62" i="22"/>
  <c r="C58" i="22" l="1"/>
  <c r="C59" i="22"/>
  <c r="C60" i="22"/>
  <c r="C63" i="22"/>
  <c r="B58" i="22"/>
  <c r="B59" i="22"/>
  <c r="B60" i="22"/>
  <c r="B62" i="22"/>
  <c r="B63" i="22"/>
  <c r="G100" i="22"/>
  <c r="H100" i="22"/>
  <c r="G101" i="22"/>
  <c r="H101" i="22"/>
  <c r="G99" i="22"/>
  <c r="G102" i="22"/>
  <c r="G96" i="22"/>
  <c r="H96" i="22"/>
  <c r="G97" i="22"/>
  <c r="H97" i="22"/>
  <c r="G98" i="22"/>
  <c r="G103" i="22"/>
  <c r="H103" i="22"/>
  <c r="G104" i="22"/>
  <c r="H104" i="22"/>
  <c r="H95" i="22"/>
  <c r="G95" i="22"/>
  <c r="G6" i="58"/>
  <c r="H98" i="22" s="1"/>
  <c r="J28" i="24" l="1"/>
  <c r="C49" i="22" l="1"/>
  <c r="C50" i="22"/>
  <c r="B48" i="22"/>
  <c r="B49" i="22"/>
  <c r="C48" i="22" l="1"/>
  <c r="B10" i="17" l="1"/>
  <c r="B12" i="17"/>
  <c r="B9" i="17" l="1"/>
  <c r="B8" i="17"/>
  <c r="B7" i="17"/>
  <c r="B15" i="17" l="1"/>
  <c r="P28" i="24" s="1"/>
  <c r="AD12" i="22"/>
  <c r="AD13" i="22"/>
  <c r="AD11" i="22"/>
  <c r="AI12" i="22" l="1"/>
  <c r="AI13" i="22"/>
  <c r="C22" i="56" l="1"/>
  <c r="C43" i="22"/>
  <c r="C44" i="22"/>
  <c r="C45" i="22"/>
  <c r="C46" i="22"/>
  <c r="C47" i="22"/>
  <c r="I77" i="24" l="1"/>
  <c r="K77" i="24" l="1"/>
  <c r="J77" i="24"/>
  <c r="K13" i="27"/>
  <c r="I21" i="24" l="1"/>
  <c r="B36" i="24" l="1"/>
  <c r="B35" i="24"/>
  <c r="B34" i="24"/>
  <c r="X43" i="22" l="1"/>
  <c r="Y43" i="22"/>
  <c r="Z43" i="22"/>
  <c r="AA43" i="22"/>
  <c r="AB43" i="22"/>
  <c r="Y42" i="22"/>
  <c r="X42" i="22"/>
  <c r="X10" i="22" l="1"/>
  <c r="AE11" i="22"/>
  <c r="AE10" i="22"/>
  <c r="I75" i="24" l="1"/>
  <c r="K75" i="24" l="1"/>
  <c r="J75" i="24"/>
  <c r="AD5" i="22"/>
  <c r="T23" i="16"/>
  <c r="C3" i="22" l="1"/>
  <c r="B14" i="22" l="1"/>
  <c r="C14" i="22"/>
  <c r="B10" i="22" l="1"/>
  <c r="C37" i="22" l="1"/>
  <c r="B37" i="22"/>
  <c r="AE9" i="22" l="1"/>
  <c r="AE8" i="22"/>
  <c r="X8" i="22"/>
  <c r="X9" i="22"/>
  <c r="Y11" i="22" l="1"/>
  <c r="Z11" i="22"/>
  <c r="H24" i="16" l="1"/>
  <c r="AB3" i="22" l="1"/>
  <c r="H92" i="22" l="1"/>
  <c r="H91" i="22"/>
  <c r="B34" i="22" l="1"/>
  <c r="B35" i="22"/>
  <c r="B36" i="22"/>
  <c r="B38" i="22"/>
  <c r="B39" i="22"/>
  <c r="B40" i="22"/>
  <c r="B41" i="22"/>
  <c r="B42" i="22"/>
  <c r="B43" i="22"/>
  <c r="B44" i="22"/>
  <c r="B45" i="22"/>
  <c r="B46" i="22"/>
  <c r="B47" i="22"/>
  <c r="C34" i="22"/>
  <c r="C35" i="22"/>
  <c r="C36" i="22"/>
  <c r="C38" i="22"/>
  <c r="C39" i="22"/>
  <c r="C40" i="22"/>
  <c r="C41" i="22"/>
  <c r="C42" i="22"/>
  <c r="H93" i="22" l="1"/>
  <c r="X11" i="22" l="1"/>
  <c r="AA14" i="22" l="1"/>
  <c r="AA16" i="22"/>
  <c r="AA17" i="22"/>
  <c r="AA18" i="22"/>
  <c r="AA19" i="22"/>
  <c r="AA20" i="22"/>
  <c r="AA21" i="22"/>
  <c r="AA22" i="22"/>
  <c r="AA23" i="22"/>
  <c r="AA24" i="22"/>
  <c r="AA25" i="22"/>
  <c r="AA26" i="22"/>
  <c r="AA27" i="22"/>
  <c r="AA13" i="22"/>
  <c r="X29" i="22"/>
  <c r="Y32" i="22"/>
  <c r="Y33" i="22"/>
  <c r="Y34" i="22"/>
  <c r="Y35" i="22"/>
  <c r="Y36" i="22"/>
  <c r="Y37" i="22"/>
  <c r="Y38" i="22"/>
  <c r="Y39" i="22"/>
  <c r="Y40" i="22"/>
  <c r="Y41" i="22"/>
  <c r="X30" i="22"/>
  <c r="Y30" i="22"/>
  <c r="X31" i="22"/>
  <c r="Y31" i="22"/>
  <c r="X32" i="22"/>
  <c r="X33" i="22"/>
  <c r="X34" i="22"/>
  <c r="X35" i="22"/>
  <c r="X36" i="22"/>
  <c r="X37" i="22"/>
  <c r="X38" i="22"/>
  <c r="X39" i="22"/>
  <c r="X40" i="22"/>
  <c r="X41" i="22"/>
  <c r="Y29" i="22"/>
  <c r="X14" i="22"/>
  <c r="Y14" i="22"/>
  <c r="X15" i="22"/>
  <c r="X16" i="22"/>
  <c r="Y16" i="22"/>
  <c r="X17" i="22"/>
  <c r="Y17" i="22"/>
  <c r="X18" i="22"/>
  <c r="Y18" i="22"/>
  <c r="X19" i="22"/>
  <c r="Y19" i="22"/>
  <c r="X20" i="22"/>
  <c r="Y20" i="22"/>
  <c r="X21" i="22"/>
  <c r="Y21" i="22"/>
  <c r="X22" i="22"/>
  <c r="Y22" i="22"/>
  <c r="X23" i="22"/>
  <c r="Y23" i="22"/>
  <c r="X24" i="22"/>
  <c r="Y24" i="22"/>
  <c r="X25" i="22"/>
  <c r="Y25" i="22"/>
  <c r="X26" i="22"/>
  <c r="Y26" i="22"/>
  <c r="X27" i="22"/>
  <c r="Y27" i="22"/>
  <c r="Y13" i="22"/>
  <c r="X13" i="22"/>
  <c r="Y15" i="22" l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A105" i="28" s="1"/>
  <c r="A106" i="28" s="1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A121" i="28" s="1"/>
  <c r="A122" i="28" s="1"/>
  <c r="A123" i="28" s="1"/>
  <c r="A124" i="28" s="1"/>
  <c r="A125" i="28" s="1"/>
  <c r="A126" i="28" s="1"/>
  <c r="A127" i="28" s="1"/>
  <c r="A128" i="28" s="1"/>
  <c r="A129" i="28" s="1"/>
  <c r="A130" i="28" s="1"/>
  <c r="A131" i="28" s="1"/>
  <c r="A132" i="28" s="1"/>
  <c r="A133" i="28" s="1"/>
  <c r="A134" i="28" s="1"/>
  <c r="A135" i="28" s="1"/>
  <c r="A136" i="28" s="1"/>
  <c r="A137" i="28" s="1"/>
  <c r="A138" i="28" s="1"/>
  <c r="A139" i="28" s="1"/>
  <c r="A140" i="28" s="1"/>
  <c r="A141" i="28" s="1"/>
  <c r="A142" i="28" s="1"/>
  <c r="A143" i="28" s="1"/>
  <c r="A144" i="28" s="1"/>
  <c r="A145" i="28" s="1"/>
  <c r="A146" i="28" s="1"/>
  <c r="A147" i="28" s="1"/>
  <c r="A148" i="28" s="1"/>
  <c r="A149" i="28" s="1"/>
  <c r="A150" i="28" s="1"/>
  <c r="A151" i="28" s="1"/>
  <c r="A152" i="28" s="1"/>
  <c r="A153" i="28" s="1"/>
  <c r="A154" i="28" s="1"/>
  <c r="A155" i="28" s="1"/>
  <c r="A156" i="28" s="1"/>
  <c r="A157" i="28" s="1"/>
  <c r="A158" i="28" s="1"/>
  <c r="A159" i="28" s="1"/>
  <c r="A160" i="28" s="1"/>
  <c r="A161" i="28" s="1"/>
  <c r="A162" i="28" s="1"/>
  <c r="A163" i="28" s="1"/>
  <c r="A164" i="28" s="1"/>
  <c r="A165" i="28" s="1"/>
  <c r="A166" i="28" s="1"/>
  <c r="A167" i="28" s="1"/>
  <c r="A168" i="28" s="1"/>
  <c r="A169" i="28" s="1"/>
  <c r="A170" i="28" s="1"/>
  <c r="A171" i="28" s="1"/>
  <c r="A172" i="28" s="1"/>
  <c r="A173" i="28" s="1"/>
  <c r="A174" i="28" s="1"/>
  <c r="A175" i="28" s="1"/>
  <c r="A176" i="28" s="1"/>
  <c r="A177" i="28" s="1"/>
  <c r="A178" i="28" s="1"/>
  <c r="A179" i="28" s="1"/>
  <c r="A180" i="28" s="1"/>
  <c r="A181" i="28" s="1"/>
  <c r="A182" i="28" s="1"/>
  <c r="A183" i="28" s="1"/>
  <c r="A184" i="28" s="1"/>
  <c r="A185" i="28" s="1"/>
  <c r="A186" i="28" s="1"/>
  <c r="A187" i="28" s="1"/>
  <c r="A188" i="28" s="1"/>
  <c r="A189" i="28" s="1"/>
  <c r="A190" i="28" s="1"/>
  <c r="A191" i="28" s="1"/>
  <c r="A192" i="28" s="1"/>
  <c r="A193" i="28" s="1"/>
  <c r="A194" i="28" s="1"/>
  <c r="A195" i="28" s="1"/>
  <c r="A196" i="28" s="1"/>
  <c r="A197" i="28" s="1"/>
  <c r="A198" i="28" s="1"/>
  <c r="A199" i="28" s="1"/>
  <c r="A200" i="28" s="1"/>
  <c r="A201" i="28" s="1"/>
  <c r="A202" i="28" s="1"/>
  <c r="A203" i="28" s="1"/>
  <c r="A204" i="28" s="1"/>
  <c r="H4" i="28"/>
  <c r="AA15" i="22" s="1"/>
  <c r="C33" i="22" l="1"/>
  <c r="B33" i="22"/>
  <c r="C32" i="22" l="1"/>
  <c r="B32" i="22"/>
  <c r="Y6" i="22" l="1"/>
  <c r="AA6" i="22"/>
  <c r="AC6" i="22"/>
  <c r="AG6" i="22"/>
  <c r="AI6" i="22"/>
  <c r="Y7" i="22"/>
  <c r="AA7" i="22"/>
  <c r="AC7" i="22"/>
  <c r="AG7" i="22"/>
  <c r="AI7" i="22"/>
  <c r="AA5" i="22"/>
  <c r="AG5" i="22"/>
  <c r="AI5" i="22"/>
  <c r="Y5" i="22"/>
  <c r="X6" i="22"/>
  <c r="X7" i="22"/>
  <c r="X5" i="22"/>
  <c r="C27" i="22"/>
  <c r="B27" i="22"/>
  <c r="AC5" i="22"/>
  <c r="Z3" i="22" l="1"/>
  <c r="Y3" i="22" l="1"/>
  <c r="AA3" i="22"/>
  <c r="AC3" i="22"/>
  <c r="AD3" i="22"/>
  <c r="AE3" i="22"/>
  <c r="AG3" i="22"/>
  <c r="AH3" i="22"/>
  <c r="AI3" i="22"/>
  <c r="AJ3" i="22"/>
  <c r="Y4" i="22" l="1"/>
  <c r="Z4" i="22"/>
  <c r="AA4" i="22"/>
  <c r="AB4" i="22"/>
  <c r="AC4" i="22"/>
  <c r="AD4" i="22"/>
  <c r="AE4" i="22"/>
  <c r="AG4" i="22"/>
  <c r="AH4" i="22"/>
  <c r="AI4" i="22"/>
  <c r="AJ4" i="22"/>
  <c r="X4" i="22"/>
  <c r="X3" i="22"/>
  <c r="C28" i="22" l="1"/>
  <c r="C29" i="22"/>
  <c r="C30" i="22"/>
  <c r="C31" i="22"/>
  <c r="B28" i="22"/>
  <c r="B29" i="22"/>
  <c r="B30" i="22"/>
  <c r="B31" i="22"/>
  <c r="K9" i="27" l="1"/>
  <c r="C17" i="22" l="1"/>
  <c r="C25" i="22"/>
  <c r="B24" i="22"/>
  <c r="B25" i="22"/>
  <c r="B26" i="22"/>
  <c r="C26" i="22"/>
  <c r="C13" i="22" l="1"/>
  <c r="B22" i="22" l="1"/>
  <c r="B23" i="22"/>
  <c r="F4" i="22" l="1"/>
  <c r="F5" i="22"/>
  <c r="F6" i="22"/>
  <c r="F8" i="22"/>
  <c r="F10" i="22"/>
  <c r="F13" i="22"/>
  <c r="F14" i="22"/>
  <c r="F15" i="22"/>
  <c r="F17" i="22"/>
  <c r="F18" i="22"/>
  <c r="F21" i="22"/>
  <c r="F22" i="22"/>
  <c r="F23" i="22"/>
  <c r="F24" i="22"/>
  <c r="C20" i="22"/>
  <c r="C21" i="22"/>
  <c r="C22" i="22"/>
  <c r="C23" i="22"/>
  <c r="C24" i="22"/>
  <c r="C19" i="22"/>
  <c r="C18" i="22" l="1"/>
  <c r="B17" i="22"/>
  <c r="B18" i="22"/>
  <c r="B19" i="22"/>
  <c r="B20" i="22"/>
  <c r="B21" i="22"/>
  <c r="C11" i="22"/>
  <c r="C12" i="22"/>
  <c r="C15" i="22"/>
  <c r="C16" i="22"/>
  <c r="B11" i="22"/>
  <c r="B12" i="22"/>
  <c r="B13" i="22"/>
  <c r="B15" i="22"/>
  <c r="B16" i="22"/>
  <c r="G81" i="22" l="1"/>
  <c r="G82" i="22"/>
  <c r="G83" i="22"/>
  <c r="G84" i="22"/>
  <c r="G85" i="22"/>
  <c r="G86" i="22"/>
  <c r="G87" i="22"/>
  <c r="G88" i="22"/>
  <c r="G89" i="22"/>
  <c r="G90" i="22"/>
  <c r="G80" i="22"/>
  <c r="H90" i="22"/>
  <c r="H81" i="22"/>
  <c r="H82" i="22"/>
  <c r="H83" i="22"/>
  <c r="H84" i="22"/>
  <c r="H85" i="22"/>
  <c r="H86" i="22"/>
  <c r="H87" i="22"/>
  <c r="H88" i="22"/>
  <c r="H89" i="22"/>
  <c r="H80" i="22"/>
  <c r="F3" i="22" l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B3" i="22"/>
  <c r="B4" i="22"/>
  <c r="B5" i="22"/>
  <c r="B6" i="22"/>
  <c r="B7" i="22"/>
  <c r="B8" i="22"/>
  <c r="B9" i="22"/>
  <c r="C4" i="22"/>
  <c r="C5" i="22"/>
  <c r="C6" i="22"/>
  <c r="C7" i="22"/>
  <c r="C8" i="22"/>
  <c r="C9" i="22"/>
  <c r="C10" i="22"/>
  <c r="J59" i="22"/>
  <c r="I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3" i="22"/>
  <c r="E61" i="23"/>
  <c r="E62" i="23" s="1"/>
  <c r="C61" i="23"/>
  <c r="H60" i="22" s="1"/>
  <c r="C62" i="23"/>
  <c r="H61" i="22" s="1"/>
  <c r="C63" i="23"/>
  <c r="H62" i="22" s="1"/>
  <c r="C64" i="23"/>
  <c r="H63" i="22" s="1"/>
  <c r="C65" i="23"/>
  <c r="H64" i="22" s="1"/>
  <c r="C66" i="23"/>
  <c r="H65" i="22" s="1"/>
  <c r="C67" i="23"/>
  <c r="H66" i="22" s="1"/>
  <c r="C68" i="23"/>
  <c r="H67" i="22" s="1"/>
  <c r="C69" i="23"/>
  <c r="H68" i="22" s="1"/>
  <c r="C70" i="23"/>
  <c r="H69" i="22" s="1"/>
  <c r="C71" i="23"/>
  <c r="H70" i="22" s="1"/>
  <c r="C72" i="23"/>
  <c r="H71" i="22" s="1"/>
  <c r="C73" i="23"/>
  <c r="H72" i="22" s="1"/>
  <c r="C74" i="23"/>
  <c r="H73" i="22" s="1"/>
  <c r="C75" i="23"/>
  <c r="H74" i="22" s="1"/>
  <c r="C76" i="23"/>
  <c r="H75" i="22" s="1"/>
  <c r="C77" i="23"/>
  <c r="H76" i="22" s="1"/>
  <c r="C78" i="23"/>
  <c r="H77" i="22" s="1"/>
  <c r="C79" i="23"/>
  <c r="H78" i="22" s="1"/>
  <c r="C80" i="23"/>
  <c r="H79" i="22" s="1"/>
  <c r="C60" i="23"/>
  <c r="H59" i="22" s="1"/>
  <c r="E63" i="23" l="1"/>
  <c r="J61" i="22"/>
  <c r="J60" i="22"/>
  <c r="A3" i="23"/>
  <c r="A4" i="23" l="1"/>
  <c r="I4" i="22"/>
  <c r="E64" i="23"/>
  <c r="J62" i="22"/>
  <c r="P28" i="16"/>
  <c r="P27" i="16"/>
  <c r="P2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F3" i="16" a="1"/>
  <c r="F3" i="16" s="1"/>
  <c r="E65" i="23" l="1"/>
  <c r="J63" i="22"/>
  <c r="A5" i="23"/>
  <c r="I5" i="22"/>
  <c r="F81" i="16" a="1"/>
  <c r="F81" i="16" s="1"/>
  <c r="H81" i="16" a="1"/>
  <c r="H81" i="16" s="1"/>
  <c r="G3" i="16"/>
  <c r="A6" i="23" l="1"/>
  <c r="I6" i="22"/>
  <c r="E66" i="23"/>
  <c r="J64" i="22"/>
  <c r="G81" i="16"/>
  <c r="I81" i="16"/>
  <c r="E67" i="23" l="1"/>
  <c r="J65" i="22"/>
  <c r="A7" i="23"/>
  <c r="I7" i="22"/>
  <c r="A8" i="23" l="1"/>
  <c r="I8" i="22"/>
  <c r="E68" i="23"/>
  <c r="J66" i="22"/>
  <c r="E69" i="23" l="1"/>
  <c r="J67" i="22"/>
  <c r="A9" i="23"/>
  <c r="I9" i="22"/>
  <c r="A10" i="23" l="1"/>
  <c r="I10" i="22"/>
  <c r="E70" i="23"/>
  <c r="J68" i="22"/>
  <c r="E71" i="23" l="1"/>
  <c r="J69" i="22"/>
  <c r="A11" i="23"/>
  <c r="I11" i="22"/>
  <c r="A12" i="23" l="1"/>
  <c r="I12" i="22"/>
  <c r="E72" i="23"/>
  <c r="J70" i="22"/>
  <c r="E73" i="23" l="1"/>
  <c r="J71" i="22"/>
  <c r="A13" i="23"/>
  <c r="I13" i="22"/>
  <c r="A14" i="23" l="1"/>
  <c r="I14" i="22"/>
  <c r="E74" i="23"/>
  <c r="J72" i="22"/>
  <c r="E75" i="23" l="1"/>
  <c r="J73" i="22"/>
  <c r="A15" i="23"/>
  <c r="I15" i="22"/>
  <c r="A16" i="23" l="1"/>
  <c r="I16" i="22"/>
  <c r="E76" i="23"/>
  <c r="J74" i="22"/>
  <c r="E77" i="23" l="1"/>
  <c r="J75" i="22"/>
  <c r="A17" i="23"/>
  <c r="I17" i="22"/>
  <c r="E78" i="23" l="1"/>
  <c r="J76" i="22"/>
  <c r="A18" i="23"/>
  <c r="I18" i="22"/>
  <c r="A19" i="23" l="1"/>
  <c r="I19" i="22"/>
  <c r="E79" i="23"/>
  <c r="J77" i="22"/>
  <c r="J78" i="22" l="1"/>
  <c r="E80" i="23"/>
  <c r="J79" i="22" s="1"/>
  <c r="A20" i="23"/>
  <c r="I20" i="22"/>
  <c r="A21" i="23" l="1"/>
  <c r="I21" i="22"/>
  <c r="A22" i="23" l="1"/>
  <c r="I22" i="22"/>
  <c r="A23" i="23" l="1"/>
  <c r="I23" i="22"/>
  <c r="A24" i="23" l="1"/>
  <c r="I24" i="22"/>
  <c r="A25" i="23" l="1"/>
  <c r="I25" i="22"/>
  <c r="A26" i="23" l="1"/>
  <c r="I26" i="22"/>
  <c r="A27" i="23" l="1"/>
  <c r="I27" i="22"/>
  <c r="A28" i="23" l="1"/>
  <c r="I28" i="22"/>
  <c r="A29" i="23" l="1"/>
  <c r="I29" i="22"/>
  <c r="A30" i="23" l="1"/>
  <c r="I30" i="22"/>
  <c r="A31" i="23" l="1"/>
  <c r="I31" i="22"/>
  <c r="A32" i="23" l="1"/>
  <c r="I32" i="22"/>
  <c r="A33" i="23" l="1"/>
  <c r="I33" i="22"/>
  <c r="A34" i="23" l="1"/>
  <c r="I34" i="22"/>
  <c r="A35" i="23" l="1"/>
  <c r="I35" i="22"/>
  <c r="A36" i="23" l="1"/>
  <c r="I36" i="22"/>
  <c r="A37" i="23" l="1"/>
  <c r="I37" i="22"/>
  <c r="A38" i="23" l="1"/>
  <c r="I38" i="22"/>
  <c r="A39" i="23" l="1"/>
  <c r="I39" i="22"/>
  <c r="A40" i="23" l="1"/>
  <c r="I40" i="22"/>
  <c r="A41" i="23" l="1"/>
  <c r="I41" i="22"/>
  <c r="A42" i="23" l="1"/>
  <c r="I42" i="22"/>
  <c r="A43" i="23" l="1"/>
  <c r="I43" i="22"/>
  <c r="A44" i="23" l="1"/>
  <c r="I44" i="22"/>
  <c r="A45" i="23" l="1"/>
  <c r="I45" i="22"/>
  <c r="A46" i="23" l="1"/>
  <c r="I46" i="22"/>
  <c r="A47" i="23" l="1"/>
  <c r="I47" i="22"/>
  <c r="A48" i="23" l="1"/>
  <c r="I48" i="22"/>
  <c r="A49" i="23" l="1"/>
  <c r="I49" i="22"/>
  <c r="A50" i="23" l="1"/>
  <c r="I50" i="22"/>
  <c r="A51" i="23" l="1"/>
  <c r="I51" i="22"/>
  <c r="A52" i="23" l="1"/>
  <c r="I52" i="22"/>
  <c r="A53" i="23" l="1"/>
  <c r="I53" i="22"/>
  <c r="A54" i="23" l="1"/>
  <c r="I54" i="22"/>
  <c r="A55" i="23" l="1"/>
  <c r="I55" i="22"/>
  <c r="A56" i="23" l="1"/>
  <c r="I56" i="22"/>
  <c r="A57" i="23" l="1"/>
  <c r="I58" i="22" s="1"/>
  <c r="I57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efault Dataset (1)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2" xr16:uid="{00000000-0015-0000-FFFF-FFFF03000000}" name="Default Dataset (1)1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3" xr16:uid="{00000000-0015-0000-FFFF-FFFF04000000}" name="Default Dataset (1)11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4" xr16:uid="{00000000-0015-0000-FFFF-FFFF06000000}" name="Default Dataset (2)" type="6" refreshedVersion="4" background="1" saveData="1">
    <textPr codePage="850" sourceFile="C:\Users\TSR\Downloads\Default Dataset (2).csv" decimal="," thousands="." semicolon="1">
      <textFields count="2">
        <textField/>
        <textField/>
      </textFields>
    </textPr>
  </connection>
  <connection id="5" xr16:uid="{00000000-0015-0000-FFFF-FFFF07000000}" name="Default Dataset (2)1" type="6" refreshedVersion="4" background="1" saveData="1">
    <textPr codePage="850" sourceFile="C:\Users\TSR\Downloads\Default Dataset (2).csv" decimal="," thousands="." semicolon="1">
      <textFields count="2">
        <textField/>
        <textField/>
      </textFields>
    </textPr>
  </connection>
  <connection id="6" xr16:uid="{00000000-0015-0000-FFFF-FFFF08000000}" name="Default Dataset (3)" type="6" refreshedVersion="4" background="1" saveData="1">
    <textPr codePage="850" sourceFile="C:\Users\TSR\Downloads\Default Dataset (3).csv" decimal="," thousands="." semicolon="1">
      <textFields count="2">
        <textField/>
        <textField/>
      </textFields>
    </textPr>
  </connection>
  <connection id="7" xr16:uid="{00000000-0015-0000-FFFF-FFFF0B000000}" name="viscosity_water" type="6" refreshedVersion="4" background="1" saveData="1">
    <textPr codePage="850" sourceFile="C:\Users\TSR\Desktop\pictures_literature\viscosity_water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<sst xmlns="http://schemas.openxmlformats.org/spreadsheetml/2006/main" count="1000" uniqueCount="731">
  <si>
    <t>Year</t>
  </si>
  <si>
    <t>Country</t>
  </si>
  <si>
    <t>Value</t>
  </si>
  <si>
    <t>Unit</t>
  </si>
  <si>
    <t>Reference</t>
  </si>
  <si>
    <t>€/m3</t>
  </si>
  <si>
    <t>https://www.intratec.us/chemical-markets/cooling-water-price</t>
  </si>
  <si>
    <t xml:space="preserve">item </t>
  </si>
  <si>
    <t>years</t>
  </si>
  <si>
    <t>http://www.chemengonline.com/economic-indicators-cepci/?printmode=1</t>
  </si>
  <si>
    <t>France</t>
  </si>
  <si>
    <t>Reaction Time</t>
  </si>
  <si>
    <t>Extraction at 185 °C and 150 atm CO2 in NaCl NaHCO3 solution</t>
  </si>
  <si>
    <t>Extent of reaction in % for Olivine (&lt;75µm)</t>
  </si>
  <si>
    <t>Y= aln(X)+b</t>
  </si>
  <si>
    <t>a</t>
  </si>
  <si>
    <t>b</t>
  </si>
  <si>
    <t>Rx/RxMax</t>
  </si>
  <si>
    <t>Temp</t>
  </si>
  <si>
    <t>Y= aX+b for X&lt;=100</t>
  </si>
  <si>
    <t>Y= aX+b for X[100;250]</t>
  </si>
  <si>
    <t>Rx/RxMax Wollastonite(angepasst)</t>
  </si>
  <si>
    <t>Rx/RxMax Wollastonite (roh)</t>
  </si>
  <si>
    <t xml:space="preserve">Rx/RxMax Olivine </t>
  </si>
  <si>
    <t>c</t>
  </si>
  <si>
    <t>Y=aX²-bX+c for X[75;175]</t>
  </si>
  <si>
    <t>olivine</t>
  </si>
  <si>
    <t>wollastonite</t>
  </si>
  <si>
    <t xml:space="preserve">HAT serpenine </t>
  </si>
  <si>
    <t>T [°C]</t>
  </si>
  <si>
    <t>P[atm]</t>
  </si>
  <si>
    <t>Carrier solution</t>
  </si>
  <si>
    <t>optimum carbonation condiditons (technical point of view)</t>
  </si>
  <si>
    <t>0.64 M NaHCO3, 1 M NaCl</t>
  </si>
  <si>
    <t>distilled water</t>
  </si>
  <si>
    <t xml:space="preserve">Used condiditons/ assumptions for reaction (economic assessment) </t>
  </si>
  <si>
    <t xml:space="preserve">mining </t>
  </si>
  <si>
    <t>open pit (process products are redeposited in pit)</t>
  </si>
  <si>
    <t>olivine grinding</t>
  </si>
  <si>
    <t>conversion</t>
  </si>
  <si>
    <t>recycling</t>
  </si>
  <si>
    <t>CO2 transportation</t>
  </si>
  <si>
    <t>pipeline</t>
  </si>
  <si>
    <t>carbonation conditions</t>
  </si>
  <si>
    <t>residence time</t>
  </si>
  <si>
    <t>T</t>
  </si>
  <si>
    <t>P</t>
  </si>
  <si>
    <t xml:space="preserve">solids (vol% ?) </t>
  </si>
  <si>
    <t>carrier solution</t>
  </si>
  <si>
    <t>%</t>
  </si>
  <si>
    <t>µm</t>
  </si>
  <si>
    <t>% of unreacted olivine from products separated at 20µm and recycled</t>
  </si>
  <si>
    <t>h</t>
  </si>
  <si>
    <t>°C</t>
  </si>
  <si>
    <t>atm</t>
  </si>
  <si>
    <t>SMD mill</t>
  </si>
  <si>
    <t>75µm (ball mill)</t>
  </si>
  <si>
    <t>38µm (ball mill)</t>
  </si>
  <si>
    <t>kWh/ton</t>
  </si>
  <si>
    <t>Energy requirement (grinding)</t>
  </si>
  <si>
    <t>Total Plant</t>
  </si>
  <si>
    <t>??</t>
  </si>
  <si>
    <t>particle diameter</t>
  </si>
  <si>
    <t>&lt;37µm</t>
  </si>
  <si>
    <t>T min[°C]</t>
  </si>
  <si>
    <t>T max[°C]</t>
  </si>
  <si>
    <t>Pmin[bar]</t>
  </si>
  <si>
    <t>Pmax[bar]</t>
  </si>
  <si>
    <t>Rco2min</t>
  </si>
  <si>
    <t>Rco2max</t>
  </si>
  <si>
    <t>Reaction time min</t>
  </si>
  <si>
    <t>Reation time max</t>
  </si>
  <si>
    <t>reference</t>
  </si>
  <si>
    <t>Assumptions</t>
  </si>
  <si>
    <t xml:space="preserve">value </t>
  </si>
  <si>
    <t>unit</t>
  </si>
  <si>
    <t>capacity of plant</t>
  </si>
  <si>
    <t>g/mol</t>
  </si>
  <si>
    <t>CO2 in flue gas from cement production</t>
  </si>
  <si>
    <t>% (w/w)</t>
  </si>
  <si>
    <t>Adina Bosoaga et al: 14-35%</t>
  </si>
  <si>
    <t>Operation hours</t>
  </si>
  <si>
    <t>Exchange rate $ in €</t>
  </si>
  <si>
    <t>d</t>
  </si>
  <si>
    <t>e</t>
  </si>
  <si>
    <t>Y= ax^4+bx^3+cx^2+dx+e</t>
  </si>
  <si>
    <t xml:space="preserve">Year </t>
  </si>
  <si>
    <t>CHEPCI (Composite CE index)</t>
  </si>
  <si>
    <t>http://webdelprofesor.ula.ve/ingenieria/leonardo/MatApoyo/EvalProyectos/CEPCI%201950_2006.xls</t>
  </si>
  <si>
    <t>http://folk.ntnu.no/magnehi/cepci_2011_py.pdf</t>
  </si>
  <si>
    <t>http://tekim.undip.ac.id/v1/wp-content/uploads/CEPCI_2008_2015.pdf</t>
  </si>
  <si>
    <t>https://www.chemengonline.com/cepci-updates-january-2018-prelim-and-december-2017-final/?printmode=1</t>
  </si>
  <si>
    <r>
      <t xml:space="preserve">“Economic Indicators: CEPCI - Chemical Engineering,” can be found under http://www.chemengonline.com/economic-indicators-cepci/?printmode=1, </t>
    </r>
    <r>
      <rPr>
        <b/>
        <i/>
        <sz val="12"/>
        <color rgb="FF000000"/>
        <rFont val="Calibri"/>
        <family val="2"/>
        <scheme val="minor"/>
      </rPr>
      <t>n.d.</t>
    </r>
  </si>
  <si>
    <r>
      <t xml:space="preserve">W. M. Vatavuk, Chem. Eng. </t>
    </r>
    <r>
      <rPr>
        <b/>
        <i/>
        <sz val="12"/>
        <color theme="1"/>
        <rFont val="Calibri"/>
        <family val="2"/>
        <scheme val="minor"/>
      </rPr>
      <t>2002</t>
    </r>
    <r>
      <rPr>
        <i/>
        <sz val="12"/>
        <color theme="1"/>
        <rFont val="Calibri"/>
        <family val="2"/>
        <scheme val="minor"/>
      </rPr>
      <t>, 62–70.</t>
    </r>
  </si>
  <si>
    <r>
      <t xml:space="preserve">“CEPCI Updates: January 2018 (prelim.) and December 2017 (final) - Chemical Engineering | Page 1,” can be found under http://www.chemengonline.com/cepci-updates-january-2018-prelim-and-december-2017-final/, </t>
    </r>
    <r>
      <rPr>
        <b/>
        <i/>
        <sz val="12"/>
        <color theme="1"/>
        <rFont val="Calibri"/>
        <family val="2"/>
        <scheme val="minor"/>
      </rPr>
      <t>n.d.</t>
    </r>
  </si>
  <si>
    <t>UK</t>
  </si>
  <si>
    <t>GER</t>
  </si>
  <si>
    <t>Italy</t>
  </si>
  <si>
    <t>Netherlands</t>
  </si>
  <si>
    <t>Russia</t>
  </si>
  <si>
    <t>India</t>
  </si>
  <si>
    <t>Middle east</t>
  </si>
  <si>
    <t xml:space="preserve">China (imported) </t>
  </si>
  <si>
    <t xml:space="preserve">China (indingenous) </t>
  </si>
  <si>
    <t>Japan</t>
  </si>
  <si>
    <t>SE Asia</t>
  </si>
  <si>
    <t>Australia</t>
  </si>
  <si>
    <t>US Gulf coast</t>
  </si>
  <si>
    <t>US East coast</t>
  </si>
  <si>
    <t>US West Coast</t>
  </si>
  <si>
    <t>US Midwest</t>
  </si>
  <si>
    <t>Canada Ontario</t>
  </si>
  <si>
    <t>Canada Fort McMurray</t>
  </si>
  <si>
    <t>Mexico</t>
  </si>
  <si>
    <t>Brazil</t>
  </si>
  <si>
    <t>Location factor (2003)</t>
  </si>
  <si>
    <t>Location factor (2017)</t>
  </si>
  <si>
    <t>exchange rate USD / EUR in 2008</t>
  </si>
  <si>
    <t>exchange rate USD / EUR in 2017</t>
  </si>
  <si>
    <t>https://www.xe.com/currencytables/?from=USD&amp;date=2003-12-01</t>
  </si>
  <si>
    <t>Sinnot Towler et al.</t>
  </si>
  <si>
    <t>Update CHEPCI Document(Matlab/sources)</t>
  </si>
  <si>
    <t xml:space="preserve">Description </t>
  </si>
  <si>
    <t xml:space="preserve">
attribute 1 (year) </t>
  </si>
  <si>
    <t xml:space="preserve">
attribute 2 (location) </t>
  </si>
  <si>
    <t>Country value for matlab</t>
  </si>
  <si>
    <t>CEPCI</t>
  </si>
  <si>
    <t>LF</t>
  </si>
  <si>
    <t>Y=1 for X[176;195]</t>
  </si>
  <si>
    <t>Y=aX²-bX+c for X[195;225]</t>
  </si>
  <si>
    <t>Nr</t>
  </si>
  <si>
    <t>FC Jaw crusher</t>
  </si>
  <si>
    <t>FC Cone crusher</t>
  </si>
  <si>
    <t xml:space="preserve">FC Ball mill </t>
  </si>
  <si>
    <t>1Value a</t>
  </si>
  <si>
    <t>2Value b</t>
  </si>
  <si>
    <t>3Value c</t>
  </si>
  <si>
    <t>4Value d</t>
  </si>
  <si>
    <t>5Value e</t>
  </si>
  <si>
    <t>7
attribute 1 min</t>
  </si>
  <si>
    <t>Location (GER = 3)</t>
  </si>
  <si>
    <t>Lang factor</t>
  </si>
  <si>
    <t>Factor type</t>
  </si>
  <si>
    <t>Description</t>
  </si>
  <si>
    <t>Hand factor</t>
  </si>
  <si>
    <t>Compressor</t>
  </si>
  <si>
    <t>Distillation Columns</t>
  </si>
  <si>
    <t>Fired heaters</t>
  </si>
  <si>
    <t>Instruments</t>
  </si>
  <si>
    <t>Heat exchangers</t>
  </si>
  <si>
    <t>Solid processing plants</t>
  </si>
  <si>
    <t>Fluid processing plant</t>
  </si>
  <si>
    <t>Mixed fluid-solids processing plant</t>
  </si>
  <si>
    <t>Miscellaneous Equipment</t>
  </si>
  <si>
    <t>pressure Vessels</t>
  </si>
  <si>
    <t>Pumps</t>
  </si>
  <si>
    <t>Lang Factors</t>
  </si>
  <si>
    <t>Hand Factors</t>
  </si>
  <si>
    <t>Design of pressure Vessels</t>
  </si>
  <si>
    <t>Minimum wall thickness</t>
  </si>
  <si>
    <t>Vessel diamter (m) smaller than…</t>
  </si>
  <si>
    <t>Joint factor J</t>
  </si>
  <si>
    <t>degree of radiography</t>
  </si>
  <si>
    <t>spot</t>
  </si>
  <si>
    <t>none</t>
  </si>
  <si>
    <t xml:space="preserve">Double-welded </t>
  </si>
  <si>
    <t>single weld</t>
  </si>
  <si>
    <t>Corrosion allowance</t>
  </si>
  <si>
    <t>Minimum Wall thickness [mm]</t>
  </si>
  <si>
    <t>min (no sever corrosion) [mm]</t>
  </si>
  <si>
    <t>max [mm]</t>
  </si>
  <si>
    <t>Design stress factor</t>
  </si>
  <si>
    <t>Carbon steel</t>
  </si>
  <si>
    <t>stainless steel</t>
  </si>
  <si>
    <t>non-ferrous metals</t>
  </si>
  <si>
    <t xml:space="preserve">min yield </t>
  </si>
  <si>
    <t>minimum tensile strength</t>
  </si>
  <si>
    <t xml:space="preserve">mean stress </t>
  </si>
  <si>
    <t>density of water</t>
  </si>
  <si>
    <t>Temperature in °F</t>
  </si>
  <si>
    <t>Maximal allowable Stresss under ASME in [ksi]</t>
  </si>
  <si>
    <t xml:space="preserve">Stainless steel </t>
  </si>
  <si>
    <t xml:space="preserve">joint efficiency </t>
  </si>
  <si>
    <t xml:space="preserve">
Value/ attribute 1 (year) </t>
  </si>
  <si>
    <t>securty factor on pressure</t>
  </si>
  <si>
    <t>Sinnot</t>
  </si>
  <si>
    <t xml:space="preserve">reaction temp </t>
  </si>
  <si>
    <t>ASME maximal allowable stress in Pa, SS</t>
  </si>
  <si>
    <t>ASME maximal allowable stress in Pa, CS</t>
  </si>
  <si>
    <t>ASME maximal allowable stress temp in °C</t>
  </si>
  <si>
    <t>material of reactor</t>
  </si>
  <si>
    <t>Choose (0 for CS and 1 for SS)</t>
  </si>
  <si>
    <t>minimum wall thickness d in m</t>
  </si>
  <si>
    <t>minimum wall thickness tw in mm</t>
  </si>
  <si>
    <t xml:space="preserve">density of steel </t>
  </si>
  <si>
    <t>kg/m3</t>
  </si>
  <si>
    <t>Cost function for different Unit operations</t>
  </si>
  <si>
    <t>Unit for size</t>
  </si>
  <si>
    <t>Shell mass</t>
  </si>
  <si>
    <t>S-low</t>
  </si>
  <si>
    <t>n</t>
  </si>
  <si>
    <t>volume, m3</t>
  </si>
  <si>
    <t>S-upper</t>
  </si>
  <si>
    <t>capacity, m3</t>
  </si>
  <si>
    <t>EC Vertical pressure vessel</t>
  </si>
  <si>
    <t>EC reactor agitated</t>
  </si>
  <si>
    <t>EC Tanks (floating roof)</t>
  </si>
  <si>
    <t>MgO content feed</t>
  </si>
  <si>
    <t>SiO2 content feed</t>
  </si>
  <si>
    <t>Fe2O3 content feed</t>
  </si>
  <si>
    <t>calculated as residual from MgO and SiO2 content</t>
  </si>
  <si>
    <t>MgO + CO2 =&gt; MgCO3</t>
  </si>
  <si>
    <t>cp coefficients</t>
  </si>
  <si>
    <t>DelH_f (kJ/mol) @25 °C &amp; 1ATM</t>
  </si>
  <si>
    <t>Mol Wt.</t>
  </si>
  <si>
    <t>MgO</t>
  </si>
  <si>
    <t>CO2(g)</t>
  </si>
  <si>
    <t>NaCl</t>
  </si>
  <si>
    <t>H2O (l)</t>
  </si>
  <si>
    <t>MgCO3</t>
  </si>
  <si>
    <t>Reaction</t>
  </si>
  <si>
    <t>Reference parameters</t>
  </si>
  <si>
    <t>Reference Enthalpy of formation</t>
  </si>
  <si>
    <t>Shomate Equation</t>
  </si>
  <si>
    <t>Cp = a+b*T+c*T²+d*T³+e/T²</t>
  </si>
  <si>
    <t xml:space="preserve">Tmax [K] </t>
  </si>
  <si>
    <t>Tmin [K]</t>
  </si>
  <si>
    <t>webbock.NIST.gov</t>
  </si>
  <si>
    <t>Felder - Elementary principles of chemical processes- Third Edition</t>
  </si>
  <si>
    <t xml:space="preserve">
8 attribute 2 max </t>
  </si>
  <si>
    <t>9 time_stamp</t>
  </si>
  <si>
    <t>10 Location</t>
  </si>
  <si>
    <t>6 Value f</t>
  </si>
  <si>
    <t>This rows display the shomate vaues,row R is filled with enthalpy of formation in kj/mol</t>
  </si>
  <si>
    <t>Standard Temp</t>
  </si>
  <si>
    <t>Yield reaction (MgO)</t>
  </si>
  <si>
    <t>Molecular weight MgO</t>
  </si>
  <si>
    <t>Mining</t>
  </si>
  <si>
    <t>Crushing</t>
  </si>
  <si>
    <t>Grinding</t>
  </si>
  <si>
    <t>Carbonation</t>
  </si>
  <si>
    <t>Separation</t>
  </si>
  <si>
    <t>Fe</t>
  </si>
  <si>
    <t>Flue gas</t>
  </si>
  <si>
    <t>Olivine</t>
  </si>
  <si>
    <t>Molecular weights in g/mol</t>
  </si>
  <si>
    <t>SiO2</t>
  </si>
  <si>
    <t>CO2 capture</t>
  </si>
  <si>
    <t>density of grounded olivine</t>
  </si>
  <si>
    <t>NH3(g)</t>
  </si>
  <si>
    <t>1In</t>
  </si>
  <si>
    <t xml:space="preserve">2 Out </t>
  </si>
  <si>
    <t>3 In</t>
  </si>
  <si>
    <t xml:space="preserve">4 Out </t>
  </si>
  <si>
    <t>5 In</t>
  </si>
  <si>
    <t xml:space="preserve">6 Out </t>
  </si>
  <si>
    <t>7 In</t>
  </si>
  <si>
    <t xml:space="preserve">8 Out </t>
  </si>
  <si>
    <t>9 In</t>
  </si>
  <si>
    <t xml:space="preserve">10 Out </t>
  </si>
  <si>
    <t>11 In</t>
  </si>
  <si>
    <t xml:space="preserve">12 Out </t>
  </si>
  <si>
    <t>T in [°C]</t>
  </si>
  <si>
    <t>Assumed stream condiditons</t>
  </si>
  <si>
    <t>P in [bar]</t>
  </si>
  <si>
    <t>Lifetime of the plant</t>
  </si>
  <si>
    <t>Years</t>
  </si>
  <si>
    <t>Interest rate</t>
  </si>
  <si>
    <t>calculated in Matlab scribt</t>
  </si>
  <si>
    <t>Electricity [KWh/t]</t>
  </si>
  <si>
    <t>Gerdemann ref. 12</t>
  </si>
  <si>
    <t>Efficiency Capture</t>
  </si>
  <si>
    <t>Utility requirements</t>
  </si>
  <si>
    <t>Energy recovery from Reaction</t>
  </si>
  <si>
    <t>kWh/kWh</t>
  </si>
  <si>
    <t>Capex CO2 capture</t>
  </si>
  <si>
    <t>G. Haarlemmer, G. Boissonnet, E. Peduzzi, P. A. Setier, Energy 2014, 66, 667–676.</t>
  </si>
  <si>
    <t>Scaling factor Capture plant</t>
  </si>
  <si>
    <t xml:space="preserve">price </t>
  </si>
  <si>
    <t>prices for Feedstock</t>
  </si>
  <si>
    <t>€/tonne</t>
  </si>
  <si>
    <t>DATE</t>
  </si>
  <si>
    <t>CLOSING PRICE</t>
  </si>
  <si>
    <t>OPEN</t>
  </si>
  <si>
    <t>12/17/2018</t>
  </si>
  <si>
    <t>12/13/2018</t>
  </si>
  <si>
    <t>11/29/2018</t>
  </si>
  <si>
    <t>11/27/2018</t>
  </si>
  <si>
    <t>11/26/2018</t>
  </si>
  <si>
    <t>11/22/2018</t>
  </si>
  <si>
    <t>11/21/2018</t>
  </si>
  <si>
    <t>11/20/2018</t>
  </si>
  <si>
    <t>11/19/2018</t>
  </si>
  <si>
    <t>11/15/2018</t>
  </si>
  <si>
    <t>11/13/2018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</si>
  <si>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</si>
  <si>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</si>
  <si>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</si>
  <si>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</si>
  <si>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</si>
  <si>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</si>
  <si>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</si>
  <si>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</si>
  <si>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</si>
  <si>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</si>
  <si>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</si>
  <si>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</si>
  <si>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</si>
  <si>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</si>
  <si>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</si>
  <si>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</si>
  <si>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9/20/2018</t>
  </si>
  <si>
    <t>9/18/2018</t>
  </si>
  <si>
    <t>9/17/2018</t>
  </si>
  <si>
    <t>9/14/2018</t>
  </si>
  <si>
    <t>9/13/2018</t>
  </si>
  <si>
    <t>8/31/2018</t>
  </si>
  <si>
    <t>8/30/2018</t>
  </si>
  <si>
    <t>8/29/2018</t>
  </si>
  <si>
    <t>8/28/2018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</si>
  <si>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</si>
  <si>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</si>
  <si>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</si>
  <si>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</si>
  <si>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</si>
  <si>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</si>
  <si>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</si>
  <si>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</si>
  <si>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7/31/2018</t>
  </si>
  <si>
    <t>7/30/2018</t>
  </si>
  <si>
    <t>7/27/2018</t>
  </si>
  <si>
    <t>7/26/2018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</si>
  <si>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</si>
  <si>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</si>
  <si>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</si>
  <si>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</si>
  <si>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</si>
  <si>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</si>
  <si>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</si>
  <si>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</si>
  <si>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</si>
  <si>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</si>
  <si>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</si>
  <si>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</si>
  <si>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</si>
  <si>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</si>
  <si>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</si>
  <si>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</si>
  <si>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</si>
  <si>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</si>
  <si>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</si>
  <si>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5/31/2018</t>
  </si>
  <si>
    <t>5/29/2018</t>
  </si>
  <si>
    <t>5/25/2018</t>
  </si>
  <si>
    <t>5/24/2018</t>
  </si>
  <si>
    <t>5/23/2018</t>
  </si>
  <si>
    <t>5/22/2018</t>
  </si>
  <si>
    <t>5/18/2018</t>
  </si>
  <si>
    <t>5/17/2018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</si>
  <si>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</si>
  <si>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</si>
  <si>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</si>
  <si>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</si>
  <si>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</si>
  <si>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</si>
  <si>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</si>
  <si>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</si>
  <si>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</si>
  <si>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</si>
  <si>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4/17/2018</t>
  </si>
  <si>
    <t>4/16/2018</t>
  </si>
  <si>
    <t>4/13/2018</t>
  </si>
  <si>
    <t>3/28/2018</t>
  </si>
  <si>
    <t>3/27/2018</t>
  </si>
  <si>
    <t>3/26/2018</t>
  </si>
  <si>
    <t>3/23/2018</t>
  </si>
  <si>
    <t>3/22/2018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</si>
  <si>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</si>
  <si>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</si>
  <si>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</si>
  <si>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</si>
  <si>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</si>
  <si>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</si>
  <si>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</si>
  <si>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</si>
  <si>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</si>
  <si>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</si>
  <si>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</si>
  <si>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2/20/2018</t>
  </si>
  <si>
    <t>2/19/2018</t>
  </si>
  <si>
    <t>2/16/2018</t>
  </si>
  <si>
    <t>2/15/2018</t>
  </si>
  <si>
    <t>2/14/2018</t>
  </si>
  <si>
    <t>2/13/2018</t>
  </si>
  <si>
    <t>1/31/2018</t>
  </si>
  <si>
    <t>1/30/2018</t>
  </si>
  <si>
    <t>1/29/2018</t>
  </si>
  <si>
    <t>1/26/2018</t>
  </si>
  <si>
    <t>1/25/2018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</si>
  <si>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</si>
  <si>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</si>
  <si>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</si>
  <si>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</si>
  <si>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</si>
  <si>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</si>
  <si>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</si>
  <si>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 xml:space="preserve">Reference: </t>
  </si>
  <si>
    <t>https://markets.businessinsider.com/commodities/historical-prices/co2-emissionsrechte/euro/1.1.2018_1.1.2019</t>
  </si>
  <si>
    <t>Average</t>
  </si>
  <si>
    <t>Electricity €/MWh</t>
  </si>
  <si>
    <t>cooling water [m3/tonne CO2]</t>
  </si>
  <si>
    <t>€/Mwh</t>
  </si>
  <si>
    <t>cooling water [€/m3]</t>
  </si>
  <si>
    <t>Assumptions sheet</t>
  </si>
  <si>
    <t>prices for Utilities</t>
  </si>
  <si>
    <t>Utility prices</t>
  </si>
  <si>
    <t>m</t>
  </si>
  <si>
    <t>Feedstock prices and revenues</t>
  </si>
  <si>
    <t>Typical Factors for Estimation of Project Fixed Capital Costs</t>
  </si>
  <si>
    <t>Fluids</t>
  </si>
  <si>
    <t>Fluids-Solids</t>
  </si>
  <si>
    <t>Solids</t>
  </si>
  <si>
    <t>ISBL = Cex</t>
  </si>
  <si>
    <t>Offsites</t>
  </si>
  <si>
    <t>Design &amp; Engineering</t>
  </si>
  <si>
    <t>Contingency</t>
  </si>
  <si>
    <t>Total Fixed Capital Cost = Ce x</t>
  </si>
  <si>
    <t>Typical factors to derive Total fixed capital costs from Sinott et al.</t>
  </si>
  <si>
    <t>Variable Cost</t>
  </si>
  <si>
    <t>Basis</t>
  </si>
  <si>
    <t>Raw materials</t>
  </si>
  <si>
    <t>example</t>
  </si>
  <si>
    <t>consumed by the processs</t>
  </si>
  <si>
    <t>Utilities</t>
  </si>
  <si>
    <t>Consumables</t>
  </si>
  <si>
    <t>Effluent disposal</t>
  </si>
  <si>
    <t>Packaging &amp; Shipping</t>
  </si>
  <si>
    <t>Fixed Cost</t>
  </si>
  <si>
    <t>basis</t>
  </si>
  <si>
    <t xml:space="preserve">Average cost of Worker </t>
  </si>
  <si>
    <t>€/h</t>
  </si>
  <si>
    <t>Notes</t>
  </si>
  <si>
    <t>Working hours estimate</t>
  </si>
  <si>
    <t>Select 1 for large Equipment (much automisation) and 0 for average plant</t>
  </si>
  <si>
    <t>I1 Fixed assumptions</t>
  </si>
  <si>
    <t xml:space="preserve">I2 Factors </t>
  </si>
  <si>
    <t>I3 Regression values</t>
  </si>
  <si>
    <t>Solid processing plants (CapEx)</t>
  </si>
  <si>
    <t>Solid processing plants (ISBL)</t>
  </si>
  <si>
    <t>Solid processing plants (OSBL)</t>
  </si>
  <si>
    <t>1 Mining, In</t>
  </si>
  <si>
    <t>2 Mining, out</t>
  </si>
  <si>
    <t>3 Crushing, In</t>
  </si>
  <si>
    <t>4 Crushing, out</t>
  </si>
  <si>
    <t>5 Grinding, In</t>
  </si>
  <si>
    <t>6 Grinding, out</t>
  </si>
  <si>
    <t>7 Carbonation, In</t>
  </si>
  <si>
    <t>8 Carbonation, out</t>
  </si>
  <si>
    <t>9 Separation, In</t>
  </si>
  <si>
    <t>10 Separation, out</t>
  </si>
  <si>
    <t>11 Capture, In</t>
  </si>
  <si>
    <t>12 Capture, out</t>
  </si>
  <si>
    <t>Values for the Peng-Robinson calculations</t>
  </si>
  <si>
    <t>Compound</t>
  </si>
  <si>
    <t>critcal temperature in [K]</t>
  </si>
  <si>
    <t>critical pressure in [bar]</t>
  </si>
  <si>
    <t>References w</t>
  </si>
  <si>
    <t>accentic factor w</t>
  </si>
  <si>
    <t>http://webserver.dmt.upm.es/~isidoro/dat1/eGAS.pdf</t>
  </si>
  <si>
    <t>Co2</t>
  </si>
  <si>
    <t>PengRobinson values</t>
  </si>
  <si>
    <t>References Tc, Pc</t>
  </si>
  <si>
    <t>Smith,Robin</t>
  </si>
  <si>
    <t xml:space="preserve">References gamma  </t>
  </si>
  <si>
    <t>heat capacity ratio, gamma @25°C</t>
  </si>
  <si>
    <t>NaHCO3</t>
  </si>
  <si>
    <t>https://www.alibaba.com/product-detail/sodium-bicarbonate-food-grade-nahco3_60799280141.html?spm=a2700.7724857.normalList.28.de9f3b17MbzyT6&amp;s=p</t>
  </si>
  <si>
    <t>NaHCO3 (shomate for Na2CO3)</t>
  </si>
  <si>
    <t>for 2h:</t>
  </si>
  <si>
    <t xml:space="preserve">Outgoing streams: </t>
  </si>
  <si>
    <t>Needed Utilities, Feedstocks and Additives</t>
  </si>
  <si>
    <t>Recovery of unreacted (MgO)</t>
  </si>
  <si>
    <t>maximum wall thickness reactor</t>
  </si>
  <si>
    <t>(ask jason for reference)</t>
  </si>
  <si>
    <t>gasphase in reactor</t>
  </si>
  <si>
    <t>m³/m³</t>
  </si>
  <si>
    <t>Sinnot (check)</t>
  </si>
  <si>
    <t>solid content in liquid phase</t>
  </si>
  <si>
    <t>EC Compressor Centrifugal</t>
  </si>
  <si>
    <t>driver power, kW</t>
  </si>
  <si>
    <t>Béarat, Hamdallahet al + Presentation, Gerdemenn et al.</t>
  </si>
  <si>
    <t>mol/l</t>
  </si>
  <si>
    <t>I4 Stream Condititons</t>
  </si>
  <si>
    <t>https://www.alibaba.com/product-detail/CAS-7647-14-5-sodium-chloride_60785243716.html?spm=a2700.7724838.2017115.1.7f3d7c456mww4T&amp;s=p</t>
  </si>
  <si>
    <t xml:space="preserve">Recycling Water &amp; Additives </t>
  </si>
  <si>
    <t>Maximum reactor size</t>
  </si>
  <si>
    <t>m³</t>
  </si>
  <si>
    <t>K</t>
  </si>
  <si>
    <t>HE 1</t>
  </si>
  <si>
    <t>minimal Temp difference for heat exchanger</t>
  </si>
  <si>
    <t>T in [°C] cold</t>
  </si>
  <si>
    <t>T in [°C] warm</t>
  </si>
  <si>
    <t>EC Heat exchanger</t>
  </si>
  <si>
    <t>Area</t>
  </si>
  <si>
    <t>wt/wt</t>
  </si>
  <si>
    <t>Calculations from Hesam</t>
  </si>
  <si>
    <t>Number of compression steps</t>
  </si>
  <si>
    <t>Hesams calculations</t>
  </si>
  <si>
    <t>Separation techniques</t>
  </si>
  <si>
    <t>Dewatering</t>
  </si>
  <si>
    <t>kwh/t</t>
  </si>
  <si>
    <t>kWh/t</t>
  </si>
  <si>
    <t>Sanna et al</t>
  </si>
  <si>
    <t>for Serpentine</t>
  </si>
  <si>
    <t>MgO/CaO content in Olivine</t>
  </si>
  <si>
    <t>Energy demand Heat treatment</t>
  </si>
  <si>
    <t>duty, MW</t>
  </si>
  <si>
    <t>EC cylindrical Furnace</t>
  </si>
  <si>
    <t>Heat treatment used?</t>
  </si>
  <si>
    <t>1 =yes , 0 = no</t>
  </si>
  <si>
    <t>Grinding &amp; Heat treatment</t>
  </si>
  <si>
    <t>http://webmineral.com/data/Forsterite.shtml#.XMge7YkzaUk</t>
  </si>
  <si>
    <t>https://de.statista.com/statistik/daten/studie/1538/umfrage/wasserpreise-weltweit/, https://www.trinkwasser-wissen.net/fakten/preis; https://www.intratec.us/chemical-markets/process-water-cost</t>
  </si>
  <si>
    <t>Process H2O (l)</t>
  </si>
  <si>
    <t>https://www.alibaba.com/product-detail/TOP-1-Manufacturer-OXALIC-ACID-99_60209020600.html?spm=a2700.7724838.2017115.1.77844c06TyQLNZ</t>
  </si>
  <si>
    <t>Oxalic Acid</t>
  </si>
  <si>
    <t>Ascorbic Acid</t>
  </si>
  <si>
    <t>https://www.alibaba.com/product-detail/Hot-sale-adipic-acid-chemical-formula_60400910653.html?spm=a2700.7724838.2017115.1.4c275b3a5ekEUi</t>
  </si>
  <si>
    <t xml:space="preserve">Reaction </t>
  </si>
  <si>
    <t>Stoichiometric coefficient</t>
  </si>
  <si>
    <r>
      <t>Mg</t>
    </r>
    <r>
      <rPr>
        <sz val="11"/>
        <color theme="1"/>
        <rFont val="Calibri"/>
        <family val="2"/>
        <scheme val="minor"/>
      </rPr>
      <t>2SiO4</t>
    </r>
  </si>
  <si>
    <r>
      <t>CO</t>
    </r>
    <r>
      <rPr>
        <sz val="11"/>
        <color theme="1"/>
        <rFont val="Calibri"/>
        <family val="2"/>
        <scheme val="minor"/>
      </rPr>
      <t>2</t>
    </r>
  </si>
  <si>
    <r>
      <t>MgCO</t>
    </r>
    <r>
      <rPr>
        <sz val="11"/>
        <color theme="1"/>
        <rFont val="Calibri"/>
        <family val="2"/>
        <scheme val="minor"/>
      </rPr>
      <t>3</t>
    </r>
  </si>
  <si>
    <r>
      <t>SiO</t>
    </r>
    <r>
      <rPr>
        <sz val="11"/>
        <color theme="1"/>
        <rFont val="Calibri"/>
        <family val="2"/>
        <scheme val="minor"/>
      </rPr>
      <t>2</t>
    </r>
  </si>
  <si>
    <t>Mg2SiO4</t>
  </si>
  <si>
    <t>mineral purity</t>
  </si>
  <si>
    <t>oxalic acid</t>
  </si>
  <si>
    <t xml:space="preserve">acorbic </t>
  </si>
  <si>
    <t>https://pubchem.ncbi.nlm.nih.gov/compound/ascorbic_acid</t>
  </si>
  <si>
    <t>https://pubchem.ncbi.nlm.nih.gov/compound/oxalic_acid</t>
  </si>
  <si>
    <t>from http://www.webmineral.com/data/Forsterite.shtml#.XPZ1N9IzbRY</t>
  </si>
  <si>
    <t>calc. In Matlab scribt</t>
  </si>
  <si>
    <t>n.a.</t>
  </si>
  <si>
    <t xml:space="preserve">HE 2 </t>
  </si>
  <si>
    <t>RCO2</t>
  </si>
  <si>
    <t>Fe2O3</t>
  </si>
  <si>
    <t>MEA</t>
  </si>
  <si>
    <t>https://www.alibaba.com/product-detail/MEA-Factory-supply-Ethanolamine-Monoethanolamine-CAS_60708055691.html?spm=a2700.7724838.2017115.11.47ea4bd1CUBgH5&amp;s=p</t>
  </si>
  <si>
    <t>MEA [t/tonneCO2]</t>
  </si>
  <si>
    <t>N2(g)</t>
  </si>
  <si>
    <t>O2(g)</t>
  </si>
  <si>
    <t>Temp in °C</t>
  </si>
  <si>
    <t>dynamische Viskosität H20 in 10^-6 kg /(m*s)</t>
  </si>
  <si>
    <t>Pressure in bar</t>
  </si>
  <si>
    <t>taken from: http://www.uni-magdeburg.de/isut/LSS/Lehre/Arbeitsheft/IV.pdf</t>
  </si>
  <si>
    <t>y= a*x^6+b*x^5….</t>
  </si>
  <si>
    <t>f</t>
  </si>
  <si>
    <t>g</t>
  </si>
  <si>
    <t>Function viscosity water</t>
  </si>
  <si>
    <t>efficiency pump</t>
  </si>
  <si>
    <t>https://www.haustechnikdialog.de/SHKwissen/Showimage.aspx?ID=6208</t>
  </si>
  <si>
    <t>Test</t>
  </si>
  <si>
    <t>result</t>
  </si>
  <si>
    <t>10^-6kg/m*s</t>
  </si>
  <si>
    <t>hydraulic head for pumping</t>
  </si>
  <si>
    <t>m/s²</t>
  </si>
  <si>
    <t>https://www.ptb.de/cms/fileadmin/internet/fachabteilungen/abteilung_1/1.1_masse/1.15/gravzonen.pdf</t>
  </si>
  <si>
    <t>force of gravity (Berlin)</t>
  </si>
  <si>
    <t>m/bar</t>
  </si>
  <si>
    <t>other [€/tonne CO2]</t>
  </si>
  <si>
    <t>€/Mwh Natural gas</t>
  </si>
  <si>
    <t>Natural gas [€/MWh]</t>
  </si>
  <si>
    <t>PWC 2017 (energy intensive &gt; 2,500,000MWh/a)</t>
  </si>
  <si>
    <t>PWC 2017 (energy intensive &gt; 500,0000 MWh/a)</t>
  </si>
  <si>
    <t>per tonne CO2</t>
  </si>
  <si>
    <t>Load and Haul</t>
  </si>
  <si>
    <t>Flotation</t>
  </si>
  <si>
    <t>Gravity sep.</t>
  </si>
  <si>
    <t>Magnetic sep</t>
  </si>
  <si>
    <t>Water pumping</t>
  </si>
  <si>
    <t>Heating requirements [GJ/t CO2]</t>
  </si>
  <si>
    <t>Reaction enthalpy</t>
  </si>
  <si>
    <t>kj/mol CO2</t>
  </si>
  <si>
    <t>Transport Truck</t>
  </si>
  <si>
    <t>Transport Train</t>
  </si>
  <si>
    <t>Technical &amp; economic evaluation of a mineral carbonation process using southern Québec mining wastes for CO2 sequestration of raw flue gas with by-product recovery</t>
  </si>
  <si>
    <t>€/km,t rocks</t>
  </si>
  <si>
    <t>km</t>
  </si>
  <si>
    <t>Values not taken for the calcualtion (no values available for Shomate equation)</t>
  </si>
  <si>
    <t>MEA (l)</t>
  </si>
  <si>
    <t>Insur- and loc tax</t>
  </si>
  <si>
    <t>*TPC</t>
  </si>
  <si>
    <t>per year</t>
  </si>
  <si>
    <t>Maintenance Costs (M)</t>
  </si>
  <si>
    <t>Labour</t>
  </si>
  <si>
    <t>*O</t>
  </si>
  <si>
    <t>*M</t>
  </si>
  <si>
    <t>Labour (O)</t>
  </si>
  <si>
    <t xml:space="preserve"> Calculated using Timmerhaus et al. </t>
  </si>
  <si>
    <t>TEC</t>
  </si>
  <si>
    <t>Derive from Sinott et al ( factors inlcude Hand factors &amp; OSBL factors)</t>
  </si>
  <si>
    <t>Process contingencies</t>
  </si>
  <si>
    <t>new concept</t>
  </si>
  <si>
    <t>bench scale data</t>
  </si>
  <si>
    <t>small pilot</t>
  </si>
  <si>
    <t xml:space="preserve">full-sized </t>
  </si>
  <si>
    <t>commercially</t>
  </si>
  <si>
    <t>indirect coststs</t>
  </si>
  <si>
    <t>Opex factors from CemCap</t>
  </si>
  <si>
    <t>CapEx factirs from CemCap</t>
  </si>
  <si>
    <t>t cement produced /a</t>
  </si>
  <si>
    <t xml:space="preserve">Insert all the necessary assumptions in this file. They will pe processed in the Matlab script.
</t>
  </si>
  <si>
    <t>Yield reaction (CO2)</t>
  </si>
  <si>
    <t>price cement</t>
  </si>
  <si>
    <t>price ETS</t>
  </si>
  <si>
    <t>Emission reduction per tonne CO2 utilized</t>
  </si>
  <si>
    <t>Depending on the scenario. Take from Hesam's script (0.7-1.5), replace this, when integrating the two scipts (TEA &amp; LCA)</t>
  </si>
  <si>
    <t>blending ratio cement with</t>
  </si>
  <si>
    <t>blending ratio cement with Sio2</t>
  </si>
  <si>
    <t>blending ratio cement with inert</t>
  </si>
  <si>
    <t>distance Truck to storage</t>
  </si>
  <si>
    <t>g/ml</t>
  </si>
  <si>
    <t>Heat transfer coefficient</t>
  </si>
  <si>
    <t>https://www.engineeringtoolbox.com/overall-heat-transfer-coefficients-d_284.html</t>
  </si>
  <si>
    <t>W/m²K</t>
  </si>
  <si>
    <t>RPM Dewater Centrifuge</t>
  </si>
  <si>
    <t>Wall thickness centrifuge</t>
  </si>
  <si>
    <t>rpm</t>
  </si>
  <si>
    <t>Pinkerton, A. P. and M. S. Klima (2001). "Evaluation of a solid-bowl centrifuge for ultrafine size separations." Mining, Metallurgy &amp; Exploration 18(3): 162-166. =&gt; found minimum !!</t>
  </si>
  <si>
    <t xml:space="preserve">Pressure drop cyclone </t>
  </si>
  <si>
    <t>bar</t>
  </si>
  <si>
    <t>Heat capacity oil light Oil (average 15-150°C)</t>
  </si>
  <si>
    <t>KJ/kgK</t>
  </si>
  <si>
    <t>https://www.engineeringtoolbox.com/specific-heat-fluids-d_151.html</t>
  </si>
  <si>
    <t>Temparature MEA capture stripper</t>
  </si>
  <si>
    <t xml:space="preserve">Li, X., et al. (2014). "Experimental and rate‐based modeling study of CO2 capture by aqueous monoethanolamine." Greenhouse Gases: Science and Technology 4(4): 495-508.
</t>
  </si>
  <si>
    <t>Describtion</t>
  </si>
  <si>
    <t xml:space="preserve">Start value </t>
  </si>
  <si>
    <t>minimum (-75%)</t>
  </si>
  <si>
    <t>Where to find in the Matlab input sheet? (Array Number I#)</t>
  </si>
  <si>
    <t>(Postition I~(#,~))</t>
  </si>
  <si>
    <t>(Postition I~(~,#))</t>
  </si>
  <si>
    <t>should Sensitivty Analysis be performed?</t>
  </si>
  <si>
    <t>For How many variables?</t>
  </si>
  <si>
    <t>Pressure</t>
  </si>
  <si>
    <t>Yield</t>
  </si>
  <si>
    <t>Yes</t>
  </si>
  <si>
    <t>Recycling of Additives &amp; Water</t>
  </si>
  <si>
    <t>Cement price</t>
  </si>
  <si>
    <t>maximum (+200%) or boundary</t>
  </si>
  <si>
    <t>s</t>
  </si>
  <si>
    <t>t/a</t>
  </si>
  <si>
    <t>Cement replacement produced</t>
  </si>
  <si>
    <t>Assumptions for Sensitivity Study</t>
  </si>
  <si>
    <t>interest rate</t>
  </si>
  <si>
    <t>Temperature in °C and stress in MPa</t>
  </si>
  <si>
    <t>Reaction constant</t>
  </si>
  <si>
    <t>particle size</t>
  </si>
  <si>
    <t>pre-heat (1 yes , 0 no)</t>
  </si>
  <si>
    <t>Gerdemann</t>
  </si>
  <si>
    <t xml:space="preserve">Eikeland et al </t>
  </si>
  <si>
    <t>Reaction Constant</t>
  </si>
  <si>
    <t xml:space="preserve">Grain size </t>
  </si>
  <si>
    <t>Which matrix</t>
  </si>
  <si>
    <t>Silica content cement</t>
  </si>
  <si>
    <t>Low scenario</t>
  </si>
  <si>
    <t>Midst scenario</t>
  </si>
  <si>
    <t>High scenario</t>
  </si>
  <si>
    <t>ETS</t>
  </si>
  <si>
    <t>Inert concten cement</t>
  </si>
  <si>
    <t>blending rate</t>
  </si>
  <si>
    <t>Which matrix (direct)</t>
  </si>
  <si>
    <t>Which matrix (indirect)</t>
  </si>
  <si>
    <t>(Postition M~(#,~))</t>
  </si>
  <si>
    <t>(Postition M~(~,#))</t>
  </si>
  <si>
    <t>Electricity grid emission [kgCO2/MWh]</t>
  </si>
  <si>
    <t>[kgCO2/MWh]</t>
  </si>
  <si>
    <t>Natural gas emission [kgCO2/MWh]</t>
  </si>
  <si>
    <t>Transport Emission (Train kgCO2/km*t)</t>
  </si>
  <si>
    <t>kgCO2/km*t</t>
  </si>
  <si>
    <t>Transport Emissions (Truck kgCO2/km*t)</t>
  </si>
  <si>
    <t xml:space="preserve"> Mining Mineral (kWh / tmineral)</t>
  </si>
  <si>
    <t>kWh / tmineral</t>
  </si>
  <si>
    <t>Water kgCO2/ t</t>
  </si>
  <si>
    <t>kgCO2/ t</t>
  </si>
  <si>
    <t>Construction kgCO2/1000tCO2caputred</t>
  </si>
  <si>
    <t>kgCO2/ktCO2caputred</t>
  </si>
  <si>
    <t>Cement production kgCO2/t</t>
  </si>
  <si>
    <t xml:space="preserve"> kgCO2/t</t>
  </si>
  <si>
    <t>NaHCO3 kgCO2/t</t>
  </si>
  <si>
    <t>NaCl kgCO2/t</t>
  </si>
  <si>
    <t>MEA kCO2/t</t>
  </si>
  <si>
    <t>Owners costs</t>
  </si>
  <si>
    <t>Project contingencies</t>
  </si>
  <si>
    <t>Rubin</t>
  </si>
  <si>
    <t>CEMCAP</t>
  </si>
  <si>
    <t xml:space="preserve">Rubin et al </t>
  </si>
  <si>
    <t>construction time</t>
  </si>
  <si>
    <t>learning rate</t>
  </si>
  <si>
    <t>Number of plants to NOAK</t>
  </si>
  <si>
    <t>Distance Mineral</t>
  </si>
  <si>
    <t>Brown et al</t>
  </si>
  <si>
    <t>Transport Ship</t>
  </si>
  <si>
    <t>Transport Emissions (ship kgCO2/km*t</t>
  </si>
  <si>
    <t>classification efficiency</t>
  </si>
  <si>
    <t>Transport distance</t>
  </si>
  <si>
    <t>k_{reaction}</t>
  </si>
  <si>
    <t>X_{S/L}</t>
  </si>
  <si>
    <t xml:space="preserve">No of plants </t>
  </si>
  <si>
    <t>Learning rate</t>
  </si>
  <si>
    <t>Contingencies</t>
  </si>
  <si>
    <t>t_{operating}</t>
  </si>
  <si>
    <t>π_{electricity}</t>
  </si>
  <si>
    <t>π_{natural gas}</t>
  </si>
  <si>
    <t>π_{mineral}</t>
  </si>
  <si>
    <t>π_{NaHCO_{3}}</t>
  </si>
  <si>
    <t>π_{NaCl}</t>
  </si>
  <si>
    <t>π_{MEA}</t>
  </si>
  <si>
    <t>π_{(NH_{4})_{2}SO_{4}}</t>
  </si>
  <si>
    <t>P_{reaction}</t>
  </si>
  <si>
    <t>T_{reaction}</t>
  </si>
  <si>
    <t>π_{cement}</t>
  </si>
  <si>
    <t>π_{ETS}</t>
  </si>
  <si>
    <t>Silica content in SCM_{CCU}</t>
  </si>
  <si>
    <t>Olivine 37µm (X=0.5)</t>
  </si>
  <si>
    <t>Olivine 37µm (X=0.3)</t>
  </si>
  <si>
    <t>Olivine 10 µm (X=0.8)</t>
  </si>
  <si>
    <t>Olivine 10 µm (X=0.6)</t>
  </si>
  <si>
    <t>Serpentine 37µm (X=0.6)</t>
  </si>
  <si>
    <t>CO2Min Process (X=0.42)</t>
  </si>
  <si>
    <t>Please aadd values marked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</si>
</sst>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000"/>
    <numFmt numFmtId="166" formatCode="0.0"/>
  </numFmts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Arial"/>
      <family val="2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808080"/>
      <name val="Arial"/>
      <family val="2"/>
    </font>
    <font>
      <sz val="13"/>
      <color rgb="FF000000"/>
      <name val="FaktSmConPro"/>
    </font>
    <font>
      <u/>
      <sz val="24"/>
      <color theme="1"/>
      <name val="Calibri (Body)_x0000_"/>
    </font>
    <font>
      <sz val="16"/>
      <color theme="1"/>
      <name val="Calibri (Body)_x0000_"/>
    </font>
    <font>
      <i/>
      <sz val="6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3F3F3F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0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13" applyNumberFormat="0" applyFont="0" applyAlignment="0" applyProtection="0"/>
    <xf numFmtId="0" fontId="13" fillId="3" borderId="2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" fillId="0" borderId="0"/>
    <xf numFmtId="9" fontId="12" fillId="0" borderId="0" applyFont="0" applyFill="0" applyBorder="0" applyAlignment="0" applyProtection="0"/>
  </cellStyleXfs>
  <cellXfs count="332">
    <xf numFmtId="0" fontId="0" fillId="0" borderId="0" xfId="0"/>
    <xf numFmtId="0" fontId="4" fillId="3" borderId="3" xfId="2" applyBorder="1"/>
    <xf numFmtId="0" fontId="0" fillId="0" borderId="4" xfId="0" applyBorder="1"/>
    <xf numFmtId="0" fontId="0" fillId="0" borderId="4" xfId="0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/>
    <xf numFmtId="0" fontId="0" fillId="0" borderId="7" xfId="0" applyBorder="1" applyAlignment="1">
      <alignment wrapText="1"/>
    </xf>
    <xf numFmtId="0" fontId="4" fillId="3" borderId="9" xfId="2" applyBorder="1"/>
    <xf numFmtId="0" fontId="4" fillId="3" borderId="1" xfId="2"/>
    <xf numFmtId="0" fontId="0" fillId="0" borderId="4" xfId="0" applyFill="1" applyBorder="1" applyAlignment="1">
      <alignment wrapText="1"/>
    </xf>
    <xf numFmtId="0" fontId="4" fillId="3" borderId="10" xfId="2" applyBorder="1"/>
    <xf numFmtId="2" fontId="0" fillId="0" borderId="0" xfId="0" applyNumberFormat="1"/>
    <xf numFmtId="0" fontId="0" fillId="0" borderId="0" xfId="0" applyFill="1" applyBorder="1"/>
    <xf numFmtId="0" fontId="4" fillId="3" borderId="2" xfId="2" applyBorder="1" applyAlignment="1">
      <alignment wrapText="1"/>
    </xf>
    <xf numFmtId="0" fontId="0" fillId="0" borderId="0" xfId="0" applyAlignment="1">
      <alignment horizontal="right"/>
    </xf>
    <xf numFmtId="0" fontId="3" fillId="2" borderId="0" xfId="1" applyBorder="1"/>
    <xf numFmtId="0" fontId="4" fillId="3" borderId="11" xfId="2" applyBorder="1"/>
    <xf numFmtId="164" fontId="0" fillId="0" borderId="0" xfId="0" applyNumberFormat="1" applyBorder="1"/>
    <xf numFmtId="2" fontId="0" fillId="0" borderId="0" xfId="0" applyNumberFormat="1" applyBorder="1"/>
    <xf numFmtId="0" fontId="9" fillId="4" borderId="0" xfId="3"/>
    <xf numFmtId="0" fontId="4" fillId="3" borderId="2" xfId="2" applyBorder="1"/>
    <xf numFmtId="0" fontId="4" fillId="3" borderId="1" xfId="2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3" borderId="18" xfId="2" applyBorder="1"/>
    <xf numFmtId="0" fontId="4" fillId="3" borderId="19" xfId="2" applyBorder="1"/>
    <xf numFmtId="0" fontId="3" fillId="2" borderId="4" xfId="1" applyBorder="1"/>
    <xf numFmtId="0" fontId="3" fillId="2" borderId="6" xfId="1" applyBorder="1"/>
    <xf numFmtId="0" fontId="3" fillId="2" borderId="5" xfId="1" applyBorder="1"/>
    <xf numFmtId="0" fontId="3" fillId="2" borderId="8" xfId="1" applyBorder="1"/>
    <xf numFmtId="0" fontId="3" fillId="2" borderId="7" xfId="1" applyBorder="1"/>
    <xf numFmtId="0" fontId="4" fillId="3" borderId="1" xfId="2" applyBorder="1" applyAlignment="1">
      <alignment wrapText="1"/>
    </xf>
    <xf numFmtId="0" fontId="4" fillId="3" borderId="0" xfId="2" applyBorder="1"/>
    <xf numFmtId="0" fontId="4" fillId="3" borderId="0" xfId="2" applyBorder="1" applyAlignment="1">
      <alignment wrapText="1"/>
    </xf>
    <xf numFmtId="0" fontId="4" fillId="3" borderId="4" xfId="2" applyBorder="1"/>
    <xf numFmtId="165" fontId="3" fillId="2" borderId="5" xfId="1" applyNumberFormat="1" applyBorder="1"/>
    <xf numFmtId="165" fontId="3" fillId="2" borderId="7" xfId="1" applyNumberFormat="1" applyBorder="1"/>
    <xf numFmtId="0" fontId="4" fillId="3" borderId="1" xfId="2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5" borderId="13" xfId="23" applyFont="1"/>
    <xf numFmtId="2" fontId="0" fillId="0" borderId="0" xfId="0" applyNumberFormat="1" applyAlignment="1">
      <alignment wrapText="1"/>
    </xf>
    <xf numFmtId="0" fontId="0" fillId="0" borderId="0" xfId="0" quotePrefix="1"/>
    <xf numFmtId="0" fontId="3" fillId="2" borderId="0" xfId="1" applyNumberFormat="1" applyBorder="1"/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4" fillId="0" borderId="0" xfId="0" applyFont="1" applyBorder="1" applyAlignment="1">
      <alignment wrapText="1"/>
    </xf>
    <xf numFmtId="0" fontId="4" fillId="3" borderId="16" xfId="2" applyBorder="1" applyAlignment="1">
      <alignment wrapText="1"/>
    </xf>
    <xf numFmtId="0" fontId="4" fillId="3" borderId="23" xfId="2" applyBorder="1" applyAlignment="1">
      <alignment wrapText="1"/>
    </xf>
    <xf numFmtId="0" fontId="4" fillId="3" borderId="17" xfId="2" applyBorder="1"/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14" fillId="0" borderId="6" xfId="0" applyFont="1" applyBorder="1" applyAlignment="1">
      <alignment wrapText="1"/>
    </xf>
    <xf numFmtId="0" fontId="6" fillId="0" borderId="8" xfId="0" applyFont="1" applyBorder="1"/>
    <xf numFmtId="0" fontId="4" fillId="3" borderId="14" xfId="2" applyBorder="1" applyAlignment="1">
      <alignment wrapText="1"/>
    </xf>
    <xf numFmtId="0" fontId="4" fillId="3" borderId="15" xfId="2" applyBorder="1" applyAlignment="1">
      <alignment wrapText="1"/>
    </xf>
    <xf numFmtId="0" fontId="4" fillId="3" borderId="15" xfId="2" applyBorder="1"/>
    <xf numFmtId="0" fontId="4" fillId="3" borderId="28" xfId="2" applyBorder="1" applyAlignment="1">
      <alignment wrapText="1"/>
    </xf>
    <xf numFmtId="0" fontId="17" fillId="0" borderId="0" xfId="0" applyFont="1" applyBorder="1"/>
    <xf numFmtId="0" fontId="17" fillId="0" borderId="6" xfId="0" applyFont="1" applyBorder="1"/>
    <xf numFmtId="0" fontId="0" fillId="0" borderId="5" xfId="0" applyFill="1" applyBorder="1" applyAlignment="1">
      <alignment wrapText="1"/>
    </xf>
    <xf numFmtId="164" fontId="0" fillId="0" borderId="7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3" fillId="3" borderId="27" xfId="24"/>
    <xf numFmtId="0" fontId="3" fillId="2" borderId="0" xfId="1"/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9" fontId="4" fillId="3" borderId="1" xfId="2" applyNumberFormat="1" applyAlignment="1">
      <alignment wrapText="1"/>
    </xf>
    <xf numFmtId="0" fontId="4" fillId="3" borderId="31" xfId="2" applyBorder="1"/>
    <xf numFmtId="0" fontId="18" fillId="0" borderId="0" xfId="25"/>
    <xf numFmtId="0" fontId="0" fillId="0" borderId="0" xfId="0" applyNumberFormat="1"/>
    <xf numFmtId="0" fontId="6" fillId="0" borderId="0" xfId="0" applyFont="1" applyAlignment="1">
      <alignment wrapText="1"/>
    </xf>
    <xf numFmtId="11" fontId="13" fillId="3" borderId="27" xfId="24" applyNumberFormat="1"/>
    <xf numFmtId="11" fontId="0" fillId="0" borderId="0" xfId="0" applyNumberFormat="1"/>
    <xf numFmtId="0" fontId="4" fillId="3" borderId="11" xfId="2" applyBorder="1" applyAlignment="1"/>
    <xf numFmtId="0" fontId="4" fillId="3" borderId="28" xfId="2" applyBorder="1"/>
    <xf numFmtId="0" fontId="4" fillId="3" borderId="32" xfId="2" applyBorder="1"/>
    <xf numFmtId="0" fontId="19" fillId="0" borderId="30" xfId="26" applyBorder="1" applyAlignment="1">
      <alignment vertical="center" wrapText="1"/>
    </xf>
    <xf numFmtId="0" fontId="19" fillId="0" borderId="0" xfId="26" applyBorder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21" fillId="0" borderId="0" xfId="0" applyNumberFormat="1" applyFont="1"/>
    <xf numFmtId="0" fontId="21" fillId="0" borderId="0" xfId="0" applyFont="1"/>
    <xf numFmtId="0" fontId="22" fillId="0" borderId="0" xfId="0" applyFont="1"/>
    <xf numFmtId="0" fontId="4" fillId="3" borderId="14" xfId="2" applyBorder="1"/>
    <xf numFmtId="0" fontId="0" fillId="0" borderId="0" xfId="0" applyBorder="1" applyAlignment="1">
      <alignment horizontal="center"/>
    </xf>
    <xf numFmtId="0" fontId="4" fillId="3" borderId="34" xfId="2" applyBorder="1" applyAlignment="1">
      <alignment wrapText="1"/>
    </xf>
    <xf numFmtId="0" fontId="19" fillId="0" borderId="0" xfId="26" applyBorder="1"/>
    <xf numFmtId="0" fontId="19" fillId="0" borderId="7" xfId="26" applyBorder="1"/>
    <xf numFmtId="0" fontId="19" fillId="0" borderId="6" xfId="26" applyBorder="1" applyAlignment="1">
      <alignment wrapText="1"/>
    </xf>
    <xf numFmtId="0" fontId="4" fillId="3" borderId="1" xfId="2" applyBorder="1" applyAlignment="1">
      <alignment vertical="center"/>
    </xf>
    <xf numFmtId="166" fontId="0" fillId="0" borderId="0" xfId="0" applyNumberFormat="1" applyBorder="1"/>
    <xf numFmtId="0" fontId="19" fillId="0" borderId="8" xfId="26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19" fillId="7" borderId="0" xfId="26" applyFill="1" applyBorder="1" applyAlignment="1">
      <alignment vertical="center" wrapText="1"/>
    </xf>
    <xf numFmtId="0" fontId="0" fillId="7" borderId="0" xfId="0" applyFill="1" applyAlignment="1"/>
    <xf numFmtId="0" fontId="0" fillId="7" borderId="0" xfId="0" applyFill="1"/>
    <xf numFmtId="0" fontId="19" fillId="7" borderId="0" xfId="26" applyFill="1" applyAlignment="1">
      <alignment wrapText="1"/>
    </xf>
    <xf numFmtId="0" fontId="19" fillId="7" borderId="0" xfId="26" applyFill="1"/>
    <xf numFmtId="0" fontId="19" fillId="7" borderId="0" xfId="26" applyFill="1" applyAlignment="1">
      <alignment vertical="center" wrapText="1"/>
    </xf>
    <xf numFmtId="0" fontId="0" fillId="0" borderId="0" xfId="0"/>
    <xf numFmtId="0" fontId="13" fillId="3" borderId="27" xfId="24" applyAlignment="1">
      <alignment wrapText="1"/>
    </xf>
    <xf numFmtId="0" fontId="4" fillId="7" borderId="0" xfId="2" applyFill="1" applyBorder="1" applyAlignment="1">
      <alignment horizontal="center"/>
    </xf>
    <xf numFmtId="0" fontId="4" fillId="7" borderId="0" xfId="2" applyFill="1" applyBorder="1"/>
    <xf numFmtId="0" fontId="4" fillId="7" borderId="0" xfId="2" applyFill="1" applyBorder="1" applyAlignment="1">
      <alignment horizontal="center" vertical="center"/>
    </xf>
    <xf numFmtId="0" fontId="19" fillId="7" borderId="0" xfId="26" applyFill="1" applyBorder="1" applyAlignment="1">
      <alignment horizontal="center" vertical="center" wrapText="1"/>
    </xf>
    <xf numFmtId="0" fontId="19" fillId="7" borderId="6" xfId="26" applyFill="1" applyBorder="1" applyAlignment="1">
      <alignment wrapText="1"/>
    </xf>
    <xf numFmtId="0" fontId="0" fillId="7" borderId="6" xfId="0" applyFill="1" applyBorder="1"/>
    <xf numFmtId="0" fontId="0" fillId="0" borderId="0" xfId="0"/>
    <xf numFmtId="9" fontId="0" fillId="0" borderId="0" xfId="0" applyNumberFormat="1"/>
    <xf numFmtId="0" fontId="19" fillId="0" borderId="0" xfId="26" applyAlignment="1">
      <alignment wrapText="1"/>
    </xf>
    <xf numFmtId="0" fontId="19" fillId="0" borderId="0" xfId="26"/>
    <xf numFmtId="0" fontId="0" fillId="0" borderId="0" xfId="0"/>
    <xf numFmtId="1" fontId="13" fillId="3" borderId="27" xfId="24" applyNumberFormat="1"/>
    <xf numFmtId="0" fontId="9" fillId="4" borderId="9" xfId="3" applyBorder="1"/>
    <xf numFmtId="0" fontId="0" fillId="0" borderId="0" xfId="0"/>
    <xf numFmtId="0" fontId="18" fillId="0" borderId="0" xfId="25" applyAlignment="1">
      <alignment wrapText="1"/>
    </xf>
    <xf numFmtId="0" fontId="9" fillId="5" borderId="13" xfId="23" applyFont="1"/>
    <xf numFmtId="0" fontId="19" fillId="0" borderId="6" xfId="26" applyBorder="1"/>
    <xf numFmtId="0" fontId="0" fillId="0" borderId="0" xfId="0"/>
    <xf numFmtId="0" fontId="19" fillId="0" borderId="0" xfId="26" applyBorder="1" applyAlignment="1">
      <alignment vertical="center" wrapText="1"/>
    </xf>
    <xf numFmtId="0" fontId="19" fillId="0" borderId="7" xfId="26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19" fillId="0" borderId="8" xfId="26" applyBorder="1"/>
    <xf numFmtId="0" fontId="4" fillId="3" borderId="32" xfId="2" applyBorder="1" applyAlignment="1">
      <alignment vertical="center"/>
    </xf>
    <xf numFmtId="0" fontId="4" fillId="3" borderId="1" xfId="2" applyBorder="1" applyAlignment="1"/>
    <xf numFmtId="0" fontId="2" fillId="0" borderId="0" xfId="28"/>
    <xf numFmtId="0" fontId="0" fillId="0" borderId="0" xfId="0"/>
    <xf numFmtId="0" fontId="0" fillId="0" borderId="0" xfId="0"/>
    <xf numFmtId="0" fontId="0" fillId="7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19" fillId="7" borderId="0" xfId="26" applyFill="1" applyBorder="1"/>
    <xf numFmtId="0" fontId="4" fillId="3" borderId="3" xfId="2" applyBorder="1" applyAlignment="1">
      <alignment wrapText="1"/>
    </xf>
    <xf numFmtId="0" fontId="2" fillId="0" borderId="23" xfId="28" applyBorder="1"/>
    <xf numFmtId="0" fontId="2" fillId="0" borderId="17" xfId="28" applyBorder="1"/>
    <xf numFmtId="0" fontId="2" fillId="0" borderId="7" xfId="28" applyBorder="1"/>
    <xf numFmtId="0" fontId="2" fillId="0" borderId="8" xfId="28" applyBorder="1"/>
    <xf numFmtId="0" fontId="0" fillId="0" borderId="0" xfId="0"/>
    <xf numFmtId="0" fontId="0" fillId="0" borderId="0" xfId="0"/>
    <xf numFmtId="0" fontId="6" fillId="5" borderId="13" xfId="23" applyFont="1"/>
    <xf numFmtId="0" fontId="0" fillId="0" borderId="7" xfId="0" applyBorder="1" applyAlignment="1">
      <alignment horizontal="right"/>
    </xf>
    <xf numFmtId="0" fontId="0" fillId="0" borderId="0" xfId="0"/>
    <xf numFmtId="0" fontId="0" fillId="0" borderId="0" xfId="0"/>
    <xf numFmtId="0" fontId="19" fillId="0" borderId="6" xfId="26" applyBorder="1" applyAlignment="1">
      <alignment horizontal="center" wrapText="1"/>
    </xf>
    <xf numFmtId="0" fontId="0" fillId="0" borderId="0" xfId="0"/>
    <xf numFmtId="0" fontId="0" fillId="0" borderId="0" xfId="0"/>
    <xf numFmtId="0" fontId="8" fillId="8" borderId="38" xfId="0" applyFont="1" applyFill="1" applyBorder="1" applyAlignment="1">
      <alignment horizontal="right" vertical="center"/>
    </xf>
    <xf numFmtId="11" fontId="3" fillId="2" borderId="0" xfId="1" applyNumberFormat="1"/>
    <xf numFmtId="0" fontId="4" fillId="3" borderId="24" xfId="2" applyBorder="1" applyAlignment="1">
      <alignment horizontal="center" vertical="center" wrapText="1"/>
    </xf>
    <xf numFmtId="0" fontId="4" fillId="3" borderId="35" xfId="2" applyBorder="1" applyAlignment="1">
      <alignment horizontal="center" vertical="center" wrapText="1"/>
    </xf>
    <xf numFmtId="0" fontId="25" fillId="0" borderId="6" xfId="26" applyFont="1" applyFill="1" applyBorder="1" applyAlignment="1">
      <alignment vertical="center" wrapText="1"/>
    </xf>
    <xf numFmtId="0" fontId="25" fillId="0" borderId="8" xfId="26" applyFont="1" applyFill="1" applyBorder="1" applyAlignment="1">
      <alignment vertical="center" wrapText="1"/>
    </xf>
    <xf numFmtId="0" fontId="25" fillId="0" borderId="6" xfId="26" applyFont="1" applyFill="1" applyBorder="1" applyAlignment="1">
      <alignment horizontal="center" vertical="center" wrapText="1"/>
    </xf>
    <xf numFmtId="0" fontId="25" fillId="0" borderId="6" xfId="26" applyFont="1" applyBorder="1" applyAlignment="1">
      <alignment wrapText="1"/>
    </xf>
    <xf numFmtId="2" fontId="0" fillId="0" borderId="7" xfId="0" applyNumberFormat="1" applyBorder="1"/>
    <xf numFmtId="0" fontId="0" fillId="0" borderId="0" xfId="0"/>
    <xf numFmtId="0" fontId="4" fillId="3" borderId="25" xfId="2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/>
    <xf numFmtId="0" fontId="4" fillId="3" borderId="31" xfId="2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9" fontId="0" fillId="0" borderId="9" xfId="0" applyNumberFormat="1" applyBorder="1"/>
    <xf numFmtId="4" fontId="0" fillId="0" borderId="9" xfId="0" applyNumberFormat="1" applyBorder="1"/>
    <xf numFmtId="0" fontId="0" fillId="7" borderId="9" xfId="0" applyFill="1" applyBorder="1"/>
    <xf numFmtId="0" fontId="4" fillId="3" borderId="41" xfId="2" applyBorder="1"/>
    <xf numFmtId="0" fontId="4" fillId="3" borderId="42" xfId="2" applyBorder="1"/>
    <xf numFmtId="0" fontId="4" fillId="3" borderId="43" xfId="2" applyBorder="1"/>
    <xf numFmtId="0" fontId="19" fillId="0" borderId="40" xfId="26" applyBorder="1" applyAlignment="1">
      <alignment wrapText="1"/>
    </xf>
    <xf numFmtId="0" fontId="19" fillId="0" borderId="40" xfId="26" applyBorder="1"/>
    <xf numFmtId="0" fontId="0" fillId="7" borderId="40" xfId="0" applyNumberFormat="1" applyFill="1" applyBorder="1"/>
    <xf numFmtId="0" fontId="0" fillId="0" borderId="40" xfId="0" applyBorder="1"/>
    <xf numFmtId="0" fontId="19" fillId="0" borderId="40" xfId="26" applyBorder="1" applyAlignment="1">
      <alignment vertical="center" wrapText="1"/>
    </xf>
    <xf numFmtId="0" fontId="0" fillId="0" borderId="45" xfId="0" applyBorder="1"/>
    <xf numFmtId="0" fontId="0" fillId="0" borderId="0" xfId="0"/>
    <xf numFmtId="0" fontId="0" fillId="0" borderId="0" xfId="0"/>
    <xf numFmtId="0" fontId="0" fillId="0" borderId="0" xfId="0"/>
    <xf numFmtId="0" fontId="19" fillId="7" borderId="0" xfId="26" applyFill="1" applyBorder="1" applyAlignment="1">
      <alignment horizontal="center" wrapText="1"/>
    </xf>
    <xf numFmtId="0" fontId="4" fillId="3" borderId="33" xfId="2" applyBorder="1"/>
    <xf numFmtId="0" fontId="4" fillId="3" borderId="48" xfId="2" applyBorder="1" applyAlignment="1">
      <alignment wrapText="1"/>
    </xf>
    <xf numFmtId="0" fontId="4" fillId="3" borderId="48" xfId="2" applyBorder="1"/>
    <xf numFmtId="0" fontId="19" fillId="7" borderId="40" xfId="26" applyFill="1" applyBorder="1" applyAlignment="1">
      <alignment horizontal="center" wrapText="1"/>
    </xf>
    <xf numFmtId="0" fontId="18" fillId="0" borderId="40" xfId="25" applyBorder="1" applyAlignment="1">
      <alignment wrapText="1"/>
    </xf>
    <xf numFmtId="0" fontId="19" fillId="7" borderId="50" xfId="26" applyFill="1" applyBorder="1" applyAlignment="1">
      <alignment horizontal="center" wrapText="1"/>
    </xf>
    <xf numFmtId="0" fontId="4" fillId="3" borderId="9" xfId="2" applyBorder="1" applyAlignment="1">
      <alignment horizontal="left" vertical="center" wrapText="1"/>
    </xf>
    <xf numFmtId="0" fontId="4" fillId="3" borderId="9" xfId="2" applyBorder="1" applyAlignment="1">
      <alignment horizontal="left" vertical="center"/>
    </xf>
    <xf numFmtId="3" fontId="0" fillId="0" borderId="9" xfId="0" applyNumberFormat="1" applyBorder="1"/>
    <xf numFmtId="0" fontId="2" fillId="7" borderId="0" xfId="28" applyFill="1"/>
    <xf numFmtId="0" fontId="4" fillId="3" borderId="9" xfId="2" applyBorder="1" applyAlignment="1">
      <alignment vertical="center"/>
    </xf>
    <xf numFmtId="0" fontId="4" fillId="3" borderId="9" xfId="2" applyBorder="1" applyAlignment="1">
      <alignment vertical="center" wrapText="1"/>
    </xf>
    <xf numFmtId="0" fontId="2" fillId="7" borderId="9" xfId="28" applyFill="1" applyBorder="1"/>
    <xf numFmtId="0" fontId="0" fillId="0" borderId="0" xfId="0"/>
    <xf numFmtId="0" fontId="0" fillId="0" borderId="0" xfId="0"/>
    <xf numFmtId="0" fontId="4" fillId="3" borderId="51" xfId="2" applyBorder="1"/>
    <xf numFmtId="0" fontId="0" fillId="0" borderId="9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4" fillId="3" borderId="9" xfId="2" applyBorder="1" applyAlignment="1">
      <alignment horizontal="center" vertical="center" wrapText="1"/>
    </xf>
    <xf numFmtId="0" fontId="0" fillId="0" borderId="0" xfId="0"/>
    <xf numFmtId="0" fontId="0" fillId="0" borderId="52" xfId="0" applyBorder="1" applyAlignment="1">
      <alignment wrapText="1"/>
    </xf>
    <xf numFmtId="0" fontId="0" fillId="0" borderId="0" xfId="0"/>
    <xf numFmtId="0" fontId="0" fillId="0" borderId="9" xfId="0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9" fillId="7" borderId="46" xfId="26" applyFill="1" applyBorder="1" applyAlignment="1">
      <alignment horizontal="center" wrapText="1"/>
    </xf>
    <xf numFmtId="0" fontId="4" fillId="3" borderId="53" xfId="2" applyBorder="1" applyAlignment="1">
      <alignment wrapText="1"/>
    </xf>
    <xf numFmtId="0" fontId="4" fillId="3" borderId="54" xfId="2" applyBorder="1" applyAlignment="1">
      <alignment wrapText="1"/>
    </xf>
    <xf numFmtId="0" fontId="0" fillId="0" borderId="49" xfId="0" applyBorder="1" applyAlignment="1">
      <alignment horizontal="center" vertical="center"/>
    </xf>
    <xf numFmtId="9" fontId="0" fillId="7" borderId="0" xfId="29" applyFont="1" applyFill="1"/>
    <xf numFmtId="0" fontId="0" fillId="7" borderId="45" xfId="0" applyFill="1" applyBorder="1"/>
    <xf numFmtId="0" fontId="0" fillId="0" borderId="52" xfId="0" applyBorder="1"/>
    <xf numFmtId="0" fontId="0" fillId="7" borderId="52" xfId="0" applyFill="1" applyBorder="1"/>
    <xf numFmtId="0" fontId="4" fillId="3" borderId="44" xfId="2" applyBorder="1"/>
    <xf numFmtId="0" fontId="0" fillId="0" borderId="0" xfId="0"/>
    <xf numFmtId="0" fontId="19" fillId="0" borderId="46" xfId="26" applyBorder="1" applyAlignment="1">
      <alignment wrapText="1"/>
    </xf>
    <xf numFmtId="0" fontId="0" fillId="0" borderId="0" xfId="0"/>
    <xf numFmtId="0" fontId="9" fillId="7" borderId="0" xfId="3" applyFill="1" applyBorder="1"/>
    <xf numFmtId="0" fontId="4" fillId="7" borderId="2" xfId="2" applyFill="1" applyBorder="1"/>
    <xf numFmtId="0" fontId="9" fillId="7" borderId="9" xfId="3" applyFill="1" applyBorder="1"/>
    <xf numFmtId="0" fontId="4" fillId="9" borderId="53" xfId="2" applyFill="1" applyBorder="1" applyAlignment="1">
      <alignment wrapText="1"/>
    </xf>
    <xf numFmtId="0" fontId="0" fillId="9" borderId="9" xfId="0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19" fillId="9" borderId="46" xfId="26" applyFill="1" applyBorder="1" applyAlignment="1">
      <alignment horizontal="center" wrapText="1"/>
    </xf>
    <xf numFmtId="0" fontId="0" fillId="9" borderId="9" xfId="0" applyFill="1" applyBorder="1" applyAlignment="1">
      <alignment horizontal="center" vertical="center" wrapText="1"/>
    </xf>
    <xf numFmtId="0" fontId="4" fillId="9" borderId="54" xfId="2" applyFill="1" applyBorder="1" applyAlignment="1">
      <alignment wrapText="1"/>
    </xf>
    <xf numFmtId="0" fontId="0" fillId="9" borderId="49" xfId="0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4" fillId="3" borderId="40" xfId="2" applyBorder="1" applyAlignment="1">
      <alignment vertical="center" wrapText="1"/>
    </xf>
    <xf numFmtId="0" fontId="9" fillId="4" borderId="40" xfId="3" applyBorder="1" applyAlignment="1">
      <alignment horizontal="right"/>
    </xf>
    <xf numFmtId="0" fontId="4" fillId="3" borderId="40" xfId="2" applyBorder="1" applyAlignment="1">
      <alignment wrapText="1"/>
    </xf>
    <xf numFmtId="0" fontId="9" fillId="4" borderId="40" xfId="3" applyBorder="1"/>
    <xf numFmtId="0" fontId="0" fillId="7" borderId="40" xfId="0" applyFill="1" applyBorder="1"/>
    <xf numFmtId="0" fontId="28" fillId="3" borderId="1" xfId="2" applyFont="1" applyBorder="1"/>
    <xf numFmtId="0" fontId="2" fillId="7" borderId="40" xfId="28" applyFill="1" applyBorder="1"/>
    <xf numFmtId="0" fontId="0" fillId="7" borderId="47" xfId="0" applyFill="1" applyBorder="1"/>
    <xf numFmtId="0" fontId="0" fillId="7" borderId="46" xfId="0" applyFill="1" applyBorder="1"/>
    <xf numFmtId="0" fontId="4" fillId="3" borderId="55" xfId="2" applyBorder="1"/>
    <xf numFmtId="0" fontId="4" fillId="3" borderId="49" xfId="2" applyBorder="1" applyAlignment="1">
      <alignment horizontal="left" vertical="center"/>
    </xf>
    <xf numFmtId="0" fontId="0" fillId="7" borderId="49" xfId="0" applyFill="1" applyBorder="1"/>
    <xf numFmtId="0" fontId="0" fillId="0" borderId="49" xfId="0" applyBorder="1"/>
    <xf numFmtId="0" fontId="0" fillId="0" borderId="49" xfId="0" applyFill="1" applyBorder="1"/>
    <xf numFmtId="0" fontId="0" fillId="0" borderId="50" xfId="0" applyBorder="1"/>
    <xf numFmtId="0" fontId="27" fillId="3" borderId="14" xfId="2" applyFont="1" applyBorder="1" applyAlignment="1">
      <alignment horizontal="center"/>
    </xf>
    <xf numFmtId="0" fontId="27" fillId="3" borderId="15" xfId="2" applyFont="1" applyBorder="1" applyAlignment="1">
      <alignment horizontal="center"/>
    </xf>
    <xf numFmtId="0" fontId="27" fillId="3" borderId="28" xfId="2" applyFont="1" applyBorder="1" applyAlignment="1">
      <alignment horizontal="center"/>
    </xf>
    <xf numFmtId="0" fontId="19" fillId="0" borderId="29" xfId="26" applyBorder="1" applyAlignment="1">
      <alignment horizontal="center" wrapText="1"/>
    </xf>
    <xf numFmtId="0" fontId="24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4" fillId="3" borderId="1" xfId="2" applyBorder="1" applyAlignment="1">
      <alignment horizontal="center"/>
    </xf>
    <xf numFmtId="0" fontId="4" fillId="3" borderId="32" xfId="2" applyBorder="1" applyAlignment="1">
      <alignment horizontal="center"/>
    </xf>
    <xf numFmtId="0" fontId="4" fillId="3" borderId="37" xfId="2" applyBorder="1" applyAlignment="1">
      <alignment horizontal="center"/>
    </xf>
    <xf numFmtId="0" fontId="4" fillId="3" borderId="35" xfId="2" applyBorder="1" applyAlignment="1">
      <alignment horizontal="center"/>
    </xf>
    <xf numFmtId="0" fontId="4" fillId="3" borderId="36" xfId="2" applyBorder="1" applyAlignment="1">
      <alignment horizontal="center"/>
    </xf>
    <xf numFmtId="0" fontId="19" fillId="0" borderId="29" xfId="26" applyBorder="1" applyAlignment="1">
      <alignment horizontal="center" vertical="center" wrapText="1"/>
    </xf>
    <xf numFmtId="0" fontId="19" fillId="0" borderId="0" xfId="26" applyBorder="1" applyAlignment="1">
      <alignment horizontal="center" vertical="center" wrapText="1"/>
    </xf>
    <xf numFmtId="0" fontId="19" fillId="0" borderId="40" xfId="26" applyBorder="1" applyAlignment="1">
      <alignment horizontal="center" wrapText="1"/>
    </xf>
    <xf numFmtId="0" fontId="26" fillId="0" borderId="39" xfId="26" applyFont="1" applyBorder="1" applyAlignment="1">
      <alignment horizontal="center" vertical="center" wrapText="1"/>
    </xf>
    <xf numFmtId="0" fontId="26" fillId="0" borderId="6" xfId="26" applyFont="1" applyBorder="1" applyAlignment="1">
      <alignment horizontal="center" vertical="center" wrapText="1"/>
    </xf>
    <xf numFmtId="0" fontId="4" fillId="3" borderId="11" xfId="2" applyBorder="1" applyAlignment="1">
      <alignment horizontal="center" vertical="center" wrapText="1"/>
    </xf>
    <xf numFmtId="0" fontId="4" fillId="3" borderId="26" xfId="2" applyBorder="1" applyAlignment="1">
      <alignment horizontal="center" vertical="center" wrapText="1"/>
    </xf>
    <xf numFmtId="0" fontId="4" fillId="3" borderId="11" xfId="2" applyBorder="1" applyAlignment="1">
      <alignment horizontal="center" vertical="center"/>
    </xf>
    <xf numFmtId="0" fontId="4" fillId="3" borderId="26" xfId="2" applyBorder="1" applyAlignment="1">
      <alignment horizontal="center" vertical="center"/>
    </xf>
    <xf numFmtId="0" fontId="19" fillId="0" borderId="40" xfId="26" applyBorder="1" applyAlignment="1">
      <alignment horizontal="center" vertical="center" wrapText="1"/>
    </xf>
    <xf numFmtId="0" fontId="19" fillId="0" borderId="46" xfId="26" applyBorder="1" applyAlignment="1">
      <alignment wrapText="1"/>
    </xf>
    <xf numFmtId="0" fontId="19" fillId="0" borderId="47" xfId="26" applyBorder="1" applyAlignment="1">
      <alignment wrapText="1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2" applyBorder="1" applyAlignment="1">
      <alignment horizontal="center" vertical="center"/>
    </xf>
    <xf numFmtId="0" fontId="4" fillId="3" borderId="32" xfId="2" applyBorder="1" applyAlignment="1">
      <alignment horizontal="center" vertical="center"/>
    </xf>
    <xf numFmtId="0" fontId="4" fillId="3" borderId="24" xfId="2" applyBorder="1" applyAlignment="1">
      <alignment horizontal="center" vertical="center" wrapText="1"/>
    </xf>
    <xf numFmtId="0" fontId="4" fillId="3" borderId="35" xfId="2" applyBorder="1" applyAlignment="1">
      <alignment horizontal="center" vertical="center" wrapText="1"/>
    </xf>
    <xf numFmtId="0" fontId="4" fillId="3" borderId="36" xfId="2" applyBorder="1" applyAlignment="1">
      <alignment horizontal="center" vertical="center" wrapText="1"/>
    </xf>
    <xf numFmtId="0" fontId="4" fillId="3" borderId="15" xfId="2" applyBorder="1" applyAlignment="1">
      <alignment horizontal="center"/>
    </xf>
    <xf numFmtId="0" fontId="4" fillId="3" borderId="28" xfId="2" applyBorder="1" applyAlignment="1">
      <alignment horizontal="center"/>
    </xf>
    <xf numFmtId="0" fontId="19" fillId="0" borderId="30" xfId="26" applyBorder="1" applyAlignment="1">
      <alignment horizontal="center" vertical="center" wrapText="1"/>
    </xf>
    <xf numFmtId="0" fontId="19" fillId="0" borderId="30" xfId="26" applyBorder="1" applyAlignment="1">
      <alignment horizontal="center" wrapText="1"/>
    </xf>
    <xf numFmtId="0" fontId="4" fillId="3" borderId="1" xfId="2" applyAlignment="1">
      <alignment horizontal="center"/>
    </xf>
    <xf numFmtId="0" fontId="4" fillId="3" borderId="11" xfId="2" applyBorder="1" applyAlignment="1">
      <alignment horizontal="center"/>
    </xf>
    <xf numFmtId="0" fontId="4" fillId="3" borderId="25" xfId="2" applyBorder="1" applyAlignment="1">
      <alignment horizontal="center"/>
    </xf>
    <xf numFmtId="0" fontId="4" fillId="3" borderId="26" xfId="2" applyBorder="1" applyAlignment="1">
      <alignment horizontal="center"/>
    </xf>
    <xf numFmtId="0" fontId="0" fillId="5" borderId="13" xfId="23" applyFont="1" applyAlignment="1">
      <alignment horizontal="center"/>
    </xf>
    <xf numFmtId="0" fontId="4" fillId="3" borderId="20" xfId="2" applyBorder="1" applyAlignment="1">
      <alignment horizontal="center"/>
    </xf>
    <xf numFmtId="0" fontId="4" fillId="3" borderId="21" xfId="2" applyBorder="1" applyAlignment="1">
      <alignment horizontal="center"/>
    </xf>
    <xf numFmtId="0" fontId="4" fillId="3" borderId="22" xfId="2" applyBorder="1" applyAlignment="1">
      <alignment horizontal="center"/>
    </xf>
    <xf numFmtId="0" fontId="3" fillId="2" borderId="16" xfId="1" applyBorder="1" applyAlignment="1">
      <alignment horizontal="center"/>
    </xf>
    <xf numFmtId="0" fontId="3" fillId="2" borderId="17" xfId="1" applyBorder="1" applyAlignment="1">
      <alignment horizontal="center"/>
    </xf>
    <xf numFmtId="0" fontId="3" fillId="2" borderId="0" xfId="1" applyBorder="1" applyAlignment="1">
      <alignment horizontal="center"/>
    </xf>
    <xf numFmtId="0" fontId="4" fillId="3" borderId="16" xfId="2" applyBorder="1" applyAlignment="1">
      <alignment horizontal="center"/>
    </xf>
    <xf numFmtId="0" fontId="4" fillId="3" borderId="23" xfId="2" applyBorder="1" applyAlignment="1">
      <alignment horizontal="center"/>
    </xf>
    <xf numFmtId="0" fontId="4" fillId="3" borderId="14" xfId="2" applyBorder="1" applyAlignment="1">
      <alignment horizontal="center"/>
    </xf>
    <xf numFmtId="0" fontId="4" fillId="3" borderId="24" xfId="2" applyBorder="1" applyAlignment="1">
      <alignment horizontal="center"/>
    </xf>
    <xf numFmtId="0" fontId="3" fillId="2" borderId="23" xfId="1" applyBorder="1" applyAlignment="1">
      <alignment horizontal="center"/>
    </xf>
    <xf numFmtId="0" fontId="4" fillId="3" borderId="1" xfId="2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3" borderId="11" xfId="2" applyBorder="1" applyAlignment="1">
      <alignment horizontal="center" wrapText="1"/>
    </xf>
    <xf numFmtId="0" fontId="4" fillId="3" borderId="25" xfId="2" applyBorder="1" applyAlignment="1">
      <alignment horizontal="center" wrapText="1"/>
    </xf>
    <xf numFmtId="0" fontId="4" fillId="3" borderId="26" xfId="2" applyBorder="1" applyAlignment="1">
      <alignment horizontal="center" wrapText="1"/>
    </xf>
    <xf numFmtId="0" fontId="4" fillId="3" borderId="44" xfId="2" applyBorder="1" applyAlignment="1">
      <alignment horizontal="center" vertical="center" wrapText="1"/>
    </xf>
    <xf numFmtId="0" fontId="4" fillId="3" borderId="1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2" applyAlignment="1">
      <alignment horizontal="center" vertical="center" wrapText="1"/>
    </xf>
    <xf numFmtId="0" fontId="3" fillId="2" borderId="0" xfId="1" applyAlignment="1">
      <alignment horizontal="center" vertical="center" wrapText="1"/>
    </xf>
    <xf numFmtId="0" fontId="4" fillId="7" borderId="0" xfId="2" applyFill="1" applyBorder="1" applyAlignment="1">
      <alignment horizontal="center" vertical="center" wrapText="1"/>
    </xf>
    <xf numFmtId="0" fontId="4" fillId="7" borderId="0" xfId="2" applyFill="1" applyBorder="1" applyAlignment="1">
      <alignment vertical="center"/>
    </xf>
    <xf numFmtId="0" fontId="0" fillId="7" borderId="0" xfId="0" applyFill="1" applyBorder="1" applyAlignment="1">
      <alignment horizontal="center"/>
    </xf>
    <xf numFmtId="0" fontId="19" fillId="7" borderId="0" xfId="26" applyFill="1" applyBorder="1" applyAlignment="1">
      <alignment wrapText="1"/>
    </xf>
    <xf numFmtId="166" fontId="0" fillId="7" borderId="0" xfId="0" applyNumberFormat="1" applyFill="1" applyBorder="1"/>
    <xf numFmtId="0" fontId="20" fillId="7" borderId="0" xfId="27" applyFill="1" applyBorder="1"/>
  </cellXfs>
  <cellStyles count="30">
    <cellStyle name="Ausgabe" xfId="2" builtinId="21"/>
    <cellStyle name="Berechnung" xfId="24" builtinId="22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Erklärender Text" xfId="26" builtinId="53"/>
    <cellStyle name="Gut" xfId="1" builtinId="26"/>
    <cellStyle name="Link" xfId="4" builtinId="8" hidden="1"/>
    <cellStyle name="Link" xfId="25" builtinId="8"/>
    <cellStyle name="Neutral" xfId="3" builtinId="28"/>
    <cellStyle name="Notiz" xfId="23" builtinId="10"/>
    <cellStyle name="Prozent" xfId="29" builtinId="5"/>
    <cellStyle name="Schlecht" xfId="27" builtinId="27"/>
    <cellStyle name="Standard" xfId="0" builtinId="0"/>
    <cellStyle name="Standard 2" xfId="28" xr:uid="{00000000-0005-0000-0000-00001C000000}"/>
  </cellStyles>
  <dxfs count="0"/>
  <tableStyles count="1" defaultTableStyle="TableStyleMedium9" defaultPivotStyle="PivotStyleMedium7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7335739282589669E-2"/>
          <c:y val="0.29190981335666377"/>
          <c:w val="0.52821872265966752"/>
          <c:h val="0.5874806794983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'Gerdemann et al.'!$B$2</c:f>
              <c:strCache>
                <c:ptCount val="1"/>
                <c:pt idx="0">
                  <c:v>Extent of reaction in % for Olivine (&lt;75µm)</c:v>
                </c:pt>
              </c:strCache>
            </c:strRef>
          </c:tx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0.13747653543307087"/>
                  <c:y val="-0.11550168329464575"/>
                </c:manualLayout>
              </c:layout>
              <c:numFmt formatCode="General" sourceLinked="0"/>
            </c:trendlineLbl>
          </c:trendline>
          <c:xVal>
            <c:numRef>
              <c:f>'Gerdemann et al.'!$A$3:$A$31</c:f>
              <c:numCache>
                <c:formatCode>General</c:formatCode>
                <c:ptCount val="29"/>
                <c:pt idx="1">
                  <c:v>9.8293268409856305E-2</c:v>
                </c:pt>
                <c:pt idx="2">
                  <c:v>0.199175293913056</c:v>
                </c:pt>
                <c:pt idx="3">
                  <c:v>0.30009607175487202</c:v>
                </c:pt>
                <c:pt idx="4">
                  <c:v>0.470722932392384</c:v>
                </c:pt>
                <c:pt idx="5">
                  <c:v>0.36321394327636902</c:v>
                </c:pt>
                <c:pt idx="6">
                  <c:v>0.67783772177999402</c:v>
                </c:pt>
                <c:pt idx="7">
                  <c:v>0.82866182367510799</c:v>
                </c:pt>
                <c:pt idx="8">
                  <c:v>0.99211709097115397</c:v>
                </c:pt>
                <c:pt idx="9">
                  <c:v>1.2554555380485799</c:v>
                </c:pt>
                <c:pt idx="10">
                  <c:v>1.5187276532009499</c:v>
                </c:pt>
                <c:pt idx="11">
                  <c:v>1.7820145647008001</c:v>
                </c:pt>
                <c:pt idx="12">
                  <c:v>2.0258055269367099</c:v>
                </c:pt>
                <c:pt idx="13">
                  <c:v>2.2960643364476301</c:v>
                </c:pt>
                <c:pt idx="14">
                  <c:v>2.5593283488382901</c:v>
                </c:pt>
                <c:pt idx="15">
                  <c:v>2.7850219689403302</c:v>
                </c:pt>
                <c:pt idx="16">
                  <c:v>3.02319912648667</c:v>
                </c:pt>
                <c:pt idx="17">
                  <c:v>3.2985309694164702</c:v>
                </c:pt>
                <c:pt idx="18">
                  <c:v>3.57382053706778</c:v>
                </c:pt>
                <c:pt idx="19">
                  <c:v>3.8491277194184699</c:v>
                </c:pt>
                <c:pt idx="20">
                  <c:v>4.1244172870697797</c:v>
                </c:pt>
                <c:pt idx="21">
                  <c:v>4.3997174235407099</c:v>
                </c:pt>
                <c:pt idx="22">
                  <c:v>4.6750175600116499</c:v>
                </c:pt>
                <c:pt idx="23">
                  <c:v>4.9503141735427096</c:v>
                </c:pt>
                <c:pt idx="24">
                  <c:v>5.2256002182541401</c:v>
                </c:pt>
                <c:pt idx="25">
                  <c:v>5.5009038776649497</c:v>
                </c:pt>
                <c:pt idx="26">
                  <c:v>5.7762040141358897</c:v>
                </c:pt>
                <c:pt idx="27">
                  <c:v>6.0515182423663196</c:v>
                </c:pt>
                <c:pt idx="28">
                  <c:v>6.2014862698719897</c:v>
                </c:pt>
              </c:numCache>
            </c:numRef>
          </c:xVal>
          <c:yVal>
            <c:numRef>
              <c:f>'Gerdemann et al.'!$B$3:$B$31</c:f>
              <c:numCache>
                <c:formatCode>General</c:formatCode>
                <c:ptCount val="29"/>
                <c:pt idx="1">
                  <c:v>8.2221715284844996E-2</c:v>
                </c:pt>
                <c:pt idx="2">
                  <c:v>0.123188750053195</c:v>
                </c:pt>
                <c:pt idx="3">
                  <c:v>0.16591514099473001</c:v>
                </c:pt>
                <c:pt idx="4">
                  <c:v>0.233769485732679</c:v>
                </c:pt>
                <c:pt idx="5">
                  <c:v>0.19454343114761199</c:v>
                </c:pt>
                <c:pt idx="6">
                  <c:v>0.29384759059681298</c:v>
                </c:pt>
                <c:pt idx="7">
                  <c:v>0.332646432019575</c:v>
                </c:pt>
                <c:pt idx="8">
                  <c:v>0.37751556726008401</c:v>
                </c:pt>
                <c:pt idx="9">
                  <c:v>0.41800414149857401</c:v>
                </c:pt>
                <c:pt idx="10">
                  <c:v>0.45548124633932502</c:v>
                </c:pt>
                <c:pt idx="11">
                  <c:v>0.493630105355293</c:v>
                </c:pt>
                <c:pt idx="12">
                  <c:v>0.529261158386932</c:v>
                </c:pt>
                <c:pt idx="13">
                  <c:v>0.56872051189233397</c:v>
                </c:pt>
                <c:pt idx="14">
                  <c:v>0.60582975135141903</c:v>
                </c:pt>
                <c:pt idx="15">
                  <c:v>0.63939702706096302</c:v>
                </c:pt>
                <c:pt idx="16">
                  <c:v>0.67233228735707296</c:v>
                </c:pt>
                <c:pt idx="17">
                  <c:v>0.68993641790855098</c:v>
                </c:pt>
                <c:pt idx="18">
                  <c:v>0.70562125081655402</c:v>
                </c:pt>
                <c:pt idx="19">
                  <c:v>0.72210579107600503</c:v>
                </c:pt>
                <c:pt idx="20">
                  <c:v>0.73779062398400796</c:v>
                </c:pt>
                <c:pt idx="21">
                  <c:v>0.75395528130288003</c:v>
                </c:pt>
                <c:pt idx="22">
                  <c:v>0.77011993862175099</c:v>
                </c:pt>
                <c:pt idx="23">
                  <c:v>0.78612465447033397</c:v>
                </c:pt>
                <c:pt idx="24">
                  <c:v>0.80164954590804705</c:v>
                </c:pt>
                <c:pt idx="25">
                  <c:v>0.81797414469720797</c:v>
                </c:pt>
                <c:pt idx="26">
                  <c:v>0.83413880201608004</c:v>
                </c:pt>
                <c:pt idx="27">
                  <c:v>0.85094322521610999</c:v>
                </c:pt>
                <c:pt idx="28">
                  <c:v>0.85087628935850002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84-9043-ACBC-8ECA4CF2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90112"/>
        <c:axId val="369691648"/>
      </c:scatterChart>
      <c:valAx>
        <c:axId val="36969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691648"/>
        <c:crosses val="autoZero"/>
        <c:crossBetween val="midCat"/>
      </c:valAx>
      <c:valAx>
        <c:axId val="36969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690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35447956429381416"/>
                  <c:y val="-0.31705875930690303"/>
                </c:manualLayout>
              </c:layout>
              <c:numFmt formatCode="General" sourceLinked="0"/>
            </c:trendlineLbl>
          </c:trendline>
          <c:xVal>
            <c:numRef>
              <c:f>'Gerdemann et al.'!$A$64:$A$73</c:f>
              <c:numCache>
                <c:formatCode>General</c:formatCode>
                <c:ptCount val="10"/>
                <c:pt idx="0">
                  <c:v>194.45648613760201</c:v>
                </c:pt>
                <c:pt idx="1">
                  <c:v>201.18297593587999</c:v>
                </c:pt>
                <c:pt idx="2">
                  <c:v>207.26884765813099</c:v>
                </c:pt>
                <c:pt idx="3">
                  <c:v>213.67502841839499</c:v>
                </c:pt>
                <c:pt idx="4">
                  <c:v>216.87811879852799</c:v>
                </c:pt>
                <c:pt idx="5">
                  <c:v>223.924917634818</c:v>
                </c:pt>
                <c:pt idx="6">
                  <c:v>230.971716471109</c:v>
                </c:pt>
                <c:pt idx="7">
                  <c:v>238.01851530740001</c:v>
                </c:pt>
                <c:pt idx="8">
                  <c:v>244.38198819592901</c:v>
                </c:pt>
                <c:pt idx="9">
                  <c:v>248.90902259984901</c:v>
                </c:pt>
              </c:numCache>
            </c:numRef>
          </c:xVal>
          <c:yVal>
            <c:numRef>
              <c:f>'Gerdemann et al.'!$B$64:$B$73</c:f>
              <c:numCache>
                <c:formatCode>General</c:formatCode>
                <c:ptCount val="10"/>
                <c:pt idx="0">
                  <c:v>0.96854455371616699</c:v>
                </c:pt>
                <c:pt idx="1">
                  <c:v>0.904756091691159</c:v>
                </c:pt>
                <c:pt idx="2">
                  <c:v>0.84454186817004595</c:v>
                </c:pt>
                <c:pt idx="3">
                  <c:v>0.77697044345338395</c:v>
                </c:pt>
                <c:pt idx="4">
                  <c:v>0.74151606421861505</c:v>
                </c:pt>
                <c:pt idx="5">
                  <c:v>0.69717811495328896</c:v>
                </c:pt>
                <c:pt idx="6">
                  <c:v>0.64165225824124394</c:v>
                </c:pt>
                <c:pt idx="7">
                  <c:v>0.58426970754799901</c:v>
                </c:pt>
                <c:pt idx="8">
                  <c:v>0.52374925698039299</c:v>
                </c:pt>
                <c:pt idx="9">
                  <c:v>0.52809044526872995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81-4047-B26C-8085D3C98AC8}"/>
            </c:ext>
          </c:extLst>
        </c:ser>
        <c:ser>
          <c:idx val="0"/>
          <c:order val="1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'Gerdemann et al.'!$A$36:$A$61</c:f>
              <c:numCache>
                <c:formatCode>General</c:formatCode>
                <c:ptCount val="26"/>
                <c:pt idx="0">
                  <c:v>24.948943221008399</c:v>
                </c:pt>
                <c:pt idx="1">
                  <c:v>31.739494826888599</c:v>
                </c:pt>
                <c:pt idx="2">
                  <c:v>38.7862936631794</c:v>
                </c:pt>
                <c:pt idx="3">
                  <c:v>45.833092499470098</c:v>
                </c:pt>
                <c:pt idx="4">
                  <c:v>52.879891335760902</c:v>
                </c:pt>
                <c:pt idx="5">
                  <c:v>59.9266901720517</c:v>
                </c:pt>
                <c:pt idx="6">
                  <c:v>66.375578804051102</c:v>
                </c:pt>
                <c:pt idx="7">
                  <c:v>74.020287844633202</c:v>
                </c:pt>
                <c:pt idx="8">
                  <c:v>81.067086680924007</c:v>
                </c:pt>
                <c:pt idx="9">
                  <c:v>88.113885517214797</c:v>
                </c:pt>
                <c:pt idx="10">
                  <c:v>94.904437123094993</c:v>
                </c:pt>
                <c:pt idx="11">
                  <c:v>102.20748318979599</c:v>
                </c:pt>
                <c:pt idx="12">
                  <c:v>109.254282026087</c:v>
                </c:pt>
                <c:pt idx="13">
                  <c:v>116.30108086237701</c:v>
                </c:pt>
                <c:pt idx="14">
                  <c:v>123.080955500324</c:v>
                </c:pt>
                <c:pt idx="15">
                  <c:v>127.298357834165</c:v>
                </c:pt>
                <c:pt idx="16">
                  <c:v>131.996223725025</c:v>
                </c:pt>
                <c:pt idx="17">
                  <c:v>136.16024121919699</c:v>
                </c:pt>
                <c:pt idx="18">
                  <c:v>139.28325433982599</c:v>
                </c:pt>
                <c:pt idx="19">
                  <c:v>143.84765813151401</c:v>
                </c:pt>
                <c:pt idx="20">
                  <c:v>147.37105754965901</c:v>
                </c:pt>
                <c:pt idx="21">
                  <c:v>152.58335916823799</c:v>
                </c:pt>
                <c:pt idx="22">
                  <c:v>156.44648029336699</c:v>
                </c:pt>
                <c:pt idx="23">
                  <c:v>161.46465522224099</c:v>
                </c:pt>
                <c:pt idx="24">
                  <c:v>166.98998612796899</c:v>
                </c:pt>
                <c:pt idx="25">
                  <c:v>173.31608962873</c:v>
                </c:pt>
              </c:numCache>
            </c:numRef>
          </c:xVal>
          <c:yVal>
            <c:numRef>
              <c:f>'Gerdemann et al.'!$B$36:$B$61</c:f>
              <c:numCache>
                <c:formatCode>General</c:formatCode>
                <c:ptCount val="26"/>
                <c:pt idx="0">
                  <c:v>-5.9225363107186998E-3</c:v>
                </c:pt>
                <c:pt idx="1">
                  <c:v>3.3800340035288201E-3</c:v>
                </c:pt>
                <c:pt idx="2">
                  <c:v>4.6159647167529601E-3</c:v>
                </c:pt>
                <c:pt idx="3">
                  <c:v>9.3000413950636799E-3</c:v>
                </c:pt>
                <c:pt idx="4">
                  <c:v>8.9445201244018301E-3</c:v>
                </c:pt>
                <c:pt idx="5">
                  <c:v>1.23023868161407E-2</c:v>
                </c:pt>
                <c:pt idx="6">
                  <c:v>1.1247213612197399E-2</c:v>
                </c:pt>
                <c:pt idx="7">
                  <c:v>2.14052981754475E-2</c:v>
                </c:pt>
                <c:pt idx="8">
                  <c:v>2.9537520818844601E-2</c:v>
                </c:pt>
                <c:pt idx="9">
                  <c:v>4.0587405432699501E-2</c:v>
                </c:pt>
                <c:pt idx="10">
                  <c:v>5.4421880865504299E-2</c:v>
                </c:pt>
                <c:pt idx="11">
                  <c:v>9.7539973107513694E-2</c:v>
                </c:pt>
                <c:pt idx="12">
                  <c:v>0.13585673504528201</c:v>
                </c:pt>
                <c:pt idx="13">
                  <c:v>0.18457098327777399</c:v>
                </c:pt>
                <c:pt idx="14">
                  <c:v>0.236781372536012</c:v>
                </c:pt>
                <c:pt idx="15">
                  <c:v>0.28214966540719999</c:v>
                </c:pt>
                <c:pt idx="16">
                  <c:v>0.36344362050123202</c:v>
                </c:pt>
                <c:pt idx="17">
                  <c:v>0.42605053788057801</c:v>
                </c:pt>
                <c:pt idx="18">
                  <c:v>0.48926561293795101</c:v>
                </c:pt>
                <c:pt idx="19">
                  <c:v>0.55011940868618603</c:v>
                </c:pt>
                <c:pt idx="20">
                  <c:v>0.61513813099072001</c:v>
                </c:pt>
                <c:pt idx="21">
                  <c:v>0.68834445593091798</c:v>
                </c:pt>
                <c:pt idx="22">
                  <c:v>0.72978323306759596</c:v>
                </c:pt>
                <c:pt idx="23">
                  <c:v>0.80997201450515699</c:v>
                </c:pt>
                <c:pt idx="24">
                  <c:v>0.877476362627713</c:v>
                </c:pt>
                <c:pt idx="25">
                  <c:v>0.94025766982536596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81-4047-B26C-8085D3C98AC8}"/>
            </c:ext>
          </c:extLst>
        </c:ser>
        <c:ser>
          <c:idx val="2"/>
          <c:order val="2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8.766106062300022E-2"/>
                  <c:y val="-9.3979997526259906E-2"/>
                </c:manualLayout>
              </c:layout>
              <c:numFmt formatCode="General" sourceLinked="0"/>
            </c:trendlineLbl>
          </c:trendline>
          <c:xVal>
            <c:numRef>
              <c:f>'Gerdemann et al.'!$A$62:$A$63</c:f>
              <c:numCache>
                <c:formatCode>General</c:formatCode>
                <c:ptCount val="2"/>
                <c:pt idx="0">
                  <c:v>180.362888465021</c:v>
                </c:pt>
                <c:pt idx="1">
                  <c:v>186.81177709702001</c:v>
                </c:pt>
              </c:numCache>
            </c:numRef>
          </c:xVal>
          <c:yVal>
            <c:numRef>
              <c:f>'Gerdemann et al.'!$B$62:$B$63</c:f>
              <c:numCache>
                <c:formatCode>General</c:formatCode>
                <c:ptCount val="2"/>
                <c:pt idx="0">
                  <c:v>0.99003288604711404</c:v>
                </c:pt>
                <c:pt idx="1">
                  <c:v>0.99237281040879499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81-4047-B26C-8085D3C98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46304"/>
        <c:axId val="369747840"/>
      </c:scatterChart>
      <c:valAx>
        <c:axId val="36974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747840"/>
        <c:crosses val="autoZero"/>
        <c:crossBetween val="midCat"/>
      </c:valAx>
      <c:valAx>
        <c:axId val="36974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746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'Gerdemann et al.'!$B$80</c:f>
              <c:strCache>
                <c:ptCount val="1"/>
                <c:pt idx="0">
                  <c:v>Rx/RxMax Wollastonite(angepasst)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1.3713910761154855E-3"/>
                  <c:y val="4.792760279965004E-2"/>
                </c:manualLayout>
              </c:layout>
              <c:numFmt formatCode="General" sourceLinked="0"/>
            </c:trendlineLbl>
          </c:trendline>
          <c:xVal>
            <c:numRef>
              <c:f>'Gerdemann et al.'!$A$96:$A$115</c:f>
              <c:numCache>
                <c:formatCode>General</c:formatCode>
                <c:ptCount val="20"/>
                <c:pt idx="0">
                  <c:v>100.637968903531</c:v>
                </c:pt>
                <c:pt idx="1">
                  <c:v>107.973045874034</c:v>
                </c:pt>
                <c:pt idx="2">
                  <c:v>115.019844710325</c:v>
                </c:pt>
                <c:pt idx="3">
                  <c:v>122.066643546615</c:v>
                </c:pt>
                <c:pt idx="4">
                  <c:v>129.11344238290599</c:v>
                </c:pt>
                <c:pt idx="5">
                  <c:v>136.16024121919699</c:v>
                </c:pt>
                <c:pt idx="6">
                  <c:v>143.20704005548799</c:v>
                </c:pt>
                <c:pt idx="7">
                  <c:v>149.38442864574299</c:v>
                </c:pt>
                <c:pt idx="8">
                  <c:v>163.70681848833399</c:v>
                </c:pt>
                <c:pt idx="9">
                  <c:v>170.753617324624</c:v>
                </c:pt>
                <c:pt idx="10">
                  <c:v>177.15979808488899</c:v>
                </c:pt>
                <c:pt idx="11">
                  <c:v>195.005587345625</c:v>
                </c:pt>
                <c:pt idx="12">
                  <c:v>201.50328497389299</c:v>
                </c:pt>
                <c:pt idx="13">
                  <c:v>208.55008381018399</c:v>
                </c:pt>
                <c:pt idx="14">
                  <c:v>215.596882646475</c:v>
                </c:pt>
                <c:pt idx="15">
                  <c:v>222.643681482765</c:v>
                </c:pt>
                <c:pt idx="16">
                  <c:v>229.69048031905601</c:v>
                </c:pt>
                <c:pt idx="17">
                  <c:v>236.73727915534701</c:v>
                </c:pt>
                <c:pt idx="18">
                  <c:v>244.33317919966001</c:v>
                </c:pt>
                <c:pt idx="19">
                  <c:v>250.83087682792899</c:v>
                </c:pt>
              </c:numCache>
            </c:numRef>
          </c:xVal>
          <c:yVal>
            <c:numRef>
              <c:f>'Gerdemann et al.'!$B$96:$B$115</c:f>
              <c:numCache>
                <c:formatCode>General</c:formatCode>
                <c:ptCount val="20"/>
                <c:pt idx="0">
                  <c:v>0.99109405921653804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0.98819700319710801</c:v>
                </c:pt>
                <c:pt idx="12">
                  <c:v>0.98047857832106999</c:v>
                </c:pt>
                <c:pt idx="13">
                  <c:v>0.98197975103160795</c:v>
                </c:pt>
                <c:pt idx="14">
                  <c:v>0.97525842182540201</c:v>
                </c:pt>
                <c:pt idx="15">
                  <c:v>0.967210882632625</c:v>
                </c:pt>
                <c:pt idx="16">
                  <c:v>0.95730664945864696</c:v>
                </c:pt>
                <c:pt idx="17">
                  <c:v>0.94660669029272504</c:v>
                </c:pt>
                <c:pt idx="18">
                  <c:v>0.92858659559513601</c:v>
                </c:pt>
                <c:pt idx="19">
                  <c:v>0.91539281806025197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12-9F49-BC4D-A1553B653486}"/>
            </c:ext>
          </c:extLst>
        </c:ser>
        <c:ser>
          <c:idx val="0"/>
          <c:order val="1"/>
          <c:tx>
            <c:strRef>
              <c:f>'Gerdemann et al.'!$B$80</c:f>
              <c:strCache>
                <c:ptCount val="1"/>
                <c:pt idx="0">
                  <c:v>Rx/RxMax Wollastonite(angepasst)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0.1431220472440945"/>
                  <c:y val="0.35112022455526393"/>
                </c:manualLayout>
              </c:layout>
              <c:numFmt formatCode="General" sourceLinked="0"/>
            </c:trendlineLbl>
          </c:trendline>
          <c:xVal>
            <c:numRef>
              <c:f>'Gerdemann et al.'!$A$82:$A$96</c:f>
              <c:numCache>
                <c:formatCode>General</c:formatCode>
                <c:ptCount val="15"/>
                <c:pt idx="0">
                  <c:v>27.895786370730001</c:v>
                </c:pt>
                <c:pt idx="1">
                  <c:v>33.020730978941401</c:v>
                </c:pt>
                <c:pt idx="2">
                  <c:v>38.145675587152901</c:v>
                </c:pt>
                <c:pt idx="3">
                  <c:v>43.270620195364401</c:v>
                </c:pt>
                <c:pt idx="4">
                  <c:v>49.1887109929419</c:v>
                </c:pt>
                <c:pt idx="5">
                  <c:v>54.1611274878138</c:v>
                </c:pt>
                <c:pt idx="6">
                  <c:v>58.965763058012001</c:v>
                </c:pt>
                <c:pt idx="7">
                  <c:v>63.770398628210302</c:v>
                </c:pt>
                <c:pt idx="8">
                  <c:v>68.254725160395296</c:v>
                </c:pt>
                <c:pt idx="9">
                  <c:v>74.020287844633202</c:v>
                </c:pt>
                <c:pt idx="10">
                  <c:v>78.870681848833399</c:v>
                </c:pt>
                <c:pt idx="11">
                  <c:v>82.668631870990097</c:v>
                </c:pt>
                <c:pt idx="12">
                  <c:v>87.473267441188398</c:v>
                </c:pt>
                <c:pt idx="13">
                  <c:v>94.428549409475295</c:v>
                </c:pt>
                <c:pt idx="14">
                  <c:v>100.637968903531</c:v>
                </c:pt>
              </c:numCache>
            </c:numRef>
          </c:xVal>
          <c:yVal>
            <c:numRef>
              <c:f>'Gerdemann et al.'!$B$82:$B$96</c:f>
              <c:numCache>
                <c:formatCode>General</c:formatCode>
                <c:ptCount val="15"/>
                <c:pt idx="0">
                  <c:v>0.140692010853708</c:v>
                </c:pt>
                <c:pt idx="1">
                  <c:v>0.18120285291451399</c:v>
                </c:pt>
                <c:pt idx="2">
                  <c:v>0.26447291529236999</c:v>
                </c:pt>
                <c:pt idx="3">
                  <c:v>0.32012070764633899</c:v>
                </c:pt>
                <c:pt idx="4">
                  <c:v>0.38984647792559601</c:v>
                </c:pt>
                <c:pt idx="5">
                  <c:v>0.42700843614453798</c:v>
                </c:pt>
                <c:pt idx="6">
                  <c:v>0.51393373189709202</c:v>
                </c:pt>
                <c:pt idx="7">
                  <c:v>0.57952999240370495</c:v>
                </c:pt>
                <c:pt idx="8">
                  <c:v>0.64074344333664202</c:v>
                </c:pt>
                <c:pt idx="9">
                  <c:v>0.71854083971673099</c:v>
                </c:pt>
                <c:pt idx="10">
                  <c:v>0.76606690292725699</c:v>
                </c:pt>
                <c:pt idx="11">
                  <c:v>0.850838847486033</c:v>
                </c:pt>
                <c:pt idx="12">
                  <c:v>0.914155395127634</c:v>
                </c:pt>
                <c:pt idx="13">
                  <c:v>0.97573084249753295</c:v>
                </c:pt>
                <c:pt idx="14">
                  <c:v>0.99109405921653804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12-9F49-BC4D-A1553B65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91744"/>
        <c:axId val="369793280"/>
      </c:scatterChart>
      <c:valAx>
        <c:axId val="36979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793280"/>
        <c:crosses val="autoZero"/>
        <c:crossBetween val="midCat"/>
      </c:valAx>
      <c:valAx>
        <c:axId val="36979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791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1792</c:v>
              </c:pt>
              <c:pt idx="1">
                <c:v>890.4</c:v>
              </c:pt>
              <c:pt idx="2">
                <c:v>547.1</c:v>
              </c:pt>
              <c:pt idx="3">
                <c:v>377.9</c:v>
              </c:pt>
              <c:pt idx="4">
                <c:v>12.27</c:v>
              </c:pt>
              <c:pt idx="5">
                <c:v>14.18</c:v>
              </c:pt>
              <c:pt idx="6">
                <c:v>16.18</c:v>
              </c:pt>
              <c:pt idx="7">
                <c:v>18.22</c:v>
              </c:pt>
              <c:pt idx="8">
                <c:v>20.29</c:v>
              </c:pt>
              <c:pt idx="9">
                <c:v>22.37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725-4308-8E8E-57B4E4B59E71}"/>
            </c:ext>
          </c:extLst>
        </c:ser>
        <c:ser>
          <c:idx val="1"/>
          <c:order val="1"/>
          <c:tx>
            <c:v>5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1791</c:v>
              </c:pt>
              <c:pt idx="1">
                <c:v>890.4</c:v>
              </c:pt>
              <c:pt idx="2">
                <c:v>547.1</c:v>
              </c:pt>
              <c:pt idx="3">
                <c:v>378</c:v>
              </c:pt>
              <c:pt idx="4">
                <c:v>282</c:v>
              </c:pt>
              <c:pt idx="5">
                <c:v>182.5</c:v>
              </c:pt>
              <c:pt idx="6">
                <c:v>16.05</c:v>
              </c:pt>
              <c:pt idx="7">
                <c:v>18.14</c:v>
              </c:pt>
              <c:pt idx="8">
                <c:v>20.239999999999998</c:v>
              </c:pt>
              <c:pt idx="9">
                <c:v>22.34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725-4308-8E8E-57B4E4B59E71}"/>
            </c:ext>
          </c:extLst>
        </c:ser>
        <c:ser>
          <c:idx val="4"/>
          <c:order val="2"/>
          <c:tx>
            <c:v>10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1790</c:v>
              </c:pt>
              <c:pt idx="1">
                <c:v>890.2</c:v>
              </c:pt>
              <c:pt idx="2">
                <c:v>547.20000000000005</c:v>
              </c:pt>
              <c:pt idx="3">
                <c:v>378.1</c:v>
              </c:pt>
              <c:pt idx="4">
                <c:v>282.10000000000002</c:v>
              </c:pt>
              <c:pt idx="5">
                <c:v>182.7</c:v>
              </c:pt>
              <c:pt idx="6">
                <c:v>15.89</c:v>
              </c:pt>
              <c:pt idx="7">
                <c:v>18.04</c:v>
              </c:pt>
              <c:pt idx="8">
                <c:v>20.18</c:v>
              </c:pt>
              <c:pt idx="9">
                <c:v>22.31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725-4308-8E8E-57B4E4B59E71}"/>
            </c:ext>
          </c:extLst>
        </c:ser>
        <c:ser>
          <c:idx val="2"/>
          <c:order val="3"/>
          <c:tx>
            <c:v>20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1788</c:v>
              </c:pt>
              <c:pt idx="1">
                <c:v>890</c:v>
              </c:pt>
              <c:pt idx="2">
                <c:v>547.4</c:v>
              </c:pt>
              <c:pt idx="3">
                <c:v>378.4</c:v>
              </c:pt>
              <c:pt idx="4">
                <c:v>282.39999999999998</c:v>
              </c:pt>
              <c:pt idx="5">
                <c:v>182.9</c:v>
              </c:pt>
              <c:pt idx="6">
                <c:v>134.5</c:v>
              </c:pt>
              <c:pt idx="7">
                <c:v>17.850000000000001</c:v>
              </c:pt>
              <c:pt idx="8">
                <c:v>20.07</c:v>
              </c:pt>
              <c:pt idx="9">
                <c:v>22.25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725-4308-8E8E-57B4E4B59E71}"/>
            </c:ext>
          </c:extLst>
        </c:ser>
        <c:ser>
          <c:idx val="3"/>
          <c:order val="4"/>
          <c:tx>
            <c:v>30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1785</c:v>
              </c:pt>
              <c:pt idx="1">
                <c:v>889.8</c:v>
              </c:pt>
              <c:pt idx="2">
                <c:v>547.6</c:v>
              </c:pt>
              <c:pt idx="3">
                <c:v>378.7</c:v>
              </c:pt>
              <c:pt idx="4">
                <c:v>282.7</c:v>
              </c:pt>
              <c:pt idx="5">
                <c:v>183.2</c:v>
              </c:pt>
              <c:pt idx="6">
                <c:v>134.69999999999999</c:v>
              </c:pt>
              <c:pt idx="7">
                <c:v>17.670000000000002</c:v>
              </c:pt>
              <c:pt idx="8">
                <c:v>19.97</c:v>
              </c:pt>
              <c:pt idx="9">
                <c:v>22.2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725-4308-8E8E-57B4E4B59E71}"/>
            </c:ext>
          </c:extLst>
        </c:ser>
        <c:ser>
          <c:idx val="5"/>
          <c:order val="5"/>
          <c:tx>
            <c:v>40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1783</c:v>
              </c:pt>
              <c:pt idx="1">
                <c:v>889.6</c:v>
              </c:pt>
              <c:pt idx="2">
                <c:v>547.79999999999995</c:v>
              </c:pt>
              <c:pt idx="3">
                <c:v>378.9</c:v>
              </c:pt>
              <c:pt idx="4">
                <c:v>282.89999999999998</c:v>
              </c:pt>
              <c:pt idx="5">
                <c:v>183.4</c:v>
              </c:pt>
              <c:pt idx="6">
                <c:v>135</c:v>
              </c:pt>
              <c:pt idx="7">
                <c:v>106.2</c:v>
              </c:pt>
              <c:pt idx="8">
                <c:v>19.88</c:v>
              </c:pt>
              <c:pt idx="9">
                <c:v>22.16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725-4308-8E8E-57B4E4B59E71}"/>
            </c:ext>
          </c:extLst>
        </c:ser>
        <c:ser>
          <c:idx val="6"/>
          <c:order val="6"/>
          <c:tx>
            <c:v>50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1780</c:v>
              </c:pt>
              <c:pt idx="1">
                <c:v>889.4</c:v>
              </c:pt>
              <c:pt idx="2">
                <c:v>547.9</c:v>
              </c:pt>
              <c:pt idx="3">
                <c:v>379.2</c:v>
              </c:pt>
              <c:pt idx="4">
                <c:v>283.2</c:v>
              </c:pt>
              <c:pt idx="5">
                <c:v>183.7</c:v>
              </c:pt>
              <c:pt idx="6">
                <c:v>135.19999999999999</c:v>
              </c:pt>
              <c:pt idx="7">
                <c:v>106.5</c:v>
              </c:pt>
              <c:pt idx="8">
                <c:v>19.8</c:v>
              </c:pt>
              <c:pt idx="9">
                <c:v>22.12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725-4308-8E8E-57B4E4B59E71}"/>
            </c:ext>
          </c:extLst>
        </c:ser>
        <c:ser>
          <c:idx val="7"/>
          <c:order val="7"/>
          <c:tx>
            <c:v>60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1778</c:v>
              </c:pt>
              <c:pt idx="1">
                <c:v>889.1</c:v>
              </c:pt>
              <c:pt idx="2">
                <c:v>548.1</c:v>
              </c:pt>
              <c:pt idx="3">
                <c:v>379.4</c:v>
              </c:pt>
              <c:pt idx="4">
                <c:v>283.5</c:v>
              </c:pt>
              <c:pt idx="5">
                <c:v>183.9</c:v>
              </c:pt>
              <c:pt idx="6">
                <c:v>135.5</c:v>
              </c:pt>
              <c:pt idx="7">
                <c:v>106.7</c:v>
              </c:pt>
              <c:pt idx="8">
                <c:v>19.73</c:v>
              </c:pt>
              <c:pt idx="9">
                <c:v>22.1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725-4308-8E8E-57B4E4B59E71}"/>
            </c:ext>
          </c:extLst>
        </c:ser>
        <c:ser>
          <c:idx val="8"/>
          <c:order val="8"/>
          <c:tx>
            <c:v>70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1776</c:v>
              </c:pt>
              <c:pt idx="1">
                <c:v>888.9</c:v>
              </c:pt>
              <c:pt idx="2">
                <c:v>548.29999999999995</c:v>
              </c:pt>
              <c:pt idx="3">
                <c:v>379.7</c:v>
              </c:pt>
              <c:pt idx="4">
                <c:v>283.7</c:v>
              </c:pt>
              <c:pt idx="5">
                <c:v>184.2</c:v>
              </c:pt>
              <c:pt idx="6">
                <c:v>135.69999999999999</c:v>
              </c:pt>
              <c:pt idx="7">
                <c:v>107</c:v>
              </c:pt>
              <c:pt idx="8">
                <c:v>19.68</c:v>
              </c:pt>
              <c:pt idx="9">
                <c:v>22.09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725-4308-8E8E-57B4E4B59E71}"/>
            </c:ext>
          </c:extLst>
        </c:ser>
        <c:ser>
          <c:idx val="9"/>
          <c:order val="9"/>
          <c:tx>
            <c:v>80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1773</c:v>
              </c:pt>
              <c:pt idx="1">
                <c:v>888.7</c:v>
              </c:pt>
              <c:pt idx="2">
                <c:v>548.5</c:v>
              </c:pt>
              <c:pt idx="3">
                <c:v>380</c:v>
              </c:pt>
              <c:pt idx="4">
                <c:v>284</c:v>
              </c:pt>
              <c:pt idx="5">
                <c:v>184.4</c:v>
              </c:pt>
              <c:pt idx="6">
                <c:v>136</c:v>
              </c:pt>
              <c:pt idx="7">
                <c:v>107.3</c:v>
              </c:pt>
              <c:pt idx="8">
                <c:v>19.649999999999999</c:v>
              </c:pt>
              <c:pt idx="9">
                <c:v>22.09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0725-4308-8E8E-57B4E4B59E71}"/>
            </c:ext>
          </c:extLst>
        </c:ser>
        <c:ser>
          <c:idx val="10"/>
          <c:order val="10"/>
          <c:tx>
            <c:v>90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1771</c:v>
              </c:pt>
              <c:pt idx="1">
                <c:v>888.6</c:v>
              </c:pt>
              <c:pt idx="2">
                <c:v>548.70000000000005</c:v>
              </c:pt>
              <c:pt idx="3">
                <c:v>380.2</c:v>
              </c:pt>
              <c:pt idx="4">
                <c:v>284.3</c:v>
              </c:pt>
              <c:pt idx="5">
                <c:v>184.7</c:v>
              </c:pt>
              <c:pt idx="6">
                <c:v>136.19999999999999</c:v>
              </c:pt>
              <c:pt idx="7">
                <c:v>107.6</c:v>
              </c:pt>
              <c:pt idx="8">
                <c:v>86.12</c:v>
              </c:pt>
              <c:pt idx="9">
                <c:v>22.11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0725-4308-8E8E-57B4E4B59E71}"/>
            </c:ext>
          </c:extLst>
        </c:ser>
        <c:ser>
          <c:idx val="11"/>
          <c:order val="11"/>
          <c:tx>
            <c:v>100</c:v>
          </c:tx>
          <c:trendline>
            <c:trendlineType val="power"/>
            <c:dispRSqr val="0"/>
            <c:dispEq val="1"/>
            <c:trendlineLbl>
              <c:layout>
                <c:manualLayout>
                  <c:x val="3.3303298427902694E-2"/>
                  <c:y val="-0.43855596213585546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5.0826270839482941E-2"/>
                  <c:y val="-0.18864473697156611"/>
                </c:manualLayout>
              </c:layout>
              <c:numFmt formatCode="General" sourceLinked="0"/>
            </c:trendlineLbl>
          </c:trendline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1769</c:v>
              </c:pt>
              <c:pt idx="1">
                <c:v>888.4</c:v>
              </c:pt>
              <c:pt idx="2">
                <c:v>548.9</c:v>
              </c:pt>
              <c:pt idx="3">
                <c:v>380.5</c:v>
              </c:pt>
              <c:pt idx="4">
                <c:v>284.5</c:v>
              </c:pt>
              <c:pt idx="5">
                <c:v>184.9</c:v>
              </c:pt>
              <c:pt idx="6">
                <c:v>136.5</c:v>
              </c:pt>
              <c:pt idx="7">
                <c:v>107.8</c:v>
              </c:pt>
              <c:pt idx="8">
                <c:v>86.52</c:v>
              </c:pt>
              <c:pt idx="9">
                <c:v>22.15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725-4308-8E8E-57B4E4B59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75168"/>
        <c:axId val="438377088"/>
      </c:scatterChart>
      <c:valAx>
        <c:axId val="43837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  <a:r>
                  <a:rPr lang="en-US" baseline="0"/>
                  <a:t> in °C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377088"/>
        <c:crosses val="autoZero"/>
        <c:crossBetween val="midCat"/>
      </c:valAx>
      <c:valAx>
        <c:axId val="438377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dynamic</a:t>
                </a:r>
                <a:r>
                  <a:rPr lang="en-US" baseline="0"/>
                  <a:t> viscosity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375168"/>
        <c:crosses val="autoZero"/>
        <c:crossBetween val="midCat"/>
      </c:valAx>
    </c:plotArea>
    <c:legend>
      <c:legendPos val="r"/>
      <c:legendEntry>
        <c:idx val="12"/>
        <c:delete val="1"/>
      </c:legendEntry>
      <c:legendEntry>
        <c:idx val="13"/>
        <c:delete val="1"/>
      </c:legendEntry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 ETS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ETS!$C$1</c:f>
              <c:strCache>
                <c:ptCount val="1"/>
                <c:pt idx="0">
                  <c:v>CLOSING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ETS!$A$2:$A$204</c:f>
              <c:numCache>
                <c:formatCode>General</c:formatCode>
                <c:ptCount val="203"/>
                <c:pt idx="0">
                  <c:v>203</c:v>
                </c:pt>
                <c:pt idx="1">
                  <c:v>202</c:v>
                </c:pt>
                <c:pt idx="2">
                  <c:v>201</c:v>
                </c:pt>
                <c:pt idx="3">
                  <c:v>200</c:v>
                </c:pt>
                <c:pt idx="4">
                  <c:v>199</c:v>
                </c:pt>
                <c:pt idx="5">
                  <c:v>198</c:v>
                </c:pt>
                <c:pt idx="6">
                  <c:v>197</c:v>
                </c:pt>
                <c:pt idx="7">
                  <c:v>196</c:v>
                </c:pt>
                <c:pt idx="8">
                  <c:v>195</c:v>
                </c:pt>
                <c:pt idx="9">
                  <c:v>194</c:v>
                </c:pt>
                <c:pt idx="10">
                  <c:v>193</c:v>
                </c:pt>
                <c:pt idx="11">
                  <c:v>192</c:v>
                </c:pt>
                <c:pt idx="12">
                  <c:v>191</c:v>
                </c:pt>
                <c:pt idx="13">
                  <c:v>190</c:v>
                </c:pt>
                <c:pt idx="14">
                  <c:v>189</c:v>
                </c:pt>
                <c:pt idx="15">
                  <c:v>188</c:v>
                </c:pt>
                <c:pt idx="16">
                  <c:v>187</c:v>
                </c:pt>
                <c:pt idx="17">
                  <c:v>186</c:v>
                </c:pt>
                <c:pt idx="18">
                  <c:v>185</c:v>
                </c:pt>
                <c:pt idx="19">
                  <c:v>184</c:v>
                </c:pt>
                <c:pt idx="20">
                  <c:v>183</c:v>
                </c:pt>
                <c:pt idx="21">
                  <c:v>182</c:v>
                </c:pt>
                <c:pt idx="22">
                  <c:v>181</c:v>
                </c:pt>
                <c:pt idx="23">
                  <c:v>180</c:v>
                </c:pt>
                <c:pt idx="24">
                  <c:v>179</c:v>
                </c:pt>
                <c:pt idx="25">
                  <c:v>178</c:v>
                </c:pt>
                <c:pt idx="26">
                  <c:v>177</c:v>
                </c:pt>
                <c:pt idx="27">
                  <c:v>176</c:v>
                </c:pt>
                <c:pt idx="28">
                  <c:v>175</c:v>
                </c:pt>
                <c:pt idx="29">
                  <c:v>174</c:v>
                </c:pt>
                <c:pt idx="30">
                  <c:v>173</c:v>
                </c:pt>
                <c:pt idx="31">
                  <c:v>172</c:v>
                </c:pt>
                <c:pt idx="32">
                  <c:v>171</c:v>
                </c:pt>
                <c:pt idx="33">
                  <c:v>170</c:v>
                </c:pt>
                <c:pt idx="34">
                  <c:v>169</c:v>
                </c:pt>
                <c:pt idx="35">
                  <c:v>168</c:v>
                </c:pt>
                <c:pt idx="36">
                  <c:v>167</c:v>
                </c:pt>
                <c:pt idx="37">
                  <c:v>166</c:v>
                </c:pt>
                <c:pt idx="38">
                  <c:v>165</c:v>
                </c:pt>
                <c:pt idx="39">
                  <c:v>164</c:v>
                </c:pt>
                <c:pt idx="40">
                  <c:v>163</c:v>
                </c:pt>
                <c:pt idx="41">
                  <c:v>162</c:v>
                </c:pt>
                <c:pt idx="42">
                  <c:v>161</c:v>
                </c:pt>
                <c:pt idx="43">
                  <c:v>160</c:v>
                </c:pt>
                <c:pt idx="44">
                  <c:v>159</c:v>
                </c:pt>
                <c:pt idx="45">
                  <c:v>158</c:v>
                </c:pt>
                <c:pt idx="46">
                  <c:v>157</c:v>
                </c:pt>
                <c:pt idx="47">
                  <c:v>156</c:v>
                </c:pt>
                <c:pt idx="48">
                  <c:v>155</c:v>
                </c:pt>
                <c:pt idx="49">
                  <c:v>154</c:v>
                </c:pt>
                <c:pt idx="50">
                  <c:v>153</c:v>
                </c:pt>
                <c:pt idx="51">
                  <c:v>152</c:v>
                </c:pt>
                <c:pt idx="52">
                  <c:v>151</c:v>
                </c:pt>
                <c:pt idx="53">
                  <c:v>150</c:v>
                </c:pt>
                <c:pt idx="54">
                  <c:v>149</c:v>
                </c:pt>
                <c:pt idx="55">
                  <c:v>148</c:v>
                </c:pt>
                <c:pt idx="56">
                  <c:v>147</c:v>
                </c:pt>
                <c:pt idx="57">
                  <c:v>146</c:v>
                </c:pt>
                <c:pt idx="58">
                  <c:v>145</c:v>
                </c:pt>
                <c:pt idx="59">
                  <c:v>144</c:v>
                </c:pt>
                <c:pt idx="60">
                  <c:v>143</c:v>
                </c:pt>
                <c:pt idx="61">
                  <c:v>142</c:v>
                </c:pt>
                <c:pt idx="62">
                  <c:v>141</c:v>
                </c:pt>
                <c:pt idx="63">
                  <c:v>140</c:v>
                </c:pt>
                <c:pt idx="64">
                  <c:v>139</c:v>
                </c:pt>
                <c:pt idx="65">
                  <c:v>138</c:v>
                </c:pt>
                <c:pt idx="66">
                  <c:v>137</c:v>
                </c:pt>
                <c:pt idx="67">
                  <c:v>136</c:v>
                </c:pt>
                <c:pt idx="68">
                  <c:v>135</c:v>
                </c:pt>
                <c:pt idx="69">
                  <c:v>134</c:v>
                </c:pt>
                <c:pt idx="70">
                  <c:v>133</c:v>
                </c:pt>
                <c:pt idx="71">
                  <c:v>132</c:v>
                </c:pt>
                <c:pt idx="72">
                  <c:v>131</c:v>
                </c:pt>
                <c:pt idx="73">
                  <c:v>130</c:v>
                </c:pt>
                <c:pt idx="74">
                  <c:v>129</c:v>
                </c:pt>
                <c:pt idx="75">
                  <c:v>128</c:v>
                </c:pt>
                <c:pt idx="76">
                  <c:v>127</c:v>
                </c:pt>
                <c:pt idx="77">
                  <c:v>126</c:v>
                </c:pt>
                <c:pt idx="78">
                  <c:v>125</c:v>
                </c:pt>
                <c:pt idx="79">
                  <c:v>124</c:v>
                </c:pt>
                <c:pt idx="80">
                  <c:v>123</c:v>
                </c:pt>
                <c:pt idx="81">
                  <c:v>122</c:v>
                </c:pt>
                <c:pt idx="82">
                  <c:v>121</c:v>
                </c:pt>
                <c:pt idx="83">
                  <c:v>120</c:v>
                </c:pt>
                <c:pt idx="84">
                  <c:v>119</c:v>
                </c:pt>
                <c:pt idx="85">
                  <c:v>118</c:v>
                </c:pt>
                <c:pt idx="86">
                  <c:v>117</c:v>
                </c:pt>
                <c:pt idx="87">
                  <c:v>116</c:v>
                </c:pt>
                <c:pt idx="88">
                  <c:v>115</c:v>
                </c:pt>
                <c:pt idx="89">
                  <c:v>114</c:v>
                </c:pt>
                <c:pt idx="90">
                  <c:v>113</c:v>
                </c:pt>
                <c:pt idx="91">
                  <c:v>112</c:v>
                </c:pt>
                <c:pt idx="92">
                  <c:v>111</c:v>
                </c:pt>
                <c:pt idx="93">
                  <c:v>110</c:v>
                </c:pt>
                <c:pt idx="94">
                  <c:v>109</c:v>
                </c:pt>
                <c:pt idx="95">
                  <c:v>108</c:v>
                </c:pt>
                <c:pt idx="96">
                  <c:v>107</c:v>
                </c:pt>
                <c:pt idx="97">
                  <c:v>106</c:v>
                </c:pt>
                <c:pt idx="98">
                  <c:v>105</c:v>
                </c:pt>
                <c:pt idx="99">
                  <c:v>104</c:v>
                </c:pt>
                <c:pt idx="100">
                  <c:v>103</c:v>
                </c:pt>
                <c:pt idx="101">
                  <c:v>102</c:v>
                </c:pt>
                <c:pt idx="102">
                  <c:v>101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97</c:v>
                </c:pt>
                <c:pt idx="107">
                  <c:v>96</c:v>
                </c:pt>
                <c:pt idx="108">
                  <c:v>95</c:v>
                </c:pt>
                <c:pt idx="109">
                  <c:v>94</c:v>
                </c:pt>
                <c:pt idx="110">
                  <c:v>93</c:v>
                </c:pt>
                <c:pt idx="111">
                  <c:v>92</c:v>
                </c:pt>
                <c:pt idx="112">
                  <c:v>91</c:v>
                </c:pt>
                <c:pt idx="113">
                  <c:v>90</c:v>
                </c:pt>
                <c:pt idx="114">
                  <c:v>89</c:v>
                </c:pt>
                <c:pt idx="115">
                  <c:v>88</c:v>
                </c:pt>
                <c:pt idx="116">
                  <c:v>87</c:v>
                </c:pt>
                <c:pt idx="117">
                  <c:v>86</c:v>
                </c:pt>
                <c:pt idx="118">
                  <c:v>85</c:v>
                </c:pt>
                <c:pt idx="119">
                  <c:v>84</c:v>
                </c:pt>
                <c:pt idx="120">
                  <c:v>83</c:v>
                </c:pt>
                <c:pt idx="121">
                  <c:v>82</c:v>
                </c:pt>
                <c:pt idx="122">
                  <c:v>81</c:v>
                </c:pt>
                <c:pt idx="123">
                  <c:v>80</c:v>
                </c:pt>
                <c:pt idx="124">
                  <c:v>79</c:v>
                </c:pt>
                <c:pt idx="125">
                  <c:v>78</c:v>
                </c:pt>
                <c:pt idx="126">
                  <c:v>77</c:v>
                </c:pt>
                <c:pt idx="127">
                  <c:v>76</c:v>
                </c:pt>
                <c:pt idx="128">
                  <c:v>75</c:v>
                </c:pt>
                <c:pt idx="129">
                  <c:v>74</c:v>
                </c:pt>
                <c:pt idx="130">
                  <c:v>73</c:v>
                </c:pt>
                <c:pt idx="131">
                  <c:v>72</c:v>
                </c:pt>
                <c:pt idx="132">
                  <c:v>71</c:v>
                </c:pt>
                <c:pt idx="133">
                  <c:v>70</c:v>
                </c:pt>
                <c:pt idx="134">
                  <c:v>69</c:v>
                </c:pt>
                <c:pt idx="135">
                  <c:v>68</c:v>
                </c:pt>
                <c:pt idx="136">
                  <c:v>67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63</c:v>
                </c:pt>
                <c:pt idx="141">
                  <c:v>62</c:v>
                </c:pt>
                <c:pt idx="142">
                  <c:v>61</c:v>
                </c:pt>
                <c:pt idx="143">
                  <c:v>60</c:v>
                </c:pt>
                <c:pt idx="144">
                  <c:v>59</c:v>
                </c:pt>
                <c:pt idx="145">
                  <c:v>58</c:v>
                </c:pt>
                <c:pt idx="146">
                  <c:v>57</c:v>
                </c:pt>
                <c:pt idx="147">
                  <c:v>56</c:v>
                </c:pt>
                <c:pt idx="148">
                  <c:v>55</c:v>
                </c:pt>
                <c:pt idx="149">
                  <c:v>54</c:v>
                </c:pt>
                <c:pt idx="150">
                  <c:v>53</c:v>
                </c:pt>
                <c:pt idx="151">
                  <c:v>52</c:v>
                </c:pt>
                <c:pt idx="152">
                  <c:v>51</c:v>
                </c:pt>
                <c:pt idx="153">
                  <c:v>50</c:v>
                </c:pt>
                <c:pt idx="154">
                  <c:v>49</c:v>
                </c:pt>
                <c:pt idx="155">
                  <c:v>48</c:v>
                </c:pt>
                <c:pt idx="156">
                  <c:v>47</c:v>
                </c:pt>
                <c:pt idx="157">
                  <c:v>46</c:v>
                </c:pt>
                <c:pt idx="158">
                  <c:v>45</c:v>
                </c:pt>
                <c:pt idx="159">
                  <c:v>44</c:v>
                </c:pt>
                <c:pt idx="160">
                  <c:v>43</c:v>
                </c:pt>
                <c:pt idx="161">
                  <c:v>42</c:v>
                </c:pt>
                <c:pt idx="162">
                  <c:v>41</c:v>
                </c:pt>
                <c:pt idx="163">
                  <c:v>40</c:v>
                </c:pt>
                <c:pt idx="164">
                  <c:v>39</c:v>
                </c:pt>
                <c:pt idx="165">
                  <c:v>38</c:v>
                </c:pt>
                <c:pt idx="166">
                  <c:v>37</c:v>
                </c:pt>
                <c:pt idx="167">
                  <c:v>36</c:v>
                </c:pt>
                <c:pt idx="168">
                  <c:v>35</c:v>
                </c:pt>
                <c:pt idx="169">
                  <c:v>34</c:v>
                </c:pt>
                <c:pt idx="170">
                  <c:v>33</c:v>
                </c:pt>
                <c:pt idx="171">
                  <c:v>32</c:v>
                </c:pt>
                <c:pt idx="172">
                  <c:v>31</c:v>
                </c:pt>
                <c:pt idx="173">
                  <c:v>30</c:v>
                </c:pt>
                <c:pt idx="174">
                  <c:v>29</c:v>
                </c:pt>
                <c:pt idx="175">
                  <c:v>28</c:v>
                </c:pt>
                <c:pt idx="176">
                  <c:v>27</c:v>
                </c:pt>
                <c:pt idx="177">
                  <c:v>26</c:v>
                </c:pt>
                <c:pt idx="178">
                  <c:v>25</c:v>
                </c:pt>
                <c:pt idx="179">
                  <c:v>24</c:v>
                </c:pt>
                <c:pt idx="180">
                  <c:v>23</c:v>
                </c:pt>
                <c:pt idx="181">
                  <c:v>22</c:v>
                </c:pt>
                <c:pt idx="182">
                  <c:v>21</c:v>
                </c:pt>
                <c:pt idx="183">
                  <c:v>20</c:v>
                </c:pt>
                <c:pt idx="184">
                  <c:v>19</c:v>
                </c:pt>
                <c:pt idx="185">
                  <c:v>18</c:v>
                </c:pt>
                <c:pt idx="186">
                  <c:v>17</c:v>
                </c:pt>
                <c:pt idx="187">
                  <c:v>16</c:v>
                </c:pt>
                <c:pt idx="188">
                  <c:v>15</c:v>
                </c:pt>
                <c:pt idx="189">
                  <c:v>14</c:v>
                </c:pt>
                <c:pt idx="190">
                  <c:v>13</c:v>
                </c:pt>
                <c:pt idx="191">
                  <c:v>12</c:v>
                </c:pt>
                <c:pt idx="192">
                  <c:v>11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7</c:v>
                </c:pt>
                <c:pt idx="197">
                  <c:v>6</c:v>
                </c:pt>
                <c:pt idx="198">
                  <c:v>5</c:v>
                </c:pt>
                <c:pt idx="199">
                  <c:v>4</c:v>
                </c:pt>
                <c:pt idx="200">
                  <c:v>3</c:v>
                </c:pt>
                <c:pt idx="201">
                  <c:v>2</c:v>
                </c:pt>
                <c:pt idx="202">
                  <c:v>1</c:v>
                </c:pt>
              </c:numCache>
            </c:numRef>
          </c:xVal>
          <c:yVal>
            <c:numRef>
              <c:f>ETS!$C$2:$C$204</c:f>
              <c:numCache>
                <c:formatCode>General</c:formatCode>
                <c:ptCount val="203"/>
                <c:pt idx="0">
                  <c:v>23.4</c:v>
                </c:pt>
                <c:pt idx="1">
                  <c:v>21.88</c:v>
                </c:pt>
                <c:pt idx="2">
                  <c:v>20.77</c:v>
                </c:pt>
                <c:pt idx="3">
                  <c:v>19.77</c:v>
                </c:pt>
                <c:pt idx="4">
                  <c:v>18.55</c:v>
                </c:pt>
                <c:pt idx="5">
                  <c:v>20.21</c:v>
                </c:pt>
                <c:pt idx="6">
                  <c:v>20.350000000000001</c:v>
                </c:pt>
                <c:pt idx="7">
                  <c:v>20.52</c:v>
                </c:pt>
                <c:pt idx="8">
                  <c:v>19.350000000000001</c:v>
                </c:pt>
                <c:pt idx="9">
                  <c:v>19.77</c:v>
                </c:pt>
                <c:pt idx="10">
                  <c:v>19.71</c:v>
                </c:pt>
                <c:pt idx="11">
                  <c:v>20.3</c:v>
                </c:pt>
                <c:pt idx="12">
                  <c:v>19.84</c:v>
                </c:pt>
                <c:pt idx="13">
                  <c:v>19.399999999999999</c:v>
                </c:pt>
                <c:pt idx="14">
                  <c:v>18.43</c:v>
                </c:pt>
                <c:pt idx="15">
                  <c:v>18.46</c:v>
                </c:pt>
                <c:pt idx="16">
                  <c:v>19.760000000000002</c:v>
                </c:pt>
                <c:pt idx="17">
                  <c:v>20.010000000000002</c:v>
                </c:pt>
                <c:pt idx="18">
                  <c:v>19.25</c:v>
                </c:pt>
                <c:pt idx="19">
                  <c:v>19.559999999999999</c:v>
                </c:pt>
                <c:pt idx="20">
                  <c:v>18.25</c:v>
                </c:pt>
                <c:pt idx="21">
                  <c:v>16.989999999999998</c:v>
                </c:pt>
                <c:pt idx="22">
                  <c:v>16.399999999999999</c:v>
                </c:pt>
                <c:pt idx="23">
                  <c:v>16.149999999999999</c:v>
                </c:pt>
                <c:pt idx="24">
                  <c:v>15.85</c:v>
                </c:pt>
                <c:pt idx="25">
                  <c:v>16.87</c:v>
                </c:pt>
                <c:pt idx="26">
                  <c:v>17.91</c:v>
                </c:pt>
                <c:pt idx="27">
                  <c:v>18.98</c:v>
                </c:pt>
                <c:pt idx="28">
                  <c:v>18.72</c:v>
                </c:pt>
                <c:pt idx="29">
                  <c:v>19.100000000000001</c:v>
                </c:pt>
                <c:pt idx="30">
                  <c:v>18.5</c:v>
                </c:pt>
                <c:pt idx="31">
                  <c:v>19.100000000000001</c:v>
                </c:pt>
                <c:pt idx="32">
                  <c:v>19.170000000000002</c:v>
                </c:pt>
                <c:pt idx="33">
                  <c:v>18.53</c:v>
                </c:pt>
                <c:pt idx="34">
                  <c:v>17.899999999999999</c:v>
                </c:pt>
                <c:pt idx="35">
                  <c:v>20.03</c:v>
                </c:pt>
                <c:pt idx="36">
                  <c:v>19.95</c:v>
                </c:pt>
                <c:pt idx="37">
                  <c:v>18.57</c:v>
                </c:pt>
                <c:pt idx="38">
                  <c:v>20.7</c:v>
                </c:pt>
                <c:pt idx="39">
                  <c:v>21.32</c:v>
                </c:pt>
                <c:pt idx="40">
                  <c:v>22.09</c:v>
                </c:pt>
                <c:pt idx="41">
                  <c:v>21.14</c:v>
                </c:pt>
                <c:pt idx="42">
                  <c:v>21.15</c:v>
                </c:pt>
                <c:pt idx="43">
                  <c:v>21.45</c:v>
                </c:pt>
                <c:pt idx="44">
                  <c:v>20.7</c:v>
                </c:pt>
                <c:pt idx="45">
                  <c:v>20.3</c:v>
                </c:pt>
                <c:pt idx="46">
                  <c:v>19.87</c:v>
                </c:pt>
                <c:pt idx="47">
                  <c:v>20.399999999999999</c:v>
                </c:pt>
                <c:pt idx="48">
                  <c:v>21.9</c:v>
                </c:pt>
                <c:pt idx="49">
                  <c:v>22.39</c:v>
                </c:pt>
                <c:pt idx="50">
                  <c:v>21.8</c:v>
                </c:pt>
                <c:pt idx="51">
                  <c:v>20.75</c:v>
                </c:pt>
                <c:pt idx="52">
                  <c:v>20.6</c:v>
                </c:pt>
                <c:pt idx="53">
                  <c:v>19.510000000000002</c:v>
                </c:pt>
                <c:pt idx="54">
                  <c:v>21.9</c:v>
                </c:pt>
                <c:pt idx="55">
                  <c:v>23.55</c:v>
                </c:pt>
                <c:pt idx="56">
                  <c:v>24.15</c:v>
                </c:pt>
                <c:pt idx="57">
                  <c:v>24.85</c:v>
                </c:pt>
                <c:pt idx="58">
                  <c:v>22.51</c:v>
                </c:pt>
                <c:pt idx="59">
                  <c:v>20.5</c:v>
                </c:pt>
                <c:pt idx="60">
                  <c:v>20.45</c:v>
                </c:pt>
                <c:pt idx="61">
                  <c:v>21.11</c:v>
                </c:pt>
                <c:pt idx="62">
                  <c:v>21.09</c:v>
                </c:pt>
                <c:pt idx="63">
                  <c:v>20.9</c:v>
                </c:pt>
                <c:pt idx="64">
                  <c:v>21.3</c:v>
                </c:pt>
                <c:pt idx="65">
                  <c:v>20.55</c:v>
                </c:pt>
                <c:pt idx="66">
                  <c:v>20.05</c:v>
                </c:pt>
                <c:pt idx="67">
                  <c:v>18.55</c:v>
                </c:pt>
                <c:pt idx="68">
                  <c:v>18.2</c:v>
                </c:pt>
                <c:pt idx="69">
                  <c:v>18.100000000000001</c:v>
                </c:pt>
                <c:pt idx="70">
                  <c:v>18</c:v>
                </c:pt>
                <c:pt idx="71">
                  <c:v>18.03</c:v>
                </c:pt>
                <c:pt idx="72">
                  <c:v>17.93</c:v>
                </c:pt>
                <c:pt idx="73">
                  <c:v>17.72</c:v>
                </c:pt>
                <c:pt idx="74">
                  <c:v>17.47</c:v>
                </c:pt>
                <c:pt idx="75">
                  <c:v>17.47</c:v>
                </c:pt>
                <c:pt idx="76">
                  <c:v>17.62</c:v>
                </c:pt>
                <c:pt idx="77">
                  <c:v>17.62</c:v>
                </c:pt>
                <c:pt idx="78">
                  <c:v>17.579999999999998</c:v>
                </c:pt>
                <c:pt idx="79">
                  <c:v>17.38</c:v>
                </c:pt>
                <c:pt idx="80">
                  <c:v>16.87</c:v>
                </c:pt>
                <c:pt idx="81">
                  <c:v>16.899999999999999</c:v>
                </c:pt>
                <c:pt idx="82">
                  <c:v>16.91</c:v>
                </c:pt>
                <c:pt idx="83">
                  <c:v>16.989999999999998</c:v>
                </c:pt>
                <c:pt idx="84">
                  <c:v>17.45</c:v>
                </c:pt>
                <c:pt idx="85">
                  <c:v>17.2</c:v>
                </c:pt>
                <c:pt idx="86">
                  <c:v>16.899999999999999</c:v>
                </c:pt>
                <c:pt idx="87">
                  <c:v>16.46</c:v>
                </c:pt>
                <c:pt idx="88">
                  <c:v>16.170000000000002</c:v>
                </c:pt>
                <c:pt idx="89">
                  <c:v>15.87</c:v>
                </c:pt>
                <c:pt idx="90">
                  <c:v>16.14</c:v>
                </c:pt>
                <c:pt idx="91">
                  <c:v>15.8</c:v>
                </c:pt>
                <c:pt idx="92">
                  <c:v>16.22</c:v>
                </c:pt>
                <c:pt idx="93">
                  <c:v>16.149999999999999</c:v>
                </c:pt>
                <c:pt idx="94">
                  <c:v>15.85</c:v>
                </c:pt>
                <c:pt idx="95">
                  <c:v>15.55</c:v>
                </c:pt>
                <c:pt idx="96">
                  <c:v>15.4</c:v>
                </c:pt>
                <c:pt idx="97">
                  <c:v>15.35</c:v>
                </c:pt>
                <c:pt idx="98">
                  <c:v>15.15</c:v>
                </c:pt>
                <c:pt idx="99">
                  <c:v>14.95</c:v>
                </c:pt>
                <c:pt idx="100">
                  <c:v>14.85</c:v>
                </c:pt>
                <c:pt idx="101">
                  <c:v>15.22</c:v>
                </c:pt>
                <c:pt idx="102">
                  <c:v>14.86</c:v>
                </c:pt>
                <c:pt idx="103">
                  <c:v>15.03</c:v>
                </c:pt>
                <c:pt idx="104">
                  <c:v>14.78</c:v>
                </c:pt>
                <c:pt idx="105">
                  <c:v>14.2</c:v>
                </c:pt>
                <c:pt idx="106">
                  <c:v>14.43</c:v>
                </c:pt>
                <c:pt idx="107">
                  <c:v>14.35</c:v>
                </c:pt>
                <c:pt idx="108">
                  <c:v>14.52</c:v>
                </c:pt>
                <c:pt idx="109">
                  <c:v>14.62</c:v>
                </c:pt>
                <c:pt idx="110">
                  <c:v>15.44</c:v>
                </c:pt>
                <c:pt idx="111">
                  <c:v>15.08</c:v>
                </c:pt>
                <c:pt idx="112">
                  <c:v>15.7</c:v>
                </c:pt>
                <c:pt idx="113">
                  <c:v>15.78</c:v>
                </c:pt>
                <c:pt idx="114">
                  <c:v>16.14</c:v>
                </c:pt>
                <c:pt idx="115">
                  <c:v>15.7</c:v>
                </c:pt>
                <c:pt idx="116">
                  <c:v>16.350000000000001</c:v>
                </c:pt>
                <c:pt idx="117">
                  <c:v>15.28</c:v>
                </c:pt>
                <c:pt idx="118">
                  <c:v>14.9</c:v>
                </c:pt>
                <c:pt idx="119">
                  <c:v>15.4</c:v>
                </c:pt>
                <c:pt idx="120">
                  <c:v>16.25</c:v>
                </c:pt>
                <c:pt idx="121">
                  <c:v>15.89</c:v>
                </c:pt>
                <c:pt idx="122">
                  <c:v>16.23</c:v>
                </c:pt>
                <c:pt idx="123">
                  <c:v>15.81</c:v>
                </c:pt>
                <c:pt idx="124">
                  <c:v>15.88</c:v>
                </c:pt>
                <c:pt idx="125">
                  <c:v>15.2</c:v>
                </c:pt>
                <c:pt idx="126">
                  <c:v>15.05</c:v>
                </c:pt>
                <c:pt idx="127">
                  <c:v>14.7</c:v>
                </c:pt>
                <c:pt idx="128">
                  <c:v>14.2</c:v>
                </c:pt>
                <c:pt idx="129">
                  <c:v>13.92</c:v>
                </c:pt>
                <c:pt idx="130">
                  <c:v>13.51</c:v>
                </c:pt>
                <c:pt idx="131">
                  <c:v>12.78</c:v>
                </c:pt>
                <c:pt idx="132">
                  <c:v>12.77</c:v>
                </c:pt>
                <c:pt idx="133">
                  <c:v>13.35</c:v>
                </c:pt>
                <c:pt idx="134">
                  <c:v>13.28</c:v>
                </c:pt>
                <c:pt idx="135">
                  <c:v>13.39</c:v>
                </c:pt>
                <c:pt idx="136">
                  <c:v>13.09</c:v>
                </c:pt>
                <c:pt idx="137">
                  <c:v>12.73</c:v>
                </c:pt>
                <c:pt idx="138">
                  <c:v>12.75</c:v>
                </c:pt>
                <c:pt idx="139">
                  <c:v>13.05</c:v>
                </c:pt>
                <c:pt idx="140">
                  <c:v>13.99</c:v>
                </c:pt>
                <c:pt idx="141">
                  <c:v>13.82</c:v>
                </c:pt>
                <c:pt idx="142">
                  <c:v>13.84</c:v>
                </c:pt>
                <c:pt idx="143">
                  <c:v>13.8</c:v>
                </c:pt>
                <c:pt idx="144">
                  <c:v>13.15</c:v>
                </c:pt>
                <c:pt idx="145">
                  <c:v>13.55</c:v>
                </c:pt>
                <c:pt idx="146">
                  <c:v>13.1</c:v>
                </c:pt>
                <c:pt idx="147">
                  <c:v>12.96</c:v>
                </c:pt>
                <c:pt idx="148">
                  <c:v>12.68</c:v>
                </c:pt>
                <c:pt idx="149">
                  <c:v>12.65</c:v>
                </c:pt>
                <c:pt idx="150">
                  <c:v>12.9</c:v>
                </c:pt>
                <c:pt idx="151">
                  <c:v>14.05</c:v>
                </c:pt>
                <c:pt idx="152">
                  <c:v>13.26</c:v>
                </c:pt>
                <c:pt idx="153">
                  <c:v>12.8</c:v>
                </c:pt>
                <c:pt idx="154">
                  <c:v>12.37</c:v>
                </c:pt>
                <c:pt idx="155">
                  <c:v>12.54</c:v>
                </c:pt>
                <c:pt idx="156">
                  <c:v>11.17</c:v>
                </c:pt>
                <c:pt idx="157">
                  <c:v>10.96</c:v>
                </c:pt>
                <c:pt idx="158">
                  <c:v>10.97</c:v>
                </c:pt>
                <c:pt idx="159">
                  <c:v>11.09</c:v>
                </c:pt>
                <c:pt idx="160">
                  <c:v>11.25</c:v>
                </c:pt>
                <c:pt idx="161">
                  <c:v>11.03</c:v>
                </c:pt>
                <c:pt idx="162">
                  <c:v>11.32</c:v>
                </c:pt>
                <c:pt idx="163">
                  <c:v>11.1</c:v>
                </c:pt>
                <c:pt idx="164">
                  <c:v>10.77</c:v>
                </c:pt>
                <c:pt idx="165">
                  <c:v>10.28</c:v>
                </c:pt>
                <c:pt idx="166">
                  <c:v>10.050000000000001</c:v>
                </c:pt>
                <c:pt idx="167">
                  <c:v>9.89</c:v>
                </c:pt>
                <c:pt idx="168">
                  <c:v>9.92</c:v>
                </c:pt>
                <c:pt idx="169">
                  <c:v>9.99</c:v>
                </c:pt>
                <c:pt idx="170">
                  <c:v>9.5399999999999991</c:v>
                </c:pt>
                <c:pt idx="171">
                  <c:v>9.56</c:v>
                </c:pt>
                <c:pt idx="172">
                  <c:v>9.68</c:v>
                </c:pt>
                <c:pt idx="173">
                  <c:v>9.56</c:v>
                </c:pt>
                <c:pt idx="174">
                  <c:v>9.6999999999999993</c:v>
                </c:pt>
                <c:pt idx="175">
                  <c:v>9.58</c:v>
                </c:pt>
                <c:pt idx="176">
                  <c:v>9.5299999999999994</c:v>
                </c:pt>
                <c:pt idx="177">
                  <c:v>9.64</c:v>
                </c:pt>
                <c:pt idx="178">
                  <c:v>9.8800000000000008</c:v>
                </c:pt>
                <c:pt idx="179">
                  <c:v>9.5299999999999994</c:v>
                </c:pt>
                <c:pt idx="180">
                  <c:v>9.08</c:v>
                </c:pt>
                <c:pt idx="181">
                  <c:v>8.9700000000000006</c:v>
                </c:pt>
                <c:pt idx="182">
                  <c:v>8.93</c:v>
                </c:pt>
                <c:pt idx="183">
                  <c:v>8.84</c:v>
                </c:pt>
                <c:pt idx="184">
                  <c:v>8.66</c:v>
                </c:pt>
                <c:pt idx="185">
                  <c:v>9.0399999999999991</c:v>
                </c:pt>
                <c:pt idx="186">
                  <c:v>9.3699999999999992</c:v>
                </c:pt>
                <c:pt idx="187">
                  <c:v>8.7799999999999994</c:v>
                </c:pt>
                <c:pt idx="188">
                  <c:v>8.86</c:v>
                </c:pt>
                <c:pt idx="189">
                  <c:v>9.06</c:v>
                </c:pt>
                <c:pt idx="190">
                  <c:v>9.02</c:v>
                </c:pt>
                <c:pt idx="191">
                  <c:v>9.34</c:v>
                </c:pt>
                <c:pt idx="192">
                  <c:v>8.8800000000000008</c:v>
                </c:pt>
                <c:pt idx="193">
                  <c:v>8.6999999999999993</c:v>
                </c:pt>
                <c:pt idx="194">
                  <c:v>8.6</c:v>
                </c:pt>
                <c:pt idx="195">
                  <c:v>8.26</c:v>
                </c:pt>
                <c:pt idx="196">
                  <c:v>7.99</c:v>
                </c:pt>
                <c:pt idx="197">
                  <c:v>7.77</c:v>
                </c:pt>
                <c:pt idx="198">
                  <c:v>7.72</c:v>
                </c:pt>
                <c:pt idx="199">
                  <c:v>7.79</c:v>
                </c:pt>
                <c:pt idx="200">
                  <c:v>7.89</c:v>
                </c:pt>
                <c:pt idx="201">
                  <c:v>7.68</c:v>
                </c:pt>
                <c:pt idx="202">
                  <c:v>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2-7A42-BADB-2DAC5CBE5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16512"/>
        <c:axId val="438418816"/>
      </c:scatterChart>
      <c:valAx>
        <c:axId val="4384165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438418816"/>
        <c:crosses val="autoZero"/>
        <c:crossBetween val="midCat"/>
      </c:valAx>
      <c:valAx>
        <c:axId val="4384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ETS</a:t>
                </a:r>
                <a:r>
                  <a:rPr lang="en-US" baseline="0"/>
                  <a:t> price in €/tonne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41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157162</xdr:rowOff>
    </xdr:from>
    <xdr:to>
      <xdr:col>11</xdr:col>
      <xdr:colOff>381000</xdr:colOff>
      <xdr:row>17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38</xdr:row>
      <xdr:rowOff>4762</xdr:rowOff>
    </xdr:from>
    <xdr:to>
      <xdr:col>11</xdr:col>
      <xdr:colOff>619125</xdr:colOff>
      <xdr:row>51</xdr:row>
      <xdr:rowOff>147637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304800</xdr:colOff>
      <xdr:row>84</xdr:row>
      <xdr:rowOff>4762</xdr:rowOff>
    </xdr:from>
    <xdr:to>
      <xdr:col>11</xdr:col>
      <xdr:colOff>619125</xdr:colOff>
      <xdr:row>97</xdr:row>
      <xdr:rowOff>147637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</xdr:row>
      <xdr:rowOff>119062</xdr:rowOff>
    </xdr:from>
    <xdr:to>
      <xdr:col>19</xdr:col>
      <xdr:colOff>666750</xdr:colOff>
      <xdr:row>31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5</xdr:row>
      <xdr:rowOff>63500</xdr:rowOff>
    </xdr:from>
    <xdr:to>
      <xdr:col>13</xdr:col>
      <xdr:colOff>482600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R/Documents/matlab_March_2020/updated%20Model/TEA_Model%20V3_0_01/Direct%20Process/Control_Sheet_V3_0_1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Comp_processes"/>
      <sheetName val="Matlab_input"/>
      <sheetName val="Gerdemann et al."/>
      <sheetName val="Sanna et al. "/>
      <sheetName val="Nazmul Hassan et.al., Romeo, "/>
      <sheetName val="Kim et al."/>
      <sheetName val="Timmerhaus 1991"/>
      <sheetName val="CHEPCI &amp; Location factors"/>
      <sheetName val="Opex CemCap"/>
      <sheetName val="Capex-Cemcap"/>
      <sheetName val="Capex-Sinott et al."/>
      <sheetName val="VDI-Wärmeatlas"/>
      <sheetName val="Input Hesam"/>
      <sheetName val="Felder et al. &amp; NIST"/>
      <sheetName val="ETS"/>
    </sheetNames>
    <sheetDataSet>
      <sheetData sheetId="0"/>
      <sheetData sheetId="1"/>
      <sheetData sheetId="2"/>
      <sheetData sheetId="3"/>
      <sheetData sheetId="4"/>
      <sheetData sheetId="5">
        <row r="2">
          <cell r="C2">
            <v>546280</v>
          </cell>
        </row>
        <row r="3">
          <cell r="C3">
            <v>2005</v>
          </cell>
        </row>
        <row r="6">
          <cell r="C6">
            <v>29.853162000000001</v>
          </cell>
          <cell r="E6" t="str">
            <v>"Techno-Economic Study of CO2 Capture from Existing Cement Plant Using MEA Scrubbing" - Hassan, S.M.; Douglas, Peter L.; Croiset, Eric</v>
          </cell>
          <cell r="M6">
            <v>13</v>
          </cell>
          <cell r="O6" t="str">
            <v>Ref: S11 -Van der Assen 2016 " Selecting CO2 Sources for CO2 Utilization by Environmental-Merit-order Curves_Supporting info"</v>
          </cell>
        </row>
        <row r="7">
          <cell r="M7">
            <v>3.6</v>
          </cell>
        </row>
        <row r="8">
          <cell r="M8">
            <v>3.3917000000000002</v>
          </cell>
          <cell r="O8" t="str">
            <v>"Fuel production from CO2 using solar-thermal energy: system level analysis
Kim J Johnson T Miller J Stechel E Maravelias C"</v>
          </cell>
        </row>
        <row r="9">
          <cell r="M9">
            <v>1.5</v>
          </cell>
          <cell r="O9" t="str">
            <v>Ref Rubin from Martin Pehnt -" LCA of CCS from lignite power plants"</v>
          </cell>
        </row>
        <row r="17">
          <cell r="F17">
            <v>3.4357838471113715</v>
          </cell>
        </row>
      </sheetData>
      <sheetData sheetId="6"/>
      <sheetData sheetId="7">
        <row r="3">
          <cell r="A3">
            <v>43.294698462490203</v>
          </cell>
          <cell r="K3">
            <v>2.11839214920938</v>
          </cell>
          <cell r="M3">
            <v>5.0877113827311602</v>
          </cell>
        </row>
        <row r="19">
          <cell r="D19">
            <v>1.3741000000000001</v>
          </cell>
          <cell r="E19">
            <v>1744.4</v>
          </cell>
          <cell r="F19">
            <v>113254</v>
          </cell>
        </row>
        <row r="20">
          <cell r="A20">
            <v>558.60615328821098</v>
          </cell>
        </row>
        <row r="22">
          <cell r="P22">
            <v>15.542999999999999</v>
          </cell>
          <cell r="Q22">
            <v>0.24460000000000001</v>
          </cell>
          <cell r="R22" t="str">
            <v>Working hours Average plant</v>
          </cell>
        </row>
        <row r="23">
          <cell r="P23">
            <v>10.446999999999999</v>
          </cell>
          <cell r="Q23">
            <v>0.2485</v>
          </cell>
          <cell r="R23" t="str">
            <v>Working hours Large EQ</v>
          </cell>
        </row>
        <row r="24">
          <cell r="A24">
            <v>51.841404327671398</v>
          </cell>
        </row>
        <row r="38">
          <cell r="D38">
            <v>1.9999999999999999E-7</v>
          </cell>
          <cell r="E38">
            <v>1.1999999999999999E-3</v>
          </cell>
          <cell r="F38">
            <v>-3.2789000000000001</v>
          </cell>
          <cell r="G38">
            <v>4476.5</v>
          </cell>
          <cell r="H38">
            <v>136981</v>
          </cell>
        </row>
        <row r="45">
          <cell r="A45">
            <v>2858.2049835816501</v>
          </cell>
        </row>
        <row r="49">
          <cell r="A49">
            <v>21.716140037714698</v>
          </cell>
        </row>
        <row r="52">
          <cell r="M52">
            <v>969.963318688502</v>
          </cell>
        </row>
        <row r="60">
          <cell r="K60">
            <v>973.08005164000099</v>
          </cell>
        </row>
        <row r="64">
          <cell r="D64">
            <v>33352</v>
          </cell>
          <cell r="E64">
            <v>0.52380000000000004</v>
          </cell>
        </row>
        <row r="76">
          <cell r="A76">
            <v>9375.6703526115198</v>
          </cell>
        </row>
      </sheetData>
      <sheetData sheetId="8"/>
      <sheetData sheetId="9"/>
      <sheetData sheetId="10"/>
      <sheetData sheetId="11">
        <row r="3">
          <cell r="B3">
            <v>1</v>
          </cell>
          <cell r="C3">
            <v>5</v>
          </cell>
        </row>
        <row r="4">
          <cell r="B4">
            <v>2</v>
          </cell>
          <cell r="C4">
            <v>7</v>
          </cell>
        </row>
        <row r="5">
          <cell r="B5">
            <v>2.5</v>
          </cell>
          <cell r="C5">
            <v>9</v>
          </cell>
        </row>
        <row r="6">
          <cell r="B6">
            <v>3</v>
          </cell>
          <cell r="C6">
            <v>10</v>
          </cell>
        </row>
        <row r="7">
          <cell r="B7">
            <v>3.5</v>
          </cell>
          <cell r="C7">
            <v>12</v>
          </cell>
        </row>
        <row r="20">
          <cell r="G20">
            <v>37.777777780000001</v>
          </cell>
          <cell r="H20">
            <v>148.88888890000001</v>
          </cell>
          <cell r="I20">
            <v>260</v>
          </cell>
          <cell r="J20">
            <v>371.11111110000002</v>
          </cell>
          <cell r="K20">
            <v>482.22222219999998</v>
          </cell>
        </row>
        <row r="21">
          <cell r="G21">
            <v>88.942369080000006</v>
          </cell>
          <cell r="H21">
            <v>88.942369080000006</v>
          </cell>
          <cell r="I21">
            <v>88.942369080000006</v>
          </cell>
          <cell r="J21">
            <v>79.289708869999998</v>
          </cell>
          <cell r="K21">
            <v>40.679068030000003</v>
          </cell>
        </row>
        <row r="22">
          <cell r="G22">
            <v>117.90034970000001</v>
          </cell>
          <cell r="H22">
            <v>117.90034970000001</v>
          </cell>
          <cell r="I22">
            <v>117.90034970000001</v>
          </cell>
          <cell r="J22">
            <v>98.595029289999999</v>
          </cell>
          <cell r="K22">
            <v>40.679068030000003</v>
          </cell>
        </row>
        <row r="24">
          <cell r="A24" t="str">
            <v>EC Vertical pressure vessel</v>
          </cell>
          <cell r="C24">
            <v>17400</v>
          </cell>
          <cell r="D24">
            <v>79</v>
          </cell>
          <cell r="E24">
            <v>0.85</v>
          </cell>
          <cell r="F24">
            <v>120</v>
          </cell>
          <cell r="G24">
            <v>250000</v>
          </cell>
        </row>
        <row r="25">
          <cell r="A25" t="str">
            <v>EC reactor agitated</v>
          </cell>
          <cell r="C25">
            <v>61500</v>
          </cell>
          <cell r="D25">
            <v>32500</v>
          </cell>
          <cell r="E25">
            <v>0.8</v>
          </cell>
          <cell r="F25">
            <v>0.5</v>
          </cell>
          <cell r="G25">
            <v>100</v>
          </cell>
        </row>
        <row r="26">
          <cell r="A26" t="str">
            <v>EC Tanks (floating roof)</v>
          </cell>
          <cell r="C26">
            <v>113000</v>
          </cell>
          <cell r="D26">
            <v>3250</v>
          </cell>
          <cell r="E26">
            <v>0.65</v>
          </cell>
          <cell r="F26">
            <v>100</v>
          </cell>
          <cell r="G26">
            <v>10000</v>
          </cell>
        </row>
        <row r="27">
          <cell r="A27" t="str">
            <v>EC Compressor Centrifugal</v>
          </cell>
          <cell r="C27">
            <v>580000</v>
          </cell>
          <cell r="D27">
            <v>20000</v>
          </cell>
          <cell r="E27">
            <v>0.6</v>
          </cell>
          <cell r="F27">
            <v>75</v>
          </cell>
          <cell r="G27">
            <v>30000</v>
          </cell>
        </row>
        <row r="28">
          <cell r="A28" t="str">
            <v>EC Heat exchanger</v>
          </cell>
          <cell r="C28">
            <v>28000</v>
          </cell>
          <cell r="D28">
            <v>54</v>
          </cell>
          <cell r="E28">
            <v>1.2</v>
          </cell>
          <cell r="F28">
            <v>10</v>
          </cell>
          <cell r="G28">
            <v>1000</v>
          </cell>
        </row>
        <row r="29">
          <cell r="A29" t="str">
            <v>EC cylindrical Furnace</v>
          </cell>
          <cell r="C29">
            <v>80000</v>
          </cell>
          <cell r="D29">
            <v>109000</v>
          </cell>
          <cell r="E29">
            <v>0.8</v>
          </cell>
          <cell r="F29">
            <v>0.2</v>
          </cell>
          <cell r="G29">
            <v>60</v>
          </cell>
        </row>
      </sheetData>
      <sheetData sheetId="12">
        <row r="19">
          <cell r="B19">
            <v>3.9999999999999998E-11</v>
          </cell>
          <cell r="C19">
            <v>-4.9999999999999998E-8</v>
          </cell>
          <cell r="D19">
            <v>2.0000000000000002E-5</v>
          </cell>
          <cell r="E19">
            <v>-5.4999999999999997E-3</v>
          </cell>
          <cell r="F19">
            <v>0.70620000000000005</v>
          </cell>
          <cell r="G19">
            <v>-48.792000000000002</v>
          </cell>
          <cell r="H19">
            <v>1763.8</v>
          </cell>
        </row>
      </sheetData>
      <sheetData sheetId="13">
        <row r="1">
          <cell r="C1" t="str">
            <v>Function from Hesam (Aspen simulation)</v>
          </cell>
        </row>
        <row r="24">
          <cell r="E24">
            <v>17.507000000000001</v>
          </cell>
          <cell r="F24">
            <v>12.875999999999999</v>
          </cell>
        </row>
      </sheetData>
      <sheetData sheetId="14">
        <row r="5">
          <cell r="A5" t="str">
            <v>CO2(g)</v>
          </cell>
          <cell r="B5">
            <v>24.997350000000001</v>
          </cell>
          <cell r="C5">
            <v>55.186959999999999</v>
          </cell>
          <cell r="D5">
            <v>-33.691369999999999</v>
          </cell>
          <cell r="E5">
            <v>7.9483870000000003</v>
          </cell>
          <cell r="F5">
            <v>-0.13663800000000001</v>
          </cell>
          <cell r="G5">
            <v>298</v>
          </cell>
          <cell r="H5">
            <v>1200</v>
          </cell>
          <cell r="J5">
            <v>-393.5</v>
          </cell>
          <cell r="K5">
            <v>44.1</v>
          </cell>
        </row>
        <row r="6">
          <cell r="A6" t="str">
            <v>MgO</v>
          </cell>
          <cell r="B6">
            <v>47.259950000000003</v>
          </cell>
          <cell r="C6">
            <v>5.6816209999999998</v>
          </cell>
          <cell r="D6">
            <v>-0.87266500000000002</v>
          </cell>
          <cell r="E6">
            <v>0.1043</v>
          </cell>
          <cell r="F6">
            <v>-1.053955</v>
          </cell>
          <cell r="G6">
            <v>298</v>
          </cell>
          <cell r="H6">
            <v>3105</v>
          </cell>
          <cell r="J6">
            <v>-601.79999999999995</v>
          </cell>
          <cell r="K6">
            <v>40.32</v>
          </cell>
        </row>
        <row r="7">
          <cell r="A7" t="str">
            <v>SiO2</v>
          </cell>
          <cell r="B7">
            <v>-6.0765909999999996</v>
          </cell>
          <cell r="C7">
            <v>251.6755</v>
          </cell>
          <cell r="D7">
            <v>-324.79640000000001</v>
          </cell>
          <cell r="E7">
            <v>168.56039999999999</v>
          </cell>
          <cell r="F7">
            <v>2.5479999999999999E-3</v>
          </cell>
          <cell r="G7">
            <v>298</v>
          </cell>
          <cell r="H7">
            <v>847</v>
          </cell>
          <cell r="J7">
            <v>-859.4</v>
          </cell>
          <cell r="K7">
            <v>60.08</v>
          </cell>
        </row>
        <row r="8">
          <cell r="A8" t="str">
            <v>Fe2O3</v>
          </cell>
          <cell r="B8">
            <v>93.438339999999997</v>
          </cell>
          <cell r="C8">
            <v>108.35769999999999</v>
          </cell>
          <cell r="D8">
            <v>-50.864469999999997</v>
          </cell>
          <cell r="E8">
            <v>25.586829999999999</v>
          </cell>
          <cell r="F8">
            <v>-1.6113299999999999</v>
          </cell>
          <cell r="G8">
            <v>298</v>
          </cell>
          <cell r="H8">
            <v>950</v>
          </cell>
          <cell r="J8">
            <v>-865</v>
          </cell>
          <cell r="K8">
            <v>159.68799999999999</v>
          </cell>
        </row>
        <row r="9">
          <cell r="A9" t="str">
            <v>MgCO3</v>
          </cell>
          <cell r="B9">
            <v>44.936999999999998</v>
          </cell>
          <cell r="C9">
            <v>149.70849999999999</v>
          </cell>
          <cell r="D9">
            <v>-74.182739999999995</v>
          </cell>
          <cell r="E9">
            <v>11.976699999999999</v>
          </cell>
          <cell r="F9">
            <v>-0.62926099999999996</v>
          </cell>
          <cell r="G9">
            <v>298</v>
          </cell>
          <cell r="H9">
            <v>1000</v>
          </cell>
          <cell r="J9">
            <v>-1095.8</v>
          </cell>
          <cell r="K9">
            <v>84.42</v>
          </cell>
        </row>
        <row r="10">
          <cell r="A10" t="str">
            <v>H2O (l)</v>
          </cell>
          <cell r="B10">
            <v>-203.60599999999999</v>
          </cell>
          <cell r="C10">
            <v>1523.29</v>
          </cell>
          <cell r="D10">
            <v>-3196.413</v>
          </cell>
          <cell r="E10">
            <v>2474.4549999999999</v>
          </cell>
          <cell r="F10">
            <v>3.8553259999999998</v>
          </cell>
          <cell r="G10">
            <v>298</v>
          </cell>
          <cell r="H10">
            <v>500</v>
          </cell>
          <cell r="J10">
            <v>-285.83999999999997</v>
          </cell>
          <cell r="K10">
            <v>18.015999999999998</v>
          </cell>
        </row>
        <row r="11">
          <cell r="A11" t="str">
            <v>NaHCO3 (shomate for Na2CO3)</v>
          </cell>
          <cell r="K11">
            <v>84.007000000000005</v>
          </cell>
        </row>
        <row r="12">
          <cell r="A12" t="str">
            <v>NaCl</v>
          </cell>
          <cell r="K12">
            <v>58.45</v>
          </cell>
        </row>
        <row r="13">
          <cell r="A13" t="str">
            <v>Mg2SiO4</v>
          </cell>
          <cell r="K13">
            <v>140.72</v>
          </cell>
        </row>
        <row r="14">
          <cell r="A14" t="str">
            <v>oxalic acid</v>
          </cell>
          <cell r="K14">
            <v>90.034000000000006</v>
          </cell>
        </row>
        <row r="15">
          <cell r="A15" t="str">
            <v xml:space="preserve">acorbic </v>
          </cell>
          <cell r="K15">
            <v>176.12</v>
          </cell>
        </row>
        <row r="16">
          <cell r="A16" t="str">
            <v>MEA (l)</v>
          </cell>
          <cell r="K16">
            <v>61.08</v>
          </cell>
        </row>
        <row r="17">
          <cell r="A17" t="str">
            <v>NH3(g)</v>
          </cell>
        </row>
        <row r="18">
          <cell r="A18" t="str">
            <v>N2(g)</v>
          </cell>
          <cell r="B18">
            <v>28.986409999999999</v>
          </cell>
          <cell r="C18">
            <v>1.8539779999999999</v>
          </cell>
          <cell r="D18">
            <v>-9.6474589999999996</v>
          </cell>
          <cell r="E18">
            <v>16.635370000000002</v>
          </cell>
          <cell r="F18">
            <v>1.17E-4</v>
          </cell>
          <cell r="G18">
            <v>100</v>
          </cell>
          <cell r="H18">
            <v>500</v>
          </cell>
          <cell r="J18">
            <v>0</v>
          </cell>
        </row>
        <row r="19">
          <cell r="A19" t="str">
            <v>O2(g)</v>
          </cell>
          <cell r="B19">
            <v>31.322340000000001</v>
          </cell>
          <cell r="C19">
            <v>-20.235309999999998</v>
          </cell>
          <cell r="D19">
            <v>57.866439999999997</v>
          </cell>
          <cell r="E19">
            <v>-36.506239999999998</v>
          </cell>
          <cell r="F19">
            <v>-7.3740000000000003E-3</v>
          </cell>
          <cell r="G19">
            <v>100</v>
          </cell>
          <cell r="H19">
            <v>700</v>
          </cell>
          <cell r="J19">
            <v>0</v>
          </cell>
        </row>
        <row r="35">
          <cell r="A35" t="str">
            <v>Co2</v>
          </cell>
          <cell r="B35">
            <v>304.18</v>
          </cell>
          <cell r="C35">
            <v>73.8</v>
          </cell>
          <cell r="D35">
            <v>0.22500000000000001</v>
          </cell>
          <cell r="E35">
            <v>1.28</v>
          </cell>
        </row>
      </sheetData>
      <sheetData sheetId="1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_1" connectionId="2" xr16:uid="{00000000-0016-0000-03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" connectionId="4" xr16:uid="{00000000-0016-0000-03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_1" connectionId="5" xr16:uid="{00000000-0016-0000-0300-000004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" connectionId="1" xr16:uid="{00000000-0016-0000-0300-00000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3)" connectionId="6" xr16:uid="{00000000-0016-0000-03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_2" connectionId="3" xr16:uid="{00000000-0016-0000-0300-000001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cosity_water" connectionId="7" xr16:uid="{00000000-0016-0000-0C00-00000B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overall-heat-transfer-coefficients-d_284.html" TargetMode="External"/><Relationship Id="rId2" Type="http://schemas.openxmlformats.org/officeDocument/2006/relationships/hyperlink" Target="http://webmineral.com/data/Lizardite.shtml" TargetMode="External"/><Relationship Id="rId1" Type="http://schemas.openxmlformats.org/officeDocument/2006/relationships/hyperlink" Target="http://webmineral.com/data/Forsterite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ngineeringtoolbox.com/specific-heat-fluids-d_15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ebserver.dmt.upm.es/~isidoro/dat1/eGA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rgb="FFFFC000"/>
  </sheetPr>
  <dimension ref="A1:AK625"/>
  <sheetViews>
    <sheetView tabSelected="1" zoomScale="40" zoomScaleNormal="40" workbookViewId="0">
      <selection activeCell="T30" sqref="T30"/>
    </sheetView>
  </sheetViews>
  <sheetFormatPr baseColWidth="10" defaultColWidth="0" defaultRowHeight="15.75" zeroHeight="1"/>
  <cols>
    <col min="1" max="1" width="38.875" customWidth="1"/>
    <col min="2" max="2" width="10.875" customWidth="1"/>
    <col min="3" max="3" width="19.375" customWidth="1"/>
    <col min="4" max="4" width="19.875" customWidth="1"/>
    <col min="5" max="5" width="15.125" style="104" customWidth="1"/>
    <col min="6" max="6" width="10.875" style="104" customWidth="1"/>
    <col min="7" max="7" width="15.125" customWidth="1"/>
    <col min="8" max="8" width="35.75" customWidth="1"/>
    <col min="9" max="9" width="10.875" customWidth="1"/>
    <col min="10" max="10" width="21.375" customWidth="1"/>
    <col min="11" max="11" width="27" customWidth="1"/>
    <col min="12" max="12" width="14.875" customWidth="1"/>
    <col min="13" max="18" width="10.875" customWidth="1"/>
    <col min="19" max="19" width="13" customWidth="1"/>
    <col min="20" max="20" width="13" style="112" customWidth="1"/>
    <col min="21" max="21" width="19.625" style="105" bestFit="1" customWidth="1"/>
    <col min="22" max="37" width="0" style="105" hidden="1" customWidth="1"/>
    <col min="38" max="16384" width="10.875" hidden="1"/>
  </cols>
  <sheetData>
    <row r="1" spans="1:37" s="89" customFormat="1" ht="30">
      <c r="A1" s="285" t="s">
        <v>413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144"/>
      <c r="U1" s="108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</row>
    <row r="2" spans="1:37" s="89" customFormat="1" ht="15.75" customHeight="1">
      <c r="A2" s="266" t="s">
        <v>611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143"/>
      <c r="U2" s="108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</row>
    <row r="3" spans="1:37" s="89" customFormat="1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143"/>
      <c r="U3" s="108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</row>
    <row r="4" spans="1:37" s="89" customFormat="1">
      <c r="A4" s="267"/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143"/>
      <c r="U4" s="108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</row>
    <row r="5" spans="1:37" s="89" customFormat="1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143"/>
      <c r="U5" s="108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</row>
    <row r="6" spans="1:37" s="89" customFormat="1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143"/>
      <c r="U6" s="108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</row>
    <row r="7" spans="1:37" s="89" customFormat="1">
      <c r="A7" s="26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143"/>
      <c r="U7" s="108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</row>
    <row r="8" spans="1:37" s="89" customFormat="1">
      <c r="A8" s="267"/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143"/>
      <c r="U8" s="108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</row>
    <row r="9" spans="1:37" s="89" customFormat="1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143"/>
      <c r="U9" s="108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</row>
    <row r="10" spans="1:37" s="89" customFormat="1">
      <c r="A10" s="108"/>
      <c r="B10" s="108"/>
      <c r="C10" s="108"/>
      <c r="D10" s="108"/>
      <c r="E10" s="104"/>
      <c r="F10" s="104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</row>
    <row r="11" spans="1:37" s="89" customFormat="1" ht="16.5" thickBot="1">
      <c r="A11" s="108"/>
      <c r="B11" s="108"/>
      <c r="C11" s="108"/>
      <c r="D11" s="108"/>
      <c r="E11" s="104"/>
      <c r="F11" s="104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</row>
    <row r="12" spans="1:37">
      <c r="A12" s="186" t="s">
        <v>73</v>
      </c>
      <c r="B12" s="187" t="s">
        <v>74</v>
      </c>
      <c r="C12" s="187" t="s">
        <v>75</v>
      </c>
      <c r="D12" s="188" t="s">
        <v>72</v>
      </c>
      <c r="G12" s="270" t="s">
        <v>263</v>
      </c>
      <c r="H12" s="271"/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2"/>
      <c r="T12" s="114"/>
      <c r="U12" s="108"/>
    </row>
    <row r="13" spans="1:37">
      <c r="A13" s="25" t="s">
        <v>76</v>
      </c>
      <c r="B13" s="126">
        <v>1360000</v>
      </c>
      <c r="C13" s="182" t="s">
        <v>610</v>
      </c>
      <c r="D13" s="189"/>
      <c r="G13" s="25"/>
      <c r="H13" s="268" t="s">
        <v>237</v>
      </c>
      <c r="I13" s="268"/>
      <c r="J13" s="268" t="s">
        <v>238</v>
      </c>
      <c r="K13" s="268"/>
      <c r="L13" s="268" t="s">
        <v>239</v>
      </c>
      <c r="M13" s="268"/>
      <c r="N13" s="268" t="s">
        <v>240</v>
      </c>
      <c r="O13" s="268"/>
      <c r="P13" s="139" t="s">
        <v>241</v>
      </c>
      <c r="Q13" s="139"/>
      <c r="R13" s="268" t="s">
        <v>247</v>
      </c>
      <c r="S13" s="269"/>
      <c r="T13" s="114"/>
      <c r="U13" s="108"/>
    </row>
    <row r="14" spans="1:37">
      <c r="A14" s="25" t="s">
        <v>265</v>
      </c>
      <c r="B14" s="180">
        <v>30</v>
      </c>
      <c r="C14" s="180" t="s">
        <v>266</v>
      </c>
      <c r="D14" s="189"/>
      <c r="G14" s="25"/>
      <c r="H14" s="26" t="s">
        <v>250</v>
      </c>
      <c r="I14" s="26" t="s">
        <v>251</v>
      </c>
      <c r="J14" s="26" t="s">
        <v>252</v>
      </c>
      <c r="K14" s="26" t="s">
        <v>253</v>
      </c>
      <c r="L14" s="26" t="s">
        <v>254</v>
      </c>
      <c r="M14" s="26" t="s">
        <v>255</v>
      </c>
      <c r="N14" s="26" t="s">
        <v>256</v>
      </c>
      <c r="O14" s="26" t="s">
        <v>257</v>
      </c>
      <c r="P14" s="26" t="s">
        <v>258</v>
      </c>
      <c r="Q14" s="26" t="s">
        <v>259</v>
      </c>
      <c r="R14" s="26" t="s">
        <v>260</v>
      </c>
      <c r="S14" s="86" t="s">
        <v>261</v>
      </c>
      <c r="T14" s="115"/>
      <c r="U14" s="108"/>
    </row>
    <row r="15" spans="1:37">
      <c r="A15" s="25" t="s">
        <v>267</v>
      </c>
      <c r="B15" s="180">
        <v>7.6899999999999996E-2</v>
      </c>
      <c r="C15" s="180"/>
      <c r="D15" s="189"/>
      <c r="G15" s="25" t="s">
        <v>262</v>
      </c>
      <c r="H15" s="6">
        <v>25</v>
      </c>
      <c r="I15" s="6">
        <v>25</v>
      </c>
      <c r="J15" s="6">
        <v>25</v>
      </c>
      <c r="K15" s="6">
        <v>25</v>
      </c>
      <c r="L15" s="6">
        <v>25</v>
      </c>
      <c r="M15" s="6">
        <v>25</v>
      </c>
      <c r="N15" s="6">
        <v>25</v>
      </c>
      <c r="O15" s="140">
        <v>190</v>
      </c>
      <c r="P15" s="6">
        <v>25</v>
      </c>
      <c r="Q15" s="6">
        <v>25</v>
      </c>
      <c r="R15" s="6">
        <v>25</v>
      </c>
      <c r="S15" s="27">
        <v>25</v>
      </c>
      <c r="T15" s="104"/>
      <c r="U15" s="108"/>
    </row>
    <row r="16" spans="1:37" ht="30">
      <c r="A16" s="18" t="s">
        <v>78</v>
      </c>
      <c r="B16" s="180">
        <v>23.5</v>
      </c>
      <c r="C16" s="180" t="s">
        <v>79</v>
      </c>
      <c r="D16" s="189" t="s">
        <v>80</v>
      </c>
      <c r="G16" s="25" t="s">
        <v>264</v>
      </c>
      <c r="H16" s="153">
        <v>1</v>
      </c>
      <c r="I16" s="153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140">
        <v>100</v>
      </c>
      <c r="P16" s="6">
        <v>1</v>
      </c>
      <c r="Q16" s="6">
        <v>1</v>
      </c>
      <c r="R16" s="6">
        <v>1</v>
      </c>
      <c r="S16" s="27">
        <v>1</v>
      </c>
      <c r="T16" s="104"/>
      <c r="U16" s="108"/>
    </row>
    <row r="17" spans="1:21">
      <c r="A17" s="25"/>
      <c r="B17" s="181"/>
      <c r="C17" s="180"/>
      <c r="D17" s="189"/>
      <c r="G17" s="25" t="s">
        <v>479</v>
      </c>
      <c r="H17" s="153">
        <v>10</v>
      </c>
      <c r="I17" s="153">
        <v>12</v>
      </c>
      <c r="J17" s="6"/>
      <c r="K17" s="6"/>
      <c r="L17" s="6"/>
      <c r="M17" s="6"/>
      <c r="N17" s="6"/>
      <c r="O17" s="6"/>
      <c r="P17" s="6"/>
      <c r="Q17" s="6"/>
      <c r="R17" s="6"/>
      <c r="S17" s="27"/>
      <c r="T17" s="104"/>
      <c r="U17" s="108"/>
    </row>
    <row r="18" spans="1:21">
      <c r="A18" s="25" t="s">
        <v>81</v>
      </c>
      <c r="B18" s="180">
        <v>8000</v>
      </c>
      <c r="C18" s="180" t="s">
        <v>52</v>
      </c>
      <c r="D18" s="189"/>
      <c r="G18" s="31"/>
      <c r="H18" s="268" t="s">
        <v>498</v>
      </c>
      <c r="I18" s="268"/>
      <c r="J18" s="268" t="s">
        <v>543</v>
      </c>
      <c r="K18" s="268"/>
      <c r="L18" s="268"/>
      <c r="M18" s="268"/>
      <c r="N18" s="268"/>
      <c r="O18" s="268"/>
      <c r="P18" s="268"/>
      <c r="Q18" s="268"/>
      <c r="R18" s="268"/>
      <c r="S18" s="269"/>
      <c r="T18" s="108"/>
      <c r="U18" s="108"/>
    </row>
    <row r="19" spans="1:21">
      <c r="A19" s="25" t="s">
        <v>82</v>
      </c>
      <c r="B19" s="180">
        <v>0.88</v>
      </c>
      <c r="C19" s="180"/>
      <c r="D19" s="189"/>
      <c r="G19" s="25"/>
      <c r="H19" s="26" t="s">
        <v>250</v>
      </c>
      <c r="I19" s="26" t="s">
        <v>251</v>
      </c>
      <c r="J19" s="26" t="s">
        <v>252</v>
      </c>
      <c r="K19" s="26" t="s">
        <v>253</v>
      </c>
      <c r="L19" s="26"/>
      <c r="M19" s="26"/>
      <c r="N19" s="26"/>
      <c r="O19" s="26"/>
      <c r="P19" s="26"/>
      <c r="Q19" s="26"/>
      <c r="R19" s="26"/>
      <c r="S19" s="86"/>
      <c r="T19" s="108"/>
      <c r="U19" s="108"/>
    </row>
    <row r="20" spans="1:21" ht="27.75" customHeight="1">
      <c r="A20" s="25" t="s">
        <v>544</v>
      </c>
      <c r="B20" s="182">
        <v>1.8</v>
      </c>
      <c r="C20" s="182"/>
      <c r="D20" s="189"/>
      <c r="G20" s="25" t="s">
        <v>500</v>
      </c>
      <c r="H20" s="6">
        <v>25</v>
      </c>
      <c r="I20" s="265" t="s">
        <v>541</v>
      </c>
      <c r="J20" s="265"/>
      <c r="K20" s="6"/>
      <c r="L20" s="6"/>
      <c r="M20" s="6"/>
      <c r="N20" s="6"/>
      <c r="O20" s="6"/>
      <c r="P20" s="6"/>
      <c r="Q20" s="6"/>
      <c r="R20" s="6"/>
      <c r="S20" s="27"/>
      <c r="T20" s="114"/>
      <c r="U20" s="108"/>
    </row>
    <row r="21" spans="1:21" ht="16.5" thickBot="1">
      <c r="A21" s="25" t="s">
        <v>140</v>
      </c>
      <c r="B21" s="180">
        <v>3</v>
      </c>
      <c r="C21" s="180"/>
      <c r="D21" s="189"/>
      <c r="G21" s="1" t="s">
        <v>501</v>
      </c>
      <c r="H21" s="29"/>
      <c r="I21" s="29">
        <f>H20+B48</f>
        <v>35</v>
      </c>
      <c r="J21" s="155" t="s">
        <v>542</v>
      </c>
      <c r="K21" s="155" t="s">
        <v>542</v>
      </c>
      <c r="L21" s="29"/>
      <c r="M21" s="29"/>
      <c r="N21" s="29"/>
      <c r="O21" s="29"/>
      <c r="P21" s="29"/>
      <c r="Q21" s="29"/>
      <c r="R21" s="29"/>
      <c r="S21" s="30"/>
      <c r="T21" s="114"/>
      <c r="U21" s="108"/>
    </row>
    <row r="22" spans="1:21" ht="25.5" customHeight="1" thickBot="1">
      <c r="A22" s="25" t="s">
        <v>0</v>
      </c>
      <c r="B22" s="180">
        <v>2017</v>
      </c>
      <c r="C22" s="180"/>
      <c r="D22" s="189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14"/>
      <c r="U22" s="108"/>
    </row>
    <row r="23" spans="1:21" ht="20.25" customHeight="1">
      <c r="A23" s="25" t="s">
        <v>484</v>
      </c>
      <c r="B23" s="181">
        <v>0.3</v>
      </c>
      <c r="C23" s="180" t="s">
        <v>485</v>
      </c>
      <c r="D23" s="189" t="s">
        <v>486</v>
      </c>
      <c r="G23" s="95" t="s">
        <v>528</v>
      </c>
      <c r="H23" s="148" t="s">
        <v>530</v>
      </c>
      <c r="I23" s="148" t="s">
        <v>531</v>
      </c>
      <c r="J23" s="148" t="s">
        <v>532</v>
      </c>
      <c r="K23" s="149" t="s">
        <v>533</v>
      </c>
      <c r="L23" s="108"/>
      <c r="M23" s="108"/>
      <c r="N23" s="108"/>
      <c r="O23" s="108"/>
      <c r="P23" s="108"/>
      <c r="Q23" s="108"/>
      <c r="R23" s="108"/>
      <c r="S23" s="108"/>
      <c r="T23" s="116"/>
      <c r="U23" s="108"/>
    </row>
    <row r="24" spans="1:21" ht="32.25" thickBot="1">
      <c r="A24" s="25" t="s">
        <v>495</v>
      </c>
      <c r="B24" s="181">
        <v>500</v>
      </c>
      <c r="C24" s="180" t="s">
        <v>496</v>
      </c>
      <c r="D24" s="190"/>
      <c r="G24" s="147" t="s">
        <v>529</v>
      </c>
      <c r="H24" s="150">
        <v>1</v>
      </c>
      <c r="I24" s="150">
        <v>2</v>
      </c>
      <c r="J24" s="150">
        <v>2</v>
      </c>
      <c r="K24" s="151">
        <v>1</v>
      </c>
      <c r="L24" s="108"/>
      <c r="M24" s="108"/>
      <c r="N24" s="108"/>
      <c r="O24" s="108"/>
      <c r="P24" s="108"/>
      <c r="Q24" s="108"/>
      <c r="R24" s="108"/>
      <c r="S24" s="108"/>
      <c r="T24" s="117"/>
      <c r="U24" s="108"/>
    </row>
    <row r="25" spans="1:21" ht="45" customHeight="1" thickBot="1">
      <c r="A25" s="25" t="s">
        <v>248</v>
      </c>
      <c r="B25" s="180">
        <v>3.27</v>
      </c>
      <c r="C25" s="180" t="s">
        <v>621</v>
      </c>
      <c r="D25" s="189" t="s">
        <v>521</v>
      </c>
      <c r="G25" s="108"/>
      <c r="H25" s="108"/>
      <c r="I25" s="108"/>
      <c r="J25" s="108"/>
      <c r="K25" s="108"/>
      <c r="L25" s="236"/>
      <c r="M25" s="108"/>
      <c r="N25" s="108"/>
      <c r="O25" s="108"/>
      <c r="P25" s="108"/>
      <c r="Q25" s="108"/>
      <c r="R25" s="108"/>
      <c r="S25" s="108"/>
      <c r="T25" s="117"/>
      <c r="U25" s="108"/>
    </row>
    <row r="26" spans="1:21" ht="31.5" customHeight="1">
      <c r="A26" s="25" t="s">
        <v>178</v>
      </c>
      <c r="B26" s="180">
        <v>0.997</v>
      </c>
      <c r="C26" s="180" t="s">
        <v>621</v>
      </c>
      <c r="D26" s="189"/>
      <c r="G26" s="95"/>
      <c r="H26" s="292" t="s">
        <v>480</v>
      </c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3"/>
      <c r="T26" s="117"/>
      <c r="U26" s="108"/>
    </row>
    <row r="27" spans="1:21">
      <c r="A27" s="25" t="s">
        <v>487</v>
      </c>
      <c r="B27" s="6">
        <v>0.125</v>
      </c>
      <c r="C27" s="180" t="s">
        <v>504</v>
      </c>
      <c r="D27" s="189"/>
      <c r="G27" s="25"/>
      <c r="H27" s="280" t="s">
        <v>237</v>
      </c>
      <c r="I27" s="281"/>
      <c r="J27" s="280" t="s">
        <v>238</v>
      </c>
      <c r="K27" s="281"/>
      <c r="L27" s="278" t="s">
        <v>520</v>
      </c>
      <c r="M27" s="279"/>
      <c r="N27" s="280" t="s">
        <v>240</v>
      </c>
      <c r="O27" s="281"/>
      <c r="P27" s="280" t="s">
        <v>241</v>
      </c>
      <c r="Q27" s="281"/>
      <c r="R27" s="287" t="s">
        <v>247</v>
      </c>
      <c r="S27" s="288"/>
      <c r="T27" s="106"/>
      <c r="U27" s="108"/>
    </row>
    <row r="28" spans="1:21" ht="53.25" customHeight="1">
      <c r="A28" s="237"/>
      <c r="B28" s="238"/>
      <c r="C28" s="180"/>
      <c r="D28" s="189"/>
      <c r="G28" s="18" t="s">
        <v>269</v>
      </c>
      <c r="H28" s="6"/>
      <c r="I28" s="96"/>
      <c r="J28" s="6">
        <f>2</f>
        <v>2</v>
      </c>
      <c r="K28" s="88" t="s">
        <v>270</v>
      </c>
      <c r="L28" s="140">
        <v>81</v>
      </c>
      <c r="M28" s="140">
        <v>0</v>
      </c>
      <c r="N28" s="273" t="s">
        <v>268</v>
      </c>
      <c r="O28" s="273"/>
      <c r="P28" s="23">
        <f>'Sanna et al. '!B7+'Sanna et al. '!B15</f>
        <v>17.49204665959703</v>
      </c>
      <c r="Q28" s="98" t="s">
        <v>512</v>
      </c>
      <c r="R28" s="235">
        <f>'[1]Nazmul Hassan et.al., Romeo, '!M6</f>
        <v>13</v>
      </c>
      <c r="S28" s="276" t="str">
        <f>'[1]Nazmul Hassan et.al., Romeo, '!O6</f>
        <v>Ref: S11 -Van der Assen 2016 " Selecting CO2 Sources for CO2 Utilization by Environmental-Merit-order Curves_Supporting info"</v>
      </c>
      <c r="T28" s="106"/>
      <c r="U28" s="108"/>
    </row>
    <row r="29" spans="1:21" ht="47.25">
      <c r="A29" s="25" t="s">
        <v>182</v>
      </c>
      <c r="B29" s="180">
        <v>1</v>
      </c>
      <c r="C29" s="180"/>
      <c r="D29" s="189"/>
      <c r="G29" s="97" t="s">
        <v>580</v>
      </c>
      <c r="H29" s="6"/>
      <c r="I29" s="6"/>
      <c r="J29" s="6"/>
      <c r="K29" s="98"/>
      <c r="L29" s="6"/>
      <c r="M29" s="98"/>
      <c r="N29" s="274"/>
      <c r="O29" s="274"/>
      <c r="P29" s="6"/>
      <c r="Q29" s="6"/>
      <c r="R29" s="235">
        <f>'[1]Nazmul Hassan et.al., Romeo, '!M7</f>
        <v>3.6</v>
      </c>
      <c r="S29" s="277"/>
      <c r="T29" s="106"/>
      <c r="U29" s="108"/>
    </row>
    <row r="30" spans="1:21" ht="59.25" customHeight="1">
      <c r="A30" s="25" t="s">
        <v>184</v>
      </c>
      <c r="B30" s="183">
        <v>0.1</v>
      </c>
      <c r="C30" s="180"/>
      <c r="D30" s="189" t="s">
        <v>185</v>
      </c>
      <c r="G30" s="97" t="s">
        <v>410</v>
      </c>
      <c r="H30" s="6"/>
      <c r="I30" s="6"/>
      <c r="J30" s="6"/>
      <c r="K30" s="98"/>
      <c r="L30" s="6"/>
      <c r="M30" s="98"/>
      <c r="N30" s="274"/>
      <c r="O30" s="274"/>
      <c r="P30" s="6"/>
      <c r="Q30" s="6"/>
      <c r="R30" s="235">
        <f>'[1]Nazmul Hassan et.al., Romeo, '!M8</f>
        <v>3.3917000000000002</v>
      </c>
      <c r="S30" s="168" t="str">
        <f>'[1]Nazmul Hassan et.al., Romeo, '!O8</f>
        <v>"Fuel production from CO2 using solar-thermal energy: system level analysis
Kim J Johnson T Miller J Stechel E Maravelias C"</v>
      </c>
      <c r="T30" s="106"/>
      <c r="U30" s="108"/>
    </row>
    <row r="31" spans="1:21">
      <c r="A31" s="25" t="s">
        <v>186</v>
      </c>
      <c r="B31" s="180">
        <v>190</v>
      </c>
      <c r="C31" s="180" t="s">
        <v>53</v>
      </c>
      <c r="D31" s="189"/>
      <c r="G31" s="25" t="s">
        <v>475</v>
      </c>
      <c r="H31" s="6"/>
      <c r="I31" s="6"/>
      <c r="J31" s="6"/>
      <c r="K31" s="98"/>
      <c r="L31" s="6"/>
      <c r="M31" s="98"/>
      <c r="N31" s="140">
        <v>0.5</v>
      </c>
      <c r="O31" s="6" t="s">
        <v>491</v>
      </c>
      <c r="P31" s="6"/>
      <c r="Q31" s="6"/>
      <c r="R31" s="235"/>
      <c r="S31" s="165"/>
      <c r="T31" s="106"/>
      <c r="U31" s="108"/>
    </row>
    <row r="32" spans="1:21" ht="30">
      <c r="A32" s="25" t="s">
        <v>190</v>
      </c>
      <c r="B32" s="181">
        <v>1</v>
      </c>
      <c r="C32" s="180"/>
      <c r="D32" s="189" t="s">
        <v>191</v>
      </c>
      <c r="G32" s="25" t="s">
        <v>217</v>
      </c>
      <c r="H32" s="6"/>
      <c r="I32" s="6"/>
      <c r="J32" s="6"/>
      <c r="K32" s="98"/>
      <c r="L32" s="6"/>
      <c r="M32" s="98"/>
      <c r="N32" s="140">
        <v>0.75</v>
      </c>
      <c r="O32" s="6" t="s">
        <v>491</v>
      </c>
      <c r="P32" s="6"/>
      <c r="Q32" s="6"/>
      <c r="R32" s="235"/>
      <c r="S32" s="165"/>
      <c r="T32" s="106"/>
      <c r="U32" s="108"/>
    </row>
    <row r="33" spans="1:21" ht="13.5" customHeight="1">
      <c r="A33" s="25" t="s">
        <v>194</v>
      </c>
      <c r="B33" s="180">
        <v>8000</v>
      </c>
      <c r="C33" s="180" t="s">
        <v>195</v>
      </c>
      <c r="D33" s="189" t="s">
        <v>185</v>
      </c>
      <c r="G33" s="25" t="s">
        <v>525</v>
      </c>
      <c r="H33" s="6"/>
      <c r="I33" s="6"/>
      <c r="J33" s="6"/>
      <c r="K33" s="98"/>
      <c r="L33" s="6"/>
      <c r="M33" s="98"/>
      <c r="N33" s="140">
        <v>0</v>
      </c>
      <c r="O33" s="6" t="s">
        <v>491</v>
      </c>
      <c r="P33" s="6"/>
      <c r="Q33" s="6"/>
      <c r="R33" s="235"/>
      <c r="S33" s="165"/>
      <c r="T33" s="106"/>
      <c r="U33" s="108"/>
    </row>
    <row r="34" spans="1:21" ht="42" customHeight="1">
      <c r="A34" s="25" t="s">
        <v>207</v>
      </c>
      <c r="B34" s="180">
        <f>$B$52*0.5729</f>
        <v>0.45832000000000001</v>
      </c>
      <c r="C34" s="180"/>
      <c r="D34" s="275" t="s">
        <v>540</v>
      </c>
      <c r="G34" s="25" t="s">
        <v>526</v>
      </c>
      <c r="H34" s="6"/>
      <c r="I34" s="6"/>
      <c r="J34" s="6"/>
      <c r="K34" s="98"/>
      <c r="L34" s="6"/>
      <c r="M34" s="98"/>
      <c r="N34" s="140">
        <v>0</v>
      </c>
      <c r="O34" s="6" t="s">
        <v>491</v>
      </c>
      <c r="P34" s="6"/>
      <c r="Q34" s="6"/>
      <c r="R34" s="235"/>
      <c r="S34" s="165"/>
      <c r="T34" s="106"/>
      <c r="U34" s="108"/>
    </row>
    <row r="35" spans="1:21" ht="33" customHeight="1">
      <c r="A35" s="25" t="s">
        <v>208</v>
      </c>
      <c r="B35" s="180">
        <f>$B$52*0.4271</f>
        <v>0.34167999999999998</v>
      </c>
      <c r="C35" s="180"/>
      <c r="D35" s="275"/>
      <c r="G35" s="18" t="s">
        <v>548</v>
      </c>
      <c r="H35" s="6"/>
      <c r="I35" s="6"/>
      <c r="J35" s="6"/>
      <c r="K35" s="98"/>
      <c r="L35" s="6"/>
      <c r="M35" s="98"/>
      <c r="N35" s="132"/>
      <c r="O35" s="132"/>
      <c r="P35" s="6"/>
      <c r="Q35" s="6"/>
      <c r="R35" s="140">
        <f>'[1]Nazmul Hassan et.al., Romeo, '!M9/1000</f>
        <v>1.5E-3</v>
      </c>
      <c r="S35" s="167" t="str">
        <f>'[1]Nazmul Hassan et.al., Romeo, '!O9</f>
        <v>Ref Rubin from Martin Pehnt -" LCA of CCS from lignite power plants"</v>
      </c>
      <c r="T35" s="106"/>
      <c r="U35" s="108"/>
    </row>
    <row r="36" spans="1:21" ht="50.25" customHeight="1" thickBot="1">
      <c r="A36" s="25" t="s">
        <v>209</v>
      </c>
      <c r="B36" s="180">
        <f>1-$B$52</f>
        <v>0.19999999999999996</v>
      </c>
      <c r="C36" s="180"/>
      <c r="D36" s="189" t="s">
        <v>210</v>
      </c>
      <c r="G36" s="147" t="s">
        <v>569</v>
      </c>
      <c r="H36" s="29"/>
      <c r="I36" s="29"/>
      <c r="J36" s="29"/>
      <c r="K36" s="99"/>
      <c r="L36" s="29"/>
      <c r="M36" s="99"/>
      <c r="N36" s="133"/>
      <c r="O36" s="133"/>
      <c r="P36" s="29"/>
      <c r="Q36" s="29"/>
      <c r="R36" s="169">
        <f>'[1]Nazmul Hassan et.al., Romeo, '!F17*0.88</f>
        <v>3.0234897854580072</v>
      </c>
      <c r="S36" s="166" t="str">
        <f>'[1]Nazmul Hassan et.al., Romeo, '!E6</f>
        <v>"Techno-Economic Study of CO2 Capture from Existing Cement Plant Using MEA Scrubbing" - Hassan, S.M.; Douglas, Peter L.; Croiset, Eric</v>
      </c>
      <c r="T36" s="106"/>
      <c r="U36" s="208"/>
    </row>
    <row r="37" spans="1:21" ht="31.5" customHeight="1">
      <c r="A37" s="25" t="s">
        <v>271</v>
      </c>
      <c r="B37" s="180">
        <v>0.9</v>
      </c>
      <c r="C37" s="180"/>
      <c r="D37" s="189"/>
      <c r="G37" s="115"/>
      <c r="H37" s="104"/>
      <c r="I37" s="104"/>
      <c r="J37" s="104"/>
      <c r="K37" s="146"/>
      <c r="L37" s="236"/>
      <c r="M37" s="236"/>
      <c r="N37" s="106"/>
      <c r="O37" s="106"/>
      <c r="P37" s="208"/>
      <c r="Q37" s="104"/>
      <c r="R37" s="104"/>
      <c r="S37" s="106"/>
      <c r="T37" s="106"/>
      <c r="U37" s="208"/>
    </row>
    <row r="38" spans="1:21">
      <c r="A38" s="25" t="s">
        <v>234</v>
      </c>
      <c r="B38" s="180">
        <v>25</v>
      </c>
      <c r="C38" s="180" t="s">
        <v>53</v>
      </c>
      <c r="D38" s="189"/>
      <c r="G38" s="115"/>
      <c r="H38" s="104"/>
      <c r="I38" s="104"/>
      <c r="J38" s="104"/>
      <c r="K38" s="146"/>
      <c r="L38" s="104"/>
      <c r="M38" s="146"/>
      <c r="N38" s="106"/>
      <c r="O38" s="106"/>
      <c r="P38" s="208"/>
      <c r="Q38" s="104"/>
      <c r="R38" s="104"/>
      <c r="S38" s="106"/>
      <c r="T38" s="106"/>
      <c r="U38" s="108"/>
    </row>
    <row r="39" spans="1:21">
      <c r="A39" s="25" t="s">
        <v>235</v>
      </c>
      <c r="B39" s="6">
        <v>0.7</v>
      </c>
      <c r="C39" s="180"/>
      <c r="D39" s="189"/>
      <c r="G39" s="104"/>
      <c r="H39" s="104"/>
      <c r="I39" s="104"/>
      <c r="J39" s="104"/>
      <c r="K39" s="146"/>
      <c r="L39" s="104"/>
      <c r="M39" s="146"/>
      <c r="N39" s="106"/>
      <c r="O39" s="106"/>
      <c r="P39" s="208"/>
      <c r="Q39" s="104"/>
      <c r="R39" s="104"/>
      <c r="S39" s="106"/>
      <c r="T39" s="108"/>
      <c r="U39" s="118"/>
    </row>
    <row r="40" spans="1:21" ht="54.75" customHeight="1" thickBot="1">
      <c r="A40" s="25" t="s">
        <v>481</v>
      </c>
      <c r="B40" s="6">
        <v>0.6</v>
      </c>
      <c r="C40" s="180"/>
      <c r="D40" s="189"/>
      <c r="G40" s="108"/>
      <c r="H40" s="108"/>
      <c r="I40" s="108"/>
      <c r="J40" s="108"/>
      <c r="K40" s="108"/>
      <c r="L40" s="104"/>
      <c r="M40" s="104"/>
      <c r="N40" s="104"/>
      <c r="O40" s="104"/>
      <c r="P40" s="140"/>
      <c r="Q40" s="108"/>
      <c r="R40" s="108"/>
      <c r="S40" s="106"/>
      <c r="T40" s="108"/>
      <c r="U40" s="118"/>
    </row>
    <row r="41" spans="1:21" ht="31.5" customHeight="1">
      <c r="A41" s="25" t="s">
        <v>236</v>
      </c>
      <c r="B41" s="180">
        <v>40.32</v>
      </c>
      <c r="C41" s="180" t="s">
        <v>77</v>
      </c>
      <c r="D41" s="189"/>
      <c r="G41" s="95"/>
      <c r="H41" s="289" t="s">
        <v>279</v>
      </c>
      <c r="I41" s="290"/>
      <c r="J41" s="291"/>
      <c r="K41" s="108"/>
      <c r="L41" s="115"/>
      <c r="M41" s="326"/>
      <c r="N41" s="326"/>
      <c r="O41" s="326"/>
      <c r="P41" s="108"/>
      <c r="Q41" s="95"/>
      <c r="R41" s="163" t="s">
        <v>414</v>
      </c>
      <c r="S41" s="164"/>
      <c r="T41" s="85"/>
      <c r="U41" s="118"/>
    </row>
    <row r="42" spans="1:21">
      <c r="A42" s="25" t="s">
        <v>273</v>
      </c>
      <c r="B42" s="180">
        <v>0.8</v>
      </c>
      <c r="C42" s="180" t="s">
        <v>274</v>
      </c>
      <c r="D42" s="190"/>
      <c r="G42" s="25"/>
      <c r="H42" s="101" t="s">
        <v>278</v>
      </c>
      <c r="I42" s="101" t="s">
        <v>75</v>
      </c>
      <c r="J42" s="138" t="s">
        <v>72</v>
      </c>
      <c r="K42" s="107"/>
      <c r="L42" s="115"/>
      <c r="M42" s="327"/>
      <c r="N42" s="327"/>
      <c r="O42" s="327"/>
      <c r="P42" s="108"/>
      <c r="Q42" s="25"/>
      <c r="R42" s="101" t="s">
        <v>278</v>
      </c>
      <c r="S42" s="101" t="s">
        <v>75</v>
      </c>
      <c r="T42" s="138" t="s">
        <v>72</v>
      </c>
      <c r="U42" s="118"/>
    </row>
    <row r="43" spans="1:21" ht="75">
      <c r="A43" s="25" t="s">
        <v>277</v>
      </c>
      <c r="B43" s="182">
        <v>0.6</v>
      </c>
      <c r="C43" s="180"/>
      <c r="D43" s="189" t="s">
        <v>276</v>
      </c>
      <c r="G43" s="25" t="s">
        <v>243</v>
      </c>
      <c r="H43" s="6">
        <v>0</v>
      </c>
      <c r="I43" s="96" t="s">
        <v>280</v>
      </c>
      <c r="J43" s="27"/>
      <c r="K43" s="109"/>
      <c r="L43" s="115"/>
      <c r="M43" s="104"/>
      <c r="N43" s="328"/>
      <c r="O43" s="104"/>
      <c r="P43" s="108"/>
      <c r="Q43" s="25" t="s">
        <v>409</v>
      </c>
      <c r="R43" s="6">
        <v>62</v>
      </c>
      <c r="S43" s="6" t="s">
        <v>411</v>
      </c>
      <c r="T43" s="100" t="s">
        <v>573</v>
      </c>
      <c r="U43" s="118"/>
    </row>
    <row r="44" spans="1:21" ht="75">
      <c r="A44" s="25" t="s">
        <v>439</v>
      </c>
      <c r="B44" s="181">
        <v>25</v>
      </c>
      <c r="C44" s="180" t="s">
        <v>440</v>
      </c>
      <c r="D44" s="190"/>
      <c r="G44" s="25" t="s">
        <v>244</v>
      </c>
      <c r="H44" s="6">
        <v>12</v>
      </c>
      <c r="I44" s="6" t="s">
        <v>280</v>
      </c>
      <c r="J44" s="100" t="s">
        <v>490</v>
      </c>
      <c r="K44" s="110"/>
      <c r="L44" s="115"/>
      <c r="M44" s="104"/>
      <c r="N44" s="104"/>
      <c r="O44" s="329"/>
      <c r="P44" s="108"/>
      <c r="Q44" s="18" t="s">
        <v>571</v>
      </c>
      <c r="R44" s="102">
        <v>32</v>
      </c>
      <c r="S44" s="7" t="s">
        <v>570</v>
      </c>
      <c r="T44" s="100" t="s">
        <v>572</v>
      </c>
      <c r="U44" s="118"/>
    </row>
    <row r="45" spans="1:21" ht="75">
      <c r="A45" s="25" t="s">
        <v>442</v>
      </c>
      <c r="B45" s="181">
        <v>1</v>
      </c>
      <c r="C45" s="180"/>
      <c r="D45" s="189" t="s">
        <v>443</v>
      </c>
      <c r="G45" s="25" t="s">
        <v>216</v>
      </c>
      <c r="H45" s="6">
        <v>0</v>
      </c>
      <c r="I45" s="6" t="s">
        <v>280</v>
      </c>
      <c r="J45" s="27"/>
      <c r="K45" s="110"/>
      <c r="L45" s="115"/>
      <c r="M45" s="330"/>
      <c r="N45" s="104"/>
      <c r="O45" s="329"/>
      <c r="P45" s="108"/>
      <c r="Q45" s="18" t="s">
        <v>412</v>
      </c>
      <c r="R45" s="6">
        <v>8.9099999999999999E-2</v>
      </c>
      <c r="S45" s="6" t="s">
        <v>5</v>
      </c>
      <c r="T45" s="100" t="s">
        <v>6</v>
      </c>
      <c r="U45" s="118"/>
    </row>
    <row r="46" spans="1:21">
      <c r="A46" s="25" t="s">
        <v>482</v>
      </c>
      <c r="B46" s="181">
        <v>0.2</v>
      </c>
      <c r="C46" s="181" t="s">
        <v>416</v>
      </c>
      <c r="D46" s="190" t="s">
        <v>483</v>
      </c>
      <c r="G46" s="25" t="s">
        <v>215</v>
      </c>
      <c r="H46" s="6">
        <v>0</v>
      </c>
      <c r="I46" s="6" t="s">
        <v>280</v>
      </c>
      <c r="J46" s="100"/>
      <c r="K46" s="110"/>
      <c r="L46" s="115"/>
      <c r="M46" s="104"/>
      <c r="N46" s="104"/>
      <c r="O46" s="329"/>
      <c r="P46" s="108"/>
      <c r="Q46" s="25"/>
      <c r="R46" s="6"/>
      <c r="S46" s="6"/>
      <c r="T46" s="27"/>
      <c r="U46" s="118"/>
    </row>
    <row r="47" spans="1:21">
      <c r="A47" s="25" t="s">
        <v>494</v>
      </c>
      <c r="B47" s="6">
        <v>0.95</v>
      </c>
      <c r="C47" s="180"/>
      <c r="D47" s="190"/>
      <c r="E47" s="104">
        <v>0.9</v>
      </c>
      <c r="G47" s="25" t="s">
        <v>246</v>
      </c>
      <c r="H47" s="6">
        <v>0</v>
      </c>
      <c r="I47" s="6" t="s">
        <v>280</v>
      </c>
      <c r="J47" s="100"/>
      <c r="K47" s="110"/>
      <c r="L47" s="115"/>
      <c r="M47" s="331"/>
      <c r="N47" s="104"/>
      <c r="O47" s="329"/>
      <c r="P47" s="108"/>
      <c r="Q47" s="25"/>
      <c r="R47" s="6"/>
      <c r="S47" s="6"/>
      <c r="T47" s="100"/>
      <c r="U47" s="119"/>
    </row>
    <row r="48" spans="1:21" ht="31.5">
      <c r="A48" s="18" t="s">
        <v>499</v>
      </c>
      <c r="B48" s="181">
        <v>10</v>
      </c>
      <c r="C48" s="180" t="s">
        <v>497</v>
      </c>
      <c r="D48" s="190"/>
      <c r="G48" s="25" t="s">
        <v>242</v>
      </c>
      <c r="H48" s="6">
        <v>0</v>
      </c>
      <c r="I48" s="6" t="s">
        <v>280</v>
      </c>
      <c r="J48" s="100"/>
      <c r="K48" s="110"/>
      <c r="L48" s="115"/>
      <c r="M48" s="104"/>
      <c r="N48" s="104"/>
      <c r="O48" s="329"/>
      <c r="P48" s="108"/>
      <c r="Q48" s="25"/>
      <c r="R48" s="6"/>
      <c r="S48" s="6"/>
      <c r="T48" s="100"/>
      <c r="U48" s="119"/>
    </row>
    <row r="49" spans="1:37" ht="135">
      <c r="A49" s="25" t="s">
        <v>506</v>
      </c>
      <c r="B49" s="181">
        <v>4</v>
      </c>
      <c r="C49" s="180"/>
      <c r="D49" s="190" t="s">
        <v>507</v>
      </c>
      <c r="G49" s="25" t="s">
        <v>523</v>
      </c>
      <c r="H49" s="6">
        <v>0.2</v>
      </c>
      <c r="I49" s="6" t="s">
        <v>5</v>
      </c>
      <c r="J49" s="100" t="s">
        <v>522</v>
      </c>
      <c r="K49" s="110"/>
      <c r="L49" s="115"/>
      <c r="M49" s="104"/>
      <c r="N49" s="104"/>
      <c r="O49" s="329"/>
      <c r="P49" s="108"/>
      <c r="Q49" s="25"/>
      <c r="R49" s="6"/>
      <c r="S49" s="6"/>
      <c r="T49" s="27"/>
      <c r="U49" s="119"/>
    </row>
    <row r="50" spans="1:37">
      <c r="A50" s="25" t="s">
        <v>518</v>
      </c>
      <c r="B50" s="6">
        <v>0</v>
      </c>
      <c r="C50" s="180" t="s">
        <v>519</v>
      </c>
      <c r="D50" s="190"/>
      <c r="G50" s="25" t="s">
        <v>219</v>
      </c>
      <c r="H50" s="6">
        <v>0</v>
      </c>
      <c r="I50" s="6" t="s">
        <v>280</v>
      </c>
      <c r="J50" s="100"/>
      <c r="K50" s="110"/>
      <c r="L50" s="115"/>
      <c r="M50" s="331"/>
      <c r="N50" s="104"/>
      <c r="O50" s="329"/>
      <c r="P50" s="108"/>
      <c r="Q50" s="25"/>
      <c r="R50" s="6"/>
      <c r="S50" s="6"/>
      <c r="T50" s="27"/>
      <c r="U50" s="119"/>
    </row>
    <row r="51" spans="1:37" ht="105">
      <c r="A51" s="25" t="s">
        <v>612</v>
      </c>
      <c r="B51" s="181">
        <v>1</v>
      </c>
      <c r="C51" s="180"/>
      <c r="D51" s="190"/>
      <c r="G51" s="25" t="s">
        <v>475</v>
      </c>
      <c r="H51" s="6">
        <f>237.5*0.88</f>
        <v>209</v>
      </c>
      <c r="I51" s="6" t="s">
        <v>280</v>
      </c>
      <c r="J51" s="100" t="s">
        <v>476</v>
      </c>
      <c r="K51" s="110"/>
      <c r="L51" s="115"/>
      <c r="M51" s="104"/>
      <c r="N51" s="104"/>
      <c r="O51" s="329"/>
      <c r="P51" s="108"/>
      <c r="Q51" s="25"/>
      <c r="R51" s="6"/>
      <c r="S51" s="6"/>
      <c r="T51" s="27"/>
      <c r="U51" s="142"/>
    </row>
    <row r="52" spans="1:37" ht="86.25" customHeight="1">
      <c r="A52" s="25" t="s">
        <v>535</v>
      </c>
      <c r="B52" s="126">
        <v>0.8</v>
      </c>
      <c r="C52" s="180"/>
      <c r="D52" s="190"/>
      <c r="E52" s="104">
        <v>0.85</v>
      </c>
      <c r="G52" s="25" t="s">
        <v>217</v>
      </c>
      <c r="H52" s="6">
        <f>70*0.88</f>
        <v>61.6</v>
      </c>
      <c r="I52" s="6" t="s">
        <v>280</v>
      </c>
      <c r="J52" s="158" t="s">
        <v>493</v>
      </c>
      <c r="K52" s="110"/>
      <c r="L52" s="115"/>
      <c r="M52" s="104"/>
      <c r="N52" s="104"/>
      <c r="O52" s="329"/>
      <c r="P52" s="108"/>
      <c r="Q52" s="25"/>
      <c r="R52" s="6"/>
      <c r="S52" s="6"/>
      <c r="T52" s="27"/>
      <c r="U52" s="108"/>
    </row>
    <row r="53" spans="1:37" ht="135">
      <c r="A53" s="25" t="s">
        <v>559</v>
      </c>
      <c r="B53" s="181">
        <v>0.85</v>
      </c>
      <c r="C53" s="180"/>
      <c r="D53" s="193" t="s">
        <v>560</v>
      </c>
      <c r="G53" s="25" t="s">
        <v>546</v>
      </c>
      <c r="H53" s="6">
        <f>1500*0.88</f>
        <v>1320</v>
      </c>
      <c r="I53" s="6" t="s">
        <v>280</v>
      </c>
      <c r="J53" s="100" t="s">
        <v>547</v>
      </c>
      <c r="K53" s="110"/>
      <c r="L53" s="115"/>
      <c r="M53" s="104"/>
      <c r="N53" s="104"/>
      <c r="O53" s="329"/>
      <c r="P53" s="108"/>
      <c r="Q53" s="25"/>
      <c r="R53" s="6"/>
      <c r="S53" s="6"/>
      <c r="T53" s="130"/>
      <c r="U53" s="108"/>
    </row>
    <row r="54" spans="1:37" ht="56.25" customHeight="1">
      <c r="A54" s="25" t="s">
        <v>564</v>
      </c>
      <c r="B54" s="180">
        <v>10</v>
      </c>
      <c r="C54" s="180" t="s">
        <v>568</v>
      </c>
      <c r="D54" s="190" t="s">
        <v>507</v>
      </c>
      <c r="G54" s="25" t="s">
        <v>525</v>
      </c>
      <c r="H54" s="17">
        <v>403</v>
      </c>
      <c r="I54" s="6" t="s">
        <v>280</v>
      </c>
      <c r="J54" s="100" t="s">
        <v>524</v>
      </c>
      <c r="K54" s="110"/>
      <c r="L54" s="115"/>
      <c r="M54" s="104"/>
      <c r="N54" s="104"/>
      <c r="O54" s="329"/>
      <c r="P54" s="108"/>
      <c r="Q54" s="25"/>
      <c r="R54" s="6"/>
      <c r="S54" s="6"/>
      <c r="T54" s="130"/>
      <c r="U54" s="108"/>
    </row>
    <row r="55" spans="1:37" ht="96" customHeight="1" thickBot="1">
      <c r="A55" s="25" t="s">
        <v>567</v>
      </c>
      <c r="B55" s="184">
        <v>9.8127770000000005</v>
      </c>
      <c r="C55" s="180" t="s">
        <v>565</v>
      </c>
      <c r="D55" s="189" t="s">
        <v>566</v>
      </c>
      <c r="G55" s="1" t="s">
        <v>526</v>
      </c>
      <c r="H55" s="29">
        <v>1226</v>
      </c>
      <c r="I55" s="29" t="s">
        <v>280</v>
      </c>
      <c r="J55" s="103" t="s">
        <v>527</v>
      </c>
      <c r="K55" s="110"/>
      <c r="L55" s="115"/>
      <c r="M55" s="104"/>
      <c r="N55" s="104"/>
      <c r="O55" s="329"/>
      <c r="P55" s="108"/>
      <c r="Q55" s="1"/>
      <c r="R55" s="29"/>
      <c r="S55" s="29"/>
      <c r="T55" s="137"/>
      <c r="U55" s="108"/>
    </row>
    <row r="56" spans="1:37">
      <c r="A56" s="25" t="s">
        <v>581</v>
      </c>
      <c r="B56" s="185">
        <v>95</v>
      </c>
      <c r="C56" s="185" t="s">
        <v>582</v>
      </c>
      <c r="D56" s="191"/>
      <c r="G56" s="108"/>
      <c r="H56" s="108"/>
      <c r="I56" s="108"/>
      <c r="J56" s="108"/>
      <c r="K56" s="110"/>
      <c r="L56" s="108"/>
      <c r="M56" s="110"/>
      <c r="N56" s="111"/>
      <c r="O56" s="111"/>
      <c r="P56" s="108"/>
      <c r="Q56" s="108"/>
      <c r="R56" s="108"/>
      <c r="S56" s="106"/>
      <c r="T56" s="108"/>
      <c r="U56" s="108"/>
    </row>
    <row r="57" spans="1:37">
      <c r="A57" s="25" t="s">
        <v>583</v>
      </c>
      <c r="B57" s="180">
        <v>0.04</v>
      </c>
      <c r="C57" s="180" t="s">
        <v>586</v>
      </c>
      <c r="D57" s="283" t="s">
        <v>585</v>
      </c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</row>
    <row r="58" spans="1:37" s="173" customFormat="1" ht="41.25" customHeight="1" thickBot="1">
      <c r="A58" s="25" t="s">
        <v>584</v>
      </c>
      <c r="B58" s="180">
        <v>3.2000000000000001E-2</v>
      </c>
      <c r="C58" s="180" t="s">
        <v>586</v>
      </c>
      <c r="D58" s="284"/>
      <c r="E58" s="104"/>
      <c r="F58" s="104"/>
      <c r="G58" s="108"/>
      <c r="H58" s="108"/>
      <c r="I58" s="108"/>
      <c r="J58" s="228">
        <v>0.75</v>
      </c>
      <c r="K58" s="228">
        <v>0.75</v>
      </c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</row>
    <row r="59" spans="1:37" s="174" customFormat="1" ht="41.25" customHeight="1">
      <c r="A59" s="25" t="s">
        <v>702</v>
      </c>
      <c r="B59" s="180">
        <f>B58/10</f>
        <v>3.2000000000000002E-3</v>
      </c>
      <c r="C59" s="180" t="s">
        <v>587</v>
      </c>
      <c r="D59" s="192" t="s">
        <v>701</v>
      </c>
      <c r="E59" s="104"/>
      <c r="F59" s="104"/>
      <c r="G59" s="262" t="s">
        <v>653</v>
      </c>
      <c r="H59" s="263"/>
      <c r="I59" s="263"/>
      <c r="J59" s="263"/>
      <c r="K59" s="263"/>
      <c r="L59" s="263"/>
      <c r="M59" s="263"/>
      <c r="N59" s="263"/>
      <c r="O59" s="264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</row>
    <row r="60" spans="1:37" s="174" customFormat="1" ht="41.25" customHeight="1">
      <c r="A60" s="25" t="s">
        <v>700</v>
      </c>
      <c r="B60" s="180">
        <v>1200</v>
      </c>
      <c r="C60" s="180" t="s">
        <v>587</v>
      </c>
      <c r="D60" s="192"/>
      <c r="E60" s="104"/>
      <c r="F60" s="104"/>
      <c r="G60" s="201" t="s">
        <v>130</v>
      </c>
      <c r="H60" s="209" t="s">
        <v>636</v>
      </c>
      <c r="I60" s="209" t="s">
        <v>637</v>
      </c>
      <c r="J60" s="209" t="s">
        <v>638</v>
      </c>
      <c r="K60" s="210" t="s">
        <v>649</v>
      </c>
      <c r="L60" s="210" t="s">
        <v>639</v>
      </c>
      <c r="M60" s="210" t="s">
        <v>640</v>
      </c>
      <c r="N60" s="210" t="s">
        <v>641</v>
      </c>
      <c r="O60" s="247" t="s">
        <v>642</v>
      </c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</row>
    <row r="61" spans="1:37" s="177" customFormat="1" ht="41.25" customHeight="1">
      <c r="A61" s="201" t="s">
        <v>652</v>
      </c>
      <c r="B61" s="6">
        <v>372000</v>
      </c>
      <c r="C61" s="185" t="s">
        <v>651</v>
      </c>
      <c r="D61" s="282"/>
      <c r="E61" s="104"/>
      <c r="F61" s="104"/>
      <c r="G61" s="201">
        <v>1</v>
      </c>
      <c r="H61" s="205" t="s">
        <v>647</v>
      </c>
      <c r="I61" s="180">
        <f>B47</f>
        <v>0.95</v>
      </c>
      <c r="J61" s="180">
        <f>I61*(1-$J$58)</f>
        <v>0.23749999999999999</v>
      </c>
      <c r="K61" s="180">
        <v>1</v>
      </c>
      <c r="L61" s="180">
        <v>1</v>
      </c>
      <c r="M61" s="180">
        <v>35</v>
      </c>
      <c r="N61" s="180">
        <v>1</v>
      </c>
      <c r="O61" s="248" t="s">
        <v>646</v>
      </c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</row>
    <row r="62" spans="1:37" s="177" customFormat="1" ht="54.75" customHeight="1">
      <c r="A62" s="25" t="s">
        <v>697</v>
      </c>
      <c r="B62" s="6">
        <v>1</v>
      </c>
      <c r="C62" s="180" t="s">
        <v>8</v>
      </c>
      <c r="D62" s="282"/>
      <c r="E62" s="104"/>
      <c r="F62" s="104"/>
      <c r="G62" s="201">
        <f t="shared" ref="G62:G82" si="0">G61+1</f>
        <v>2</v>
      </c>
      <c r="H62" s="26" t="s">
        <v>706</v>
      </c>
      <c r="I62" s="180">
        <f>B80</f>
        <v>1.4717</v>
      </c>
      <c r="J62" s="180">
        <f t="shared" ref="J62:J64" si="1">I62*(1-$J$58)</f>
        <v>0.367925</v>
      </c>
      <c r="K62" s="180">
        <f>I62*(1+$K$58)</f>
        <v>2.575475</v>
      </c>
      <c r="L62" s="180">
        <v>1</v>
      </c>
      <c r="M62" s="180">
        <v>68</v>
      </c>
      <c r="N62" s="180">
        <v>1</v>
      </c>
      <c r="O62" s="249" t="s">
        <v>643</v>
      </c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</row>
    <row r="63" spans="1:37" s="177" customFormat="1" ht="41.25" customHeight="1">
      <c r="A63" s="25" t="s">
        <v>698</v>
      </c>
      <c r="B63" s="180">
        <v>0.1055</v>
      </c>
      <c r="C63" s="180"/>
      <c r="D63" s="282"/>
      <c r="E63" s="104"/>
      <c r="F63" s="104"/>
      <c r="G63" s="201">
        <f t="shared" si="0"/>
        <v>3</v>
      </c>
      <c r="H63" s="206" t="s">
        <v>719</v>
      </c>
      <c r="I63" s="207">
        <f>O16</f>
        <v>100</v>
      </c>
      <c r="J63" s="180">
        <f t="shared" si="1"/>
        <v>25</v>
      </c>
      <c r="K63" s="180">
        <f t="shared" ref="K63" si="2">I63*(1+$K$58)</f>
        <v>175</v>
      </c>
      <c r="L63" s="182">
        <v>4</v>
      </c>
      <c r="M63" s="182">
        <v>2</v>
      </c>
      <c r="N63" s="182">
        <v>8</v>
      </c>
      <c r="O63" s="250">
        <v>22</v>
      </c>
      <c r="P63" s="108"/>
      <c r="Q63" s="108"/>
      <c r="R63" s="108"/>
      <c r="S63" s="108"/>
      <c r="T63" s="108" t="s">
        <v>650</v>
      </c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</row>
    <row r="64" spans="1:37" s="177" customFormat="1" ht="41.25" customHeight="1">
      <c r="A64" s="25" t="s">
        <v>699</v>
      </c>
      <c r="B64" s="180">
        <v>20</v>
      </c>
      <c r="C64" s="180"/>
      <c r="D64" s="282"/>
      <c r="E64" s="104"/>
      <c r="F64" s="104"/>
      <c r="G64" s="201">
        <f t="shared" si="0"/>
        <v>4</v>
      </c>
      <c r="H64" s="206" t="s">
        <v>720</v>
      </c>
      <c r="I64" s="180">
        <f>O15</f>
        <v>190</v>
      </c>
      <c r="J64" s="180">
        <f t="shared" si="1"/>
        <v>47.5</v>
      </c>
      <c r="K64" s="180">
        <f t="shared" ref="K64" si="3">I64*(1+$K$58)</f>
        <v>332.5</v>
      </c>
      <c r="L64" s="180">
        <v>4</v>
      </c>
      <c r="M64" s="180">
        <v>1</v>
      </c>
      <c r="N64" s="181">
        <v>8</v>
      </c>
      <c r="O64" s="192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</row>
    <row r="65" spans="1:37" s="177" customFormat="1" ht="41.25" customHeight="1">
      <c r="A65" s="25" t="s">
        <v>704</v>
      </c>
      <c r="B65" s="180">
        <v>0.8</v>
      </c>
      <c r="C65" s="180"/>
      <c r="D65" s="282"/>
      <c r="E65" s="104"/>
      <c r="F65" s="104"/>
      <c r="G65" s="201">
        <f t="shared" si="0"/>
        <v>5</v>
      </c>
      <c r="H65" s="206" t="s">
        <v>645</v>
      </c>
      <c r="I65" s="180">
        <f>B39</f>
        <v>0.7</v>
      </c>
      <c r="J65" s="180">
        <f>I65*(1-$J$58)</f>
        <v>0.17499999999999999</v>
      </c>
      <c r="K65" s="180">
        <v>1</v>
      </c>
      <c r="L65" s="180">
        <v>1</v>
      </c>
      <c r="M65" s="181">
        <v>27</v>
      </c>
      <c r="N65" s="181">
        <v>1</v>
      </c>
      <c r="O65" s="192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</row>
    <row r="66" spans="1:37" s="177" customFormat="1" ht="41.25" customHeight="1">
      <c r="A66" s="25"/>
      <c r="B66" s="180"/>
      <c r="C66" s="180"/>
      <c r="D66" s="282"/>
      <c r="E66" s="104"/>
      <c r="F66" s="104"/>
      <c r="G66" s="201">
        <f t="shared" si="0"/>
        <v>6</v>
      </c>
      <c r="H66" s="232" t="s">
        <v>707</v>
      </c>
      <c r="I66" s="180">
        <f>B27</f>
        <v>0.125</v>
      </c>
      <c r="J66" s="180">
        <f>I66*(1-$J$58)</f>
        <v>3.125E-2</v>
      </c>
      <c r="K66" s="180">
        <f>I66*(1+$K$58)</f>
        <v>0.21875</v>
      </c>
      <c r="L66" s="180">
        <v>1</v>
      </c>
      <c r="M66" s="181">
        <v>15</v>
      </c>
      <c r="N66" s="181">
        <v>1</v>
      </c>
      <c r="O66" s="192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</row>
    <row r="67" spans="1:37" s="177" customFormat="1" ht="41.25" customHeight="1">
      <c r="A67" s="25"/>
      <c r="B67" s="180"/>
      <c r="C67" s="180"/>
      <c r="D67" s="282"/>
      <c r="E67" s="104"/>
      <c r="F67" s="104"/>
      <c r="G67" s="201">
        <f t="shared" si="0"/>
        <v>7</v>
      </c>
      <c r="H67" s="12" t="s">
        <v>708</v>
      </c>
      <c r="I67" s="180">
        <f>B64</f>
        <v>20</v>
      </c>
      <c r="J67" s="180">
        <f>I67*(1-$J$58)</f>
        <v>5</v>
      </c>
      <c r="K67" s="180">
        <f>I67*(1+$K$58)</f>
        <v>35</v>
      </c>
      <c r="L67" s="180">
        <v>1</v>
      </c>
      <c r="M67" s="180">
        <v>52</v>
      </c>
      <c r="N67" s="180">
        <v>1</v>
      </c>
      <c r="O67" s="192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</row>
    <row r="68" spans="1:37" s="177" customFormat="1" ht="41.25" customHeight="1">
      <c r="A68" s="25" t="s">
        <v>613</v>
      </c>
      <c r="B68" s="6">
        <v>102</v>
      </c>
      <c r="C68" s="180" t="s">
        <v>280</v>
      </c>
      <c r="D68" s="190"/>
      <c r="E68" s="104"/>
      <c r="F68" s="104"/>
      <c r="G68" s="201">
        <f t="shared" si="0"/>
        <v>8</v>
      </c>
      <c r="H68" s="12" t="s">
        <v>709</v>
      </c>
      <c r="I68" s="180">
        <f>B63</f>
        <v>0.1055</v>
      </c>
      <c r="J68" s="180">
        <f>I68*(1-$J$58)</f>
        <v>2.6374999999999999E-2</v>
      </c>
      <c r="K68" s="180">
        <f>I68*(1+$K$58)</f>
        <v>0.18462499999999998</v>
      </c>
      <c r="L68" s="180">
        <v>1</v>
      </c>
      <c r="M68" s="180">
        <v>51</v>
      </c>
      <c r="N68" s="180">
        <v>1</v>
      </c>
      <c r="O68" s="192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</row>
    <row r="69" spans="1:37" s="177" customFormat="1" ht="41.25" customHeight="1">
      <c r="A69" s="199" t="s">
        <v>614</v>
      </c>
      <c r="B69" s="6">
        <v>32</v>
      </c>
      <c r="C69" s="180" t="s">
        <v>280</v>
      </c>
      <c r="D69" s="190"/>
      <c r="E69" s="104"/>
      <c r="F69" s="104"/>
      <c r="G69" s="201">
        <f t="shared" si="0"/>
        <v>9</v>
      </c>
      <c r="H69" s="12" t="s">
        <v>710</v>
      </c>
      <c r="I69" s="180">
        <f>Matlab_input!H102</f>
        <v>0.85</v>
      </c>
      <c r="J69" s="180">
        <f t="shared" ref="J69" si="4">I69*(1-$J$58)</f>
        <v>0.21249999999999999</v>
      </c>
      <c r="K69" s="180">
        <f t="shared" ref="K69" si="5">I69*(1+$K$58)</f>
        <v>1.4875</v>
      </c>
      <c r="L69" s="180">
        <v>2</v>
      </c>
      <c r="M69" s="180">
        <v>100</v>
      </c>
      <c r="N69" s="180">
        <v>1</v>
      </c>
      <c r="O69" s="192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</row>
    <row r="70" spans="1:37" s="177" customFormat="1" ht="51" customHeight="1">
      <c r="A70" s="200" t="s">
        <v>615</v>
      </c>
      <c r="B70" s="180">
        <v>1.5</v>
      </c>
      <c r="C70" s="194"/>
      <c r="D70" s="234" t="s">
        <v>616</v>
      </c>
      <c r="E70" s="104"/>
      <c r="F70" s="104"/>
      <c r="G70" s="201">
        <f t="shared" si="0"/>
        <v>10</v>
      </c>
      <c r="H70" s="15" t="s">
        <v>654</v>
      </c>
      <c r="I70" s="211">
        <f>B15</f>
        <v>7.6899999999999996E-2</v>
      </c>
      <c r="J70" s="180">
        <f t="shared" ref="J70:J82" si="6">I70*(1-$J$58)</f>
        <v>1.9224999999999999E-2</v>
      </c>
      <c r="K70" s="180">
        <f>I70*(1+$K$58)</f>
        <v>0.134575</v>
      </c>
      <c r="L70" s="185">
        <v>1</v>
      </c>
      <c r="M70" s="185">
        <v>3</v>
      </c>
      <c r="N70" s="185">
        <v>1</v>
      </c>
      <c r="O70" s="251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</row>
    <row r="71" spans="1:37" s="177" customFormat="1" ht="41.25" customHeight="1">
      <c r="A71" s="201" t="s">
        <v>618</v>
      </c>
      <c r="B71" s="6">
        <v>0.08</v>
      </c>
      <c r="C71" s="194"/>
      <c r="D71" s="190"/>
      <c r="E71" s="104"/>
      <c r="F71" s="104"/>
      <c r="G71" s="201">
        <f t="shared" si="0"/>
        <v>11</v>
      </c>
      <c r="H71" s="206" t="s">
        <v>711</v>
      </c>
      <c r="I71" s="180">
        <f>B18</f>
        <v>8000</v>
      </c>
      <c r="J71" s="180">
        <f t="shared" si="6"/>
        <v>2000</v>
      </c>
      <c r="K71" s="180">
        <f>365*24</f>
        <v>8760</v>
      </c>
      <c r="L71" s="180">
        <v>1</v>
      </c>
      <c r="M71" s="181">
        <v>6</v>
      </c>
      <c r="N71" s="181">
        <v>1</v>
      </c>
      <c r="O71" s="251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</row>
    <row r="72" spans="1:37" s="174" customFormat="1" ht="41.25" customHeight="1">
      <c r="A72" s="201" t="s">
        <v>619</v>
      </c>
      <c r="B72" s="6">
        <v>0.12</v>
      </c>
      <c r="C72" s="180"/>
      <c r="D72" s="202"/>
      <c r="E72" s="104"/>
      <c r="F72" s="104"/>
      <c r="G72" s="201">
        <f t="shared" si="0"/>
        <v>12</v>
      </c>
      <c r="H72" s="26" t="s">
        <v>712</v>
      </c>
      <c r="I72" s="180">
        <f>R43</f>
        <v>62</v>
      </c>
      <c r="J72" s="180">
        <f t="shared" si="6"/>
        <v>15.5</v>
      </c>
      <c r="K72" s="180">
        <f t="shared" ref="K72:K82" si="7">I72*(1+$K$58)</f>
        <v>108.5</v>
      </c>
      <c r="L72" s="180">
        <v>4</v>
      </c>
      <c r="M72" s="181">
        <v>27</v>
      </c>
      <c r="N72" s="181">
        <v>1</v>
      </c>
      <c r="O72" s="192"/>
      <c r="P72" s="208"/>
      <c r="Q72" s="2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</row>
    <row r="73" spans="1:37" s="196" customFormat="1" ht="41.25" customHeight="1">
      <c r="A73" s="201" t="s">
        <v>620</v>
      </c>
      <c r="B73" s="180">
        <v>10</v>
      </c>
      <c r="C73" s="185" t="s">
        <v>587</v>
      </c>
      <c r="D73" s="202"/>
      <c r="E73" s="104"/>
      <c r="F73" s="104"/>
      <c r="G73" s="201">
        <f t="shared" si="0"/>
        <v>13</v>
      </c>
      <c r="H73" s="26" t="s">
        <v>713</v>
      </c>
      <c r="I73" s="102">
        <f>R44</f>
        <v>32</v>
      </c>
      <c r="J73" s="180">
        <f t="shared" si="6"/>
        <v>8</v>
      </c>
      <c r="K73" s="180">
        <f t="shared" si="7"/>
        <v>56</v>
      </c>
      <c r="L73" s="180">
        <v>4</v>
      </c>
      <c r="M73" s="180">
        <v>28</v>
      </c>
      <c r="N73" s="180">
        <v>1</v>
      </c>
      <c r="O73" s="192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</row>
    <row r="74" spans="1:37" s="196" customFormat="1" ht="41.25" customHeight="1">
      <c r="A74" s="201" t="s">
        <v>622</v>
      </c>
      <c r="B74" s="180">
        <v>455</v>
      </c>
      <c r="C74" s="185" t="s">
        <v>624</v>
      </c>
      <c r="D74" s="203" t="s">
        <v>623</v>
      </c>
      <c r="E74" s="104"/>
      <c r="F74" s="104"/>
      <c r="G74" s="201">
        <f t="shared" si="0"/>
        <v>14</v>
      </c>
      <c r="H74" s="252" t="s">
        <v>714</v>
      </c>
      <c r="I74" s="6">
        <f>H44</f>
        <v>12</v>
      </c>
      <c r="J74" s="180">
        <f t="shared" si="6"/>
        <v>3</v>
      </c>
      <c r="K74" s="180">
        <f t="shared" si="7"/>
        <v>21</v>
      </c>
      <c r="L74" s="180">
        <v>4</v>
      </c>
      <c r="M74" s="180">
        <v>12</v>
      </c>
      <c r="N74" s="180">
        <v>1</v>
      </c>
      <c r="O74" s="192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</row>
    <row r="75" spans="1:37" s="196" customFormat="1" ht="55.5" customHeight="1">
      <c r="A75" s="201" t="s">
        <v>625</v>
      </c>
      <c r="B75" s="6">
        <v>3000</v>
      </c>
      <c r="C75" s="185" t="s">
        <v>627</v>
      </c>
      <c r="D75" s="202" t="s">
        <v>628</v>
      </c>
      <c r="E75" s="104"/>
      <c r="F75" s="104"/>
      <c r="G75" s="201">
        <f t="shared" si="0"/>
        <v>15</v>
      </c>
      <c r="H75" s="26" t="s">
        <v>715</v>
      </c>
      <c r="I75" s="211">
        <f>H51</f>
        <v>209</v>
      </c>
      <c r="J75" s="180">
        <f t="shared" si="6"/>
        <v>52.25</v>
      </c>
      <c r="K75" s="180">
        <f t="shared" si="7"/>
        <v>365.75</v>
      </c>
      <c r="L75" s="211">
        <v>4</v>
      </c>
      <c r="M75" s="211">
        <v>19</v>
      </c>
      <c r="N75" s="211">
        <v>1</v>
      </c>
      <c r="O75" s="253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</row>
    <row r="76" spans="1:37" s="196" customFormat="1" ht="41.25" customHeight="1">
      <c r="A76" s="201" t="s">
        <v>626</v>
      </c>
      <c r="B76" s="180">
        <v>0.02</v>
      </c>
      <c r="C76" s="185" t="s">
        <v>416</v>
      </c>
      <c r="D76" s="202"/>
      <c r="E76" s="104"/>
      <c r="F76" s="104"/>
      <c r="G76" s="201">
        <f t="shared" si="0"/>
        <v>16</v>
      </c>
      <c r="H76" s="26" t="s">
        <v>716</v>
      </c>
      <c r="I76" s="6">
        <f>H52</f>
        <v>61.6</v>
      </c>
      <c r="J76" s="180">
        <f t="shared" si="6"/>
        <v>15.4</v>
      </c>
      <c r="K76" s="180">
        <f t="shared" si="7"/>
        <v>107.8</v>
      </c>
      <c r="L76" s="180">
        <v>4</v>
      </c>
      <c r="M76" s="180">
        <v>20</v>
      </c>
      <c r="N76" s="180">
        <v>1</v>
      </c>
      <c r="O76" s="192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</row>
    <row r="77" spans="1:37" s="196" customFormat="1" ht="41.25" customHeight="1">
      <c r="A77" s="201" t="s">
        <v>629</v>
      </c>
      <c r="B77" s="180">
        <v>0.2</v>
      </c>
      <c r="C77" s="185" t="s">
        <v>630</v>
      </c>
      <c r="D77" s="202"/>
      <c r="E77" s="104"/>
      <c r="F77" s="104"/>
      <c r="G77" s="201">
        <f t="shared" si="0"/>
        <v>17</v>
      </c>
      <c r="H77" s="26" t="s">
        <v>717</v>
      </c>
      <c r="I77" s="185">
        <f>H53</f>
        <v>1320</v>
      </c>
      <c r="J77" s="180">
        <f t="shared" si="6"/>
        <v>330</v>
      </c>
      <c r="K77" s="180">
        <f t="shared" si="7"/>
        <v>2310</v>
      </c>
      <c r="L77" s="185">
        <v>4</v>
      </c>
      <c r="M77" s="185">
        <v>21</v>
      </c>
      <c r="N77" s="185">
        <v>1</v>
      </c>
      <c r="O77" s="251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</row>
    <row r="78" spans="1:37" s="196" customFormat="1" ht="41.25" customHeight="1">
      <c r="A78" s="200" t="s">
        <v>631</v>
      </c>
      <c r="B78" s="180">
        <v>2.0499999999999998</v>
      </c>
      <c r="C78" s="185" t="s">
        <v>632</v>
      </c>
      <c r="D78" s="203" t="s">
        <v>633</v>
      </c>
      <c r="E78" s="104"/>
      <c r="F78" s="104"/>
      <c r="G78" s="201">
        <f t="shared" si="0"/>
        <v>18</v>
      </c>
      <c r="H78" s="21" t="s">
        <v>718</v>
      </c>
      <c r="I78" s="180">
        <v>140</v>
      </c>
      <c r="J78" s="180">
        <f t="shared" si="6"/>
        <v>35</v>
      </c>
      <c r="K78" s="180">
        <f t="shared" si="7"/>
        <v>245</v>
      </c>
      <c r="L78" s="181">
        <v>0</v>
      </c>
      <c r="M78" s="181">
        <v>0</v>
      </c>
      <c r="N78" s="181">
        <v>0</v>
      </c>
      <c r="O78" s="192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</row>
    <row r="79" spans="1:37" s="196" customFormat="1" ht="41.25" customHeight="1">
      <c r="A79" s="201" t="s">
        <v>634</v>
      </c>
      <c r="B79" s="180">
        <v>80</v>
      </c>
      <c r="C79" s="185" t="s">
        <v>53</v>
      </c>
      <c r="D79" s="202" t="s">
        <v>635</v>
      </c>
      <c r="E79" s="104"/>
      <c r="F79" s="104"/>
      <c r="G79" s="201">
        <f t="shared" si="0"/>
        <v>19</v>
      </c>
      <c r="H79" s="21" t="s">
        <v>723</v>
      </c>
      <c r="I79" s="185">
        <f>B71</f>
        <v>0.08</v>
      </c>
      <c r="J79" s="230">
        <f t="shared" si="6"/>
        <v>0.02</v>
      </c>
      <c r="K79" s="230">
        <f t="shared" si="7"/>
        <v>0.14000000000000001</v>
      </c>
      <c r="L79" s="231">
        <v>1</v>
      </c>
      <c r="M79" s="231">
        <v>59</v>
      </c>
      <c r="N79" s="231">
        <v>1</v>
      </c>
      <c r="O79" s="254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</row>
    <row r="80" spans="1:37" s="196" customFormat="1" ht="41.25" customHeight="1">
      <c r="A80" s="214" t="s">
        <v>661</v>
      </c>
      <c r="B80" s="104">
        <v>1.4717</v>
      </c>
      <c r="C80" s="6"/>
      <c r="D80" s="202"/>
      <c r="E80" s="104"/>
      <c r="F80" s="104"/>
      <c r="G80" s="201">
        <f t="shared" si="0"/>
        <v>20</v>
      </c>
      <c r="H80" s="21" t="s">
        <v>705</v>
      </c>
      <c r="I80" s="185">
        <f>B60</f>
        <v>1200</v>
      </c>
      <c r="J80" s="194">
        <f t="shared" si="6"/>
        <v>300</v>
      </c>
      <c r="K80" s="194">
        <f t="shared" si="7"/>
        <v>2100</v>
      </c>
      <c r="L80" s="229">
        <v>1</v>
      </c>
      <c r="M80" s="229">
        <v>48</v>
      </c>
      <c r="N80" s="229">
        <v>1</v>
      </c>
      <c r="O80" s="255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</row>
    <row r="81" spans="1:37" s="196" customFormat="1" ht="41.25" customHeight="1">
      <c r="A81" s="201" t="s">
        <v>662</v>
      </c>
      <c r="B81" s="104">
        <v>10</v>
      </c>
      <c r="C81" s="185" t="s">
        <v>50</v>
      </c>
      <c r="D81" s="202"/>
      <c r="E81" s="6"/>
      <c r="F81" s="104"/>
      <c r="G81" s="201">
        <f t="shared" si="0"/>
        <v>21</v>
      </c>
      <c r="H81" s="206" t="s">
        <v>721</v>
      </c>
      <c r="I81" s="180">
        <v>102</v>
      </c>
      <c r="J81" s="180">
        <f t="shared" si="6"/>
        <v>25.5</v>
      </c>
      <c r="K81" s="180">
        <f t="shared" si="7"/>
        <v>178.5</v>
      </c>
      <c r="L81" s="180">
        <v>1</v>
      </c>
      <c r="M81" s="181">
        <v>56</v>
      </c>
      <c r="N81" s="181">
        <v>1</v>
      </c>
      <c r="O81" s="192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</row>
    <row r="82" spans="1:37" s="196" customFormat="1" ht="41.25" customHeight="1" thickBot="1">
      <c r="A82" s="225" t="s">
        <v>675</v>
      </c>
      <c r="B82" s="215">
        <v>417</v>
      </c>
      <c r="C82" s="221" t="s">
        <v>676</v>
      </c>
      <c r="D82" s="224"/>
      <c r="E82" s="104"/>
      <c r="F82" s="104"/>
      <c r="G82" s="256">
        <f t="shared" si="0"/>
        <v>22</v>
      </c>
      <c r="H82" s="257" t="s">
        <v>722</v>
      </c>
      <c r="I82" s="258">
        <v>32</v>
      </c>
      <c r="J82" s="259">
        <f t="shared" si="6"/>
        <v>8</v>
      </c>
      <c r="K82" s="259">
        <f t="shared" si="7"/>
        <v>56</v>
      </c>
      <c r="L82" s="259">
        <v>1</v>
      </c>
      <c r="M82" s="260">
        <v>57</v>
      </c>
      <c r="N82" s="260">
        <v>1</v>
      </c>
      <c r="O82" s="261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</row>
    <row r="83" spans="1:37" s="196" customFormat="1" ht="41.25" customHeight="1">
      <c r="A83" s="225" t="s">
        <v>677</v>
      </c>
      <c r="B83" s="222">
        <v>241</v>
      </c>
      <c r="C83" s="223" t="s">
        <v>676</v>
      </c>
      <c r="D83" s="224"/>
      <c r="E83" s="104"/>
      <c r="F83" s="104"/>
      <c r="G83" s="108"/>
      <c r="H83" s="104"/>
      <c r="I83" s="104"/>
      <c r="J83" s="104"/>
      <c r="K83" s="104"/>
      <c r="L83" s="104"/>
      <c r="M83" s="104"/>
      <c r="N83" s="104"/>
      <c r="O83" s="104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</row>
    <row r="84" spans="1:37" s="196" customFormat="1" ht="41.25" customHeight="1">
      <c r="A84" s="225" t="s">
        <v>678</v>
      </c>
      <c r="B84" s="215">
        <f>25.8/1000</f>
        <v>2.58E-2</v>
      </c>
      <c r="C84" s="221" t="s">
        <v>679</v>
      </c>
      <c r="D84" s="224"/>
      <c r="E84" s="104"/>
      <c r="F84" s="104"/>
      <c r="G84" s="108"/>
      <c r="H84" s="104"/>
      <c r="I84" s="104"/>
      <c r="J84" s="104"/>
      <c r="K84" s="104"/>
      <c r="L84" s="104"/>
      <c r="M84" s="104"/>
      <c r="N84" s="104"/>
      <c r="O84" s="104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</row>
    <row r="85" spans="1:37" s="196" customFormat="1" ht="41.25" customHeight="1">
      <c r="A85" s="225" t="s">
        <v>680</v>
      </c>
      <c r="B85" s="215">
        <f>79.1/1000</f>
        <v>7.909999999999999E-2</v>
      </c>
      <c r="C85" s="221" t="s">
        <v>679</v>
      </c>
      <c r="D85" s="224"/>
      <c r="E85" s="104"/>
      <c r="F85" s="104"/>
      <c r="G85" s="108"/>
      <c r="H85" s="104"/>
      <c r="I85" s="104"/>
      <c r="J85" s="104"/>
      <c r="K85" s="104"/>
      <c r="L85" s="104"/>
      <c r="M85" s="104"/>
      <c r="N85" s="104"/>
      <c r="O85" s="104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</row>
    <row r="86" spans="1:37" s="196" customFormat="1" ht="41.25" customHeight="1">
      <c r="A86" s="225" t="s">
        <v>681</v>
      </c>
      <c r="B86" s="215">
        <v>5.23</v>
      </c>
      <c r="C86" s="221" t="s">
        <v>682</v>
      </c>
      <c r="D86" s="224"/>
      <c r="E86" s="104"/>
      <c r="F86" s="104"/>
      <c r="G86" s="108"/>
      <c r="H86" s="104"/>
      <c r="I86" s="104"/>
      <c r="J86" s="104"/>
      <c r="K86" s="104"/>
      <c r="L86" s="104"/>
      <c r="M86" s="104"/>
      <c r="N86" s="104"/>
      <c r="O86" s="104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</row>
    <row r="87" spans="1:37" s="220" customFormat="1" ht="41.25" customHeight="1">
      <c r="A87" s="239" t="s">
        <v>683</v>
      </c>
      <c r="B87" s="240">
        <v>0</v>
      </c>
      <c r="C87" s="241" t="s">
        <v>684</v>
      </c>
      <c r="D87" s="242"/>
      <c r="E87" s="104" t="s">
        <v>730</v>
      </c>
      <c r="F87" s="104"/>
      <c r="G87" s="108"/>
      <c r="H87" s="104"/>
      <c r="I87" s="104"/>
      <c r="J87" s="104"/>
      <c r="K87" s="104"/>
      <c r="L87" s="104"/>
      <c r="M87" s="104"/>
      <c r="N87" s="104"/>
      <c r="O87" s="104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</row>
    <row r="88" spans="1:37" s="220" customFormat="1" ht="41.25" customHeight="1">
      <c r="A88" s="239" t="s">
        <v>685</v>
      </c>
      <c r="B88" s="240">
        <v>0</v>
      </c>
      <c r="C88" s="243" t="s">
        <v>686</v>
      </c>
      <c r="D88" s="242"/>
      <c r="E88" s="104"/>
      <c r="F88" s="104"/>
      <c r="G88" s="108"/>
      <c r="H88" s="104"/>
      <c r="I88" s="104"/>
      <c r="J88" s="104"/>
      <c r="K88" s="104"/>
      <c r="L88" s="104"/>
      <c r="M88" s="104"/>
      <c r="N88" s="104"/>
      <c r="O88" s="104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</row>
    <row r="89" spans="1:37" s="220" customFormat="1" ht="41.25" customHeight="1">
      <c r="A89" s="225" t="s">
        <v>687</v>
      </c>
      <c r="B89" s="215">
        <v>852</v>
      </c>
      <c r="C89" s="215" t="s">
        <v>688</v>
      </c>
      <c r="D89" s="224"/>
      <c r="E89" s="104"/>
      <c r="F89" s="104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</row>
    <row r="90" spans="1:37" s="220" customFormat="1" ht="41.25" customHeight="1">
      <c r="A90" s="239" t="s">
        <v>689</v>
      </c>
      <c r="B90" s="240">
        <v>0</v>
      </c>
      <c r="C90" s="240" t="s">
        <v>684</v>
      </c>
      <c r="D90" s="242"/>
      <c r="E90" s="104"/>
      <c r="F90" s="104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</row>
    <row r="91" spans="1:37" s="220" customFormat="1" ht="41.25" customHeight="1">
      <c r="A91" s="239" t="s">
        <v>690</v>
      </c>
      <c r="B91" s="240">
        <v>0</v>
      </c>
      <c r="C91" s="240" t="s">
        <v>684</v>
      </c>
      <c r="D91" s="242"/>
      <c r="E91" s="104"/>
      <c r="F91" s="104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</row>
    <row r="92" spans="1:37" s="220" customFormat="1" ht="41.25" customHeight="1" thickBot="1">
      <c r="A92" s="244" t="s">
        <v>691</v>
      </c>
      <c r="B92" s="245">
        <v>0</v>
      </c>
      <c r="C92" s="245" t="s">
        <v>684</v>
      </c>
      <c r="D92" s="242"/>
      <c r="E92" s="104"/>
      <c r="F92" s="104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</row>
    <row r="93" spans="1:37" s="220" customFormat="1" ht="41.25" customHeight="1" thickBot="1">
      <c r="A93" s="226" t="s">
        <v>703</v>
      </c>
      <c r="B93" s="227">
        <f>33/1000</f>
        <v>3.3000000000000002E-2</v>
      </c>
      <c r="C93" s="246" t="s">
        <v>679</v>
      </c>
      <c r="D93" s="204"/>
      <c r="E93" s="104"/>
      <c r="F93" s="104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</row>
    <row r="94" spans="1:37" s="220" customFormat="1" ht="41.25" customHeight="1">
      <c r="A94" s="39"/>
      <c r="B94" s="108"/>
      <c r="C94" s="104"/>
      <c r="D94" s="198"/>
      <c r="E94" s="104"/>
      <c r="F94" s="104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</row>
    <row r="95" spans="1:37" s="220" customFormat="1" ht="41.25" customHeight="1">
      <c r="A95" s="39"/>
      <c r="B95" s="108"/>
      <c r="C95" s="104"/>
      <c r="D95" s="198"/>
      <c r="E95" s="104"/>
      <c r="F95" s="104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</row>
    <row r="96" spans="1:37" s="220" customFormat="1" ht="41.25" customHeight="1">
      <c r="A96" s="39"/>
      <c r="B96" s="108"/>
      <c r="C96" s="104"/>
      <c r="D96" s="198"/>
      <c r="E96" s="104"/>
      <c r="F96" s="104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</row>
    <row r="97" spans="1:37" s="220" customFormat="1" ht="41.25" customHeight="1">
      <c r="A97" s="39"/>
      <c r="B97" s="108"/>
      <c r="C97" s="104"/>
      <c r="D97" s="198"/>
      <c r="E97" s="104"/>
      <c r="F97" s="104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</row>
    <row r="98" spans="1:37" s="220" customFormat="1" ht="41.25" customHeight="1">
      <c r="A98" s="39"/>
      <c r="B98" s="108"/>
      <c r="C98" s="104"/>
      <c r="D98" s="198"/>
      <c r="E98" s="104"/>
      <c r="F98" s="104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</row>
    <row r="99" spans="1:37" s="220" customFormat="1" ht="41.25" customHeight="1">
      <c r="A99" s="39"/>
      <c r="B99" s="108"/>
      <c r="C99" s="104"/>
      <c r="D99" s="198"/>
      <c r="E99" s="104"/>
      <c r="F99" s="104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</row>
    <row r="100" spans="1:37" s="220" customFormat="1" ht="41.25" customHeight="1">
      <c r="A100" s="39"/>
      <c r="B100" s="108"/>
      <c r="C100" s="104"/>
      <c r="D100" s="198"/>
      <c r="E100" s="104"/>
      <c r="F100" s="104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</row>
    <row r="101" spans="1:37" s="220" customFormat="1" ht="41.25" customHeight="1">
      <c r="A101" s="39"/>
      <c r="B101" s="108"/>
      <c r="C101" s="104"/>
      <c r="D101" s="198"/>
      <c r="E101" s="104"/>
      <c r="F101" s="104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</row>
    <row r="102" spans="1:37" s="220" customFormat="1" ht="41.25" customHeight="1">
      <c r="A102" s="39"/>
      <c r="B102" s="108"/>
      <c r="C102" s="104"/>
      <c r="D102" s="198"/>
      <c r="E102" s="104"/>
      <c r="F102" s="104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</row>
    <row r="103" spans="1:37" s="220" customFormat="1" ht="41.25" customHeight="1">
      <c r="A103" s="39"/>
      <c r="B103" s="108"/>
      <c r="C103" s="104"/>
      <c r="D103" s="198"/>
      <c r="E103" s="104"/>
      <c r="F103" s="104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</row>
    <row r="104" spans="1:37" s="220" customFormat="1" ht="41.25" customHeight="1">
      <c r="A104" s="39"/>
      <c r="B104" s="108"/>
      <c r="C104" s="104"/>
      <c r="D104" s="198"/>
      <c r="E104" s="104"/>
      <c r="F104" s="104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</row>
    <row r="105" spans="1:37">
      <c r="A105" s="39"/>
      <c r="B105" s="108"/>
      <c r="D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</row>
    <row r="106" spans="1:37" ht="15.75" hidden="1" customHeight="1">
      <c r="A106" s="39"/>
      <c r="B106" s="105"/>
      <c r="C106" s="105"/>
      <c r="D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8"/>
    </row>
    <row r="107" spans="1:37" ht="15.75" hidden="1" customHeight="1">
      <c r="A107" s="39"/>
      <c r="B107" s="105"/>
      <c r="C107" s="105"/>
      <c r="D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8"/>
    </row>
    <row r="108" spans="1:37" ht="15.75" hidden="1" customHeight="1">
      <c r="A108" s="39"/>
      <c r="B108" s="105"/>
      <c r="C108" s="105"/>
      <c r="D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8"/>
    </row>
    <row r="109" spans="1:37" ht="15.75" hidden="1" customHeight="1">
      <c r="A109" s="39"/>
      <c r="B109" s="105"/>
      <c r="C109" s="105"/>
      <c r="D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8"/>
    </row>
    <row r="110" spans="1:37" ht="15.75" hidden="1" customHeight="1">
      <c r="B110" s="105"/>
      <c r="C110" s="105"/>
      <c r="D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8"/>
    </row>
    <row r="111" spans="1:37" ht="15.75" hidden="1" customHeight="1">
      <c r="A111" s="108"/>
      <c r="B111" s="105"/>
      <c r="C111" s="105"/>
      <c r="D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8"/>
    </row>
    <row r="112" spans="1:37" ht="15.75" hidden="1" customHeight="1">
      <c r="A112" s="105"/>
      <c r="B112" s="105"/>
      <c r="C112" s="105"/>
      <c r="D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8"/>
    </row>
    <row r="113" spans="1:20" ht="15.75" hidden="1" customHeight="1">
      <c r="A113" s="105"/>
      <c r="B113" s="105"/>
      <c r="C113" s="105"/>
      <c r="D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8"/>
    </row>
    <row r="114" spans="1:20" ht="15.75" hidden="1" customHeight="1">
      <c r="A114" s="105"/>
      <c r="B114" s="105"/>
      <c r="C114" s="105"/>
      <c r="D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8"/>
    </row>
    <row r="115" spans="1:20" ht="15.75" hidden="1" customHeight="1">
      <c r="A115" s="105"/>
      <c r="B115" s="105"/>
      <c r="C115" s="105"/>
      <c r="D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8"/>
    </row>
    <row r="116" spans="1:20" hidden="1">
      <c r="A116" s="105"/>
      <c r="B116" s="105"/>
      <c r="C116" s="105"/>
      <c r="D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8"/>
    </row>
    <row r="117" spans="1:20" hidden="1">
      <c r="A117" s="105"/>
      <c r="B117" s="105"/>
      <c r="C117" s="105"/>
      <c r="D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8"/>
    </row>
    <row r="118" spans="1:20" hidden="1">
      <c r="A118" s="105"/>
      <c r="B118" s="105"/>
      <c r="C118" s="105"/>
      <c r="D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8"/>
    </row>
    <row r="119" spans="1:20" hidden="1">
      <c r="A119" s="105"/>
      <c r="B119" s="105"/>
      <c r="C119" s="105"/>
      <c r="D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8"/>
    </row>
    <row r="120" spans="1:20" hidden="1">
      <c r="A120" s="105"/>
      <c r="B120" s="105"/>
      <c r="C120" s="105"/>
      <c r="D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8"/>
    </row>
    <row r="121" spans="1:20" hidden="1">
      <c r="A121" s="105"/>
      <c r="B121" s="105"/>
      <c r="C121" s="105"/>
      <c r="D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8"/>
    </row>
    <row r="122" spans="1:20" hidden="1">
      <c r="A122" s="105"/>
      <c r="B122" s="105"/>
      <c r="C122" s="105"/>
      <c r="D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8"/>
    </row>
    <row r="123" spans="1:20" hidden="1">
      <c r="A123" s="105"/>
      <c r="B123" s="105"/>
      <c r="C123" s="105"/>
      <c r="D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8"/>
    </row>
    <row r="124" spans="1:20" hidden="1">
      <c r="A124" s="105"/>
      <c r="B124" s="105"/>
      <c r="C124" s="105"/>
      <c r="D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8"/>
    </row>
    <row r="125" spans="1:20" hidden="1">
      <c r="A125" s="105"/>
      <c r="B125" s="105"/>
      <c r="C125" s="105"/>
      <c r="D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8"/>
    </row>
    <row r="126" spans="1:20" hidden="1">
      <c r="A126" s="105"/>
      <c r="B126" s="105"/>
      <c r="C126" s="105"/>
      <c r="D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8"/>
    </row>
    <row r="127" spans="1:20" hidden="1">
      <c r="A127" s="105"/>
      <c r="B127" s="105"/>
      <c r="C127" s="105"/>
      <c r="D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8"/>
    </row>
    <row r="128" spans="1:20" hidden="1">
      <c r="A128" s="105"/>
      <c r="B128" s="105"/>
      <c r="C128" s="105"/>
      <c r="D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8"/>
    </row>
    <row r="129" spans="1:20" hidden="1">
      <c r="A129" s="105"/>
      <c r="B129" s="105"/>
      <c r="C129" s="105"/>
      <c r="D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8"/>
    </row>
    <row r="130" spans="1:20" hidden="1">
      <c r="A130" s="105"/>
      <c r="B130" s="105"/>
      <c r="C130" s="105"/>
      <c r="D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8"/>
    </row>
    <row r="131" spans="1:20" hidden="1">
      <c r="A131" s="105"/>
      <c r="B131" s="105"/>
      <c r="C131" s="105"/>
      <c r="D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8"/>
    </row>
    <row r="132" spans="1:20" hidden="1">
      <c r="A132" s="105"/>
      <c r="B132" s="105"/>
      <c r="C132" s="105"/>
      <c r="D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8"/>
    </row>
    <row r="133" spans="1:20" hidden="1">
      <c r="A133" s="105"/>
      <c r="B133" s="105"/>
      <c r="C133" s="105"/>
      <c r="D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8"/>
    </row>
    <row r="134" spans="1:20" hidden="1">
      <c r="A134" s="105"/>
      <c r="B134" s="105"/>
      <c r="C134" s="105"/>
      <c r="D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8"/>
    </row>
    <row r="135" spans="1:20" hidden="1">
      <c r="A135" s="105"/>
      <c r="B135" s="105"/>
      <c r="C135" s="105"/>
      <c r="D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8"/>
    </row>
    <row r="136" spans="1:20" hidden="1">
      <c r="A136" s="105"/>
      <c r="B136" s="105"/>
      <c r="C136" s="105"/>
      <c r="D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8"/>
    </row>
    <row r="137" spans="1:20" hidden="1">
      <c r="A137" s="105"/>
      <c r="B137" s="105"/>
      <c r="C137" s="105"/>
      <c r="D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8"/>
    </row>
    <row r="138" spans="1:20" hidden="1">
      <c r="A138" s="105"/>
      <c r="B138" s="105"/>
      <c r="C138" s="105"/>
      <c r="D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8"/>
    </row>
    <row r="139" spans="1:20" hidden="1">
      <c r="A139" s="105"/>
      <c r="B139" s="105"/>
      <c r="C139" s="105"/>
      <c r="D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8"/>
    </row>
    <row r="140" spans="1:20" hidden="1">
      <c r="A140" s="105"/>
      <c r="B140" s="105"/>
      <c r="C140" s="105"/>
      <c r="D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8"/>
    </row>
    <row r="141" spans="1:20" hidden="1">
      <c r="A141" s="105"/>
      <c r="B141" s="105"/>
      <c r="C141" s="105"/>
      <c r="D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8"/>
    </row>
    <row r="142" spans="1:20" hidden="1">
      <c r="A142" s="105"/>
      <c r="B142" s="105"/>
      <c r="C142" s="105"/>
      <c r="D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8"/>
    </row>
    <row r="143" spans="1:20" hidden="1">
      <c r="A143" s="105"/>
      <c r="B143" s="105"/>
      <c r="C143" s="105"/>
      <c r="D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8"/>
    </row>
    <row r="144" spans="1:20" hidden="1">
      <c r="A144" s="105"/>
      <c r="B144" s="105"/>
      <c r="C144" s="105"/>
      <c r="D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8"/>
    </row>
    <row r="145" spans="1:20" hidden="1">
      <c r="A145" s="105"/>
      <c r="B145" s="105"/>
      <c r="C145" s="105"/>
      <c r="D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8"/>
    </row>
    <row r="146" spans="1:20" hidden="1">
      <c r="A146" s="105"/>
      <c r="B146" s="105"/>
      <c r="C146" s="105"/>
      <c r="D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8"/>
    </row>
    <row r="147" spans="1:20" hidden="1">
      <c r="A147" s="105"/>
      <c r="B147" s="105"/>
      <c r="C147" s="105"/>
      <c r="D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8"/>
    </row>
    <row r="148" spans="1:20" hidden="1">
      <c r="A148" s="105"/>
      <c r="B148" s="105"/>
      <c r="C148" s="105"/>
      <c r="D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8"/>
    </row>
    <row r="149" spans="1:20" hidden="1">
      <c r="A149" s="105"/>
      <c r="B149" s="105"/>
      <c r="C149" s="105"/>
      <c r="D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8"/>
    </row>
    <row r="150" spans="1:20" hidden="1">
      <c r="A150" s="105"/>
      <c r="B150" s="105"/>
      <c r="C150" s="105"/>
      <c r="D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8"/>
    </row>
    <row r="151" spans="1:20" hidden="1">
      <c r="A151" s="105"/>
      <c r="B151" s="105"/>
      <c r="C151" s="105"/>
      <c r="D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8"/>
    </row>
    <row r="152" spans="1:20" hidden="1">
      <c r="A152" s="105"/>
      <c r="B152" s="105"/>
      <c r="C152" s="105"/>
      <c r="D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8"/>
    </row>
    <row r="153" spans="1:20" hidden="1">
      <c r="A153" s="105"/>
      <c r="B153" s="105"/>
      <c r="C153" s="105"/>
      <c r="D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8"/>
    </row>
    <row r="154" spans="1:20" hidden="1">
      <c r="A154" s="105"/>
      <c r="B154" s="105"/>
      <c r="C154" s="105"/>
      <c r="D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8"/>
    </row>
    <row r="155" spans="1:20" hidden="1">
      <c r="A155" s="105"/>
      <c r="B155" s="105"/>
      <c r="C155" s="105"/>
      <c r="D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8"/>
    </row>
    <row r="156" spans="1:20" hidden="1">
      <c r="A156" s="105"/>
      <c r="B156" s="105"/>
      <c r="C156" s="105"/>
      <c r="D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8"/>
    </row>
    <row r="157" spans="1:20" hidden="1">
      <c r="A157" s="105"/>
      <c r="B157" s="105"/>
      <c r="C157" s="105"/>
      <c r="D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8"/>
    </row>
    <row r="158" spans="1:20" hidden="1">
      <c r="A158" s="105"/>
      <c r="B158" s="105"/>
      <c r="C158" s="105"/>
      <c r="D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8"/>
    </row>
    <row r="159" spans="1:20" hidden="1">
      <c r="A159" s="105"/>
      <c r="B159" s="105"/>
      <c r="C159" s="105"/>
      <c r="D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8"/>
    </row>
    <row r="160" spans="1:20" hidden="1">
      <c r="A160" s="105"/>
      <c r="B160" s="105"/>
      <c r="C160" s="105"/>
      <c r="D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8"/>
    </row>
    <row r="161" spans="1:20" hidden="1">
      <c r="A161" s="105"/>
      <c r="B161" s="105"/>
      <c r="C161" s="105"/>
      <c r="D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8"/>
    </row>
    <row r="162" spans="1:20" hidden="1">
      <c r="A162" s="105"/>
      <c r="B162" s="105"/>
      <c r="C162" s="105"/>
      <c r="D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8"/>
    </row>
    <row r="163" spans="1:20" hidden="1">
      <c r="A163" s="105"/>
      <c r="B163" s="105"/>
      <c r="C163" s="105"/>
      <c r="D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8"/>
    </row>
    <row r="164" spans="1:20" hidden="1">
      <c r="A164" s="105"/>
      <c r="B164" s="105"/>
      <c r="C164" s="105"/>
      <c r="D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8"/>
    </row>
    <row r="165" spans="1:20" hidden="1">
      <c r="A165" s="105"/>
      <c r="B165" s="105"/>
      <c r="C165" s="105"/>
      <c r="D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8"/>
    </row>
    <row r="166" spans="1:20" hidden="1">
      <c r="A166" s="105"/>
      <c r="B166" s="105"/>
      <c r="C166" s="105"/>
      <c r="D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8"/>
    </row>
    <row r="167" spans="1:20" hidden="1">
      <c r="A167" s="105"/>
      <c r="B167" s="105"/>
      <c r="C167" s="105"/>
      <c r="D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8"/>
    </row>
    <row r="168" spans="1:20" hidden="1">
      <c r="A168" s="105"/>
      <c r="B168" s="105"/>
      <c r="C168" s="105"/>
      <c r="D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8"/>
    </row>
    <row r="169" spans="1:20" hidden="1">
      <c r="A169" s="105"/>
      <c r="B169" s="105"/>
      <c r="C169" s="105"/>
      <c r="D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8"/>
    </row>
    <row r="170" spans="1:20" hidden="1">
      <c r="A170" s="105"/>
      <c r="B170" s="105"/>
      <c r="C170" s="105"/>
      <c r="D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8"/>
    </row>
    <row r="171" spans="1:20" hidden="1">
      <c r="A171" s="105"/>
      <c r="B171" s="105"/>
      <c r="C171" s="105"/>
      <c r="D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8"/>
    </row>
    <row r="172" spans="1:20" hidden="1">
      <c r="A172" s="105"/>
      <c r="B172" s="105"/>
      <c r="C172" s="105"/>
      <c r="D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8"/>
    </row>
    <row r="173" spans="1:20" hidden="1">
      <c r="A173" s="105"/>
      <c r="B173" s="105"/>
      <c r="C173" s="105"/>
      <c r="D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8"/>
    </row>
    <row r="174" spans="1:20" hidden="1">
      <c r="A174" s="105"/>
      <c r="B174" s="105"/>
      <c r="C174" s="105"/>
      <c r="D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8"/>
    </row>
    <row r="175" spans="1:20" hidden="1">
      <c r="A175" s="105"/>
      <c r="B175" s="105"/>
      <c r="C175" s="105"/>
      <c r="D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8"/>
    </row>
    <row r="176" spans="1:20" hidden="1">
      <c r="A176" s="105"/>
      <c r="B176" s="105"/>
      <c r="C176" s="105"/>
      <c r="D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8"/>
    </row>
    <row r="177" spans="1:20" hidden="1">
      <c r="A177" s="105"/>
      <c r="B177" s="105"/>
      <c r="C177" s="105"/>
      <c r="D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8"/>
    </row>
    <row r="178" spans="1:20" hidden="1">
      <c r="A178" s="105"/>
      <c r="B178" s="105"/>
      <c r="C178" s="105"/>
      <c r="D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8"/>
    </row>
    <row r="179" spans="1:20" hidden="1">
      <c r="A179" s="105"/>
      <c r="B179" s="105"/>
      <c r="C179" s="105"/>
      <c r="D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8"/>
    </row>
    <row r="180" spans="1:20" hidden="1">
      <c r="A180" s="105"/>
      <c r="B180" s="105"/>
      <c r="C180" s="105"/>
      <c r="D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8"/>
    </row>
    <row r="181" spans="1:20" hidden="1">
      <c r="A181" s="105"/>
      <c r="B181" s="105"/>
      <c r="C181" s="105"/>
      <c r="D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8"/>
    </row>
    <row r="182" spans="1:20" hidden="1">
      <c r="A182" s="105"/>
      <c r="B182" s="105"/>
      <c r="C182" s="105"/>
      <c r="D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8"/>
    </row>
    <row r="183" spans="1:20" hidden="1">
      <c r="A183" s="105"/>
      <c r="B183" s="105"/>
      <c r="C183" s="105"/>
      <c r="D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8"/>
    </row>
    <row r="184" spans="1:20" hidden="1">
      <c r="A184" s="105"/>
      <c r="B184" s="105"/>
      <c r="C184" s="105"/>
      <c r="D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8"/>
    </row>
    <row r="185" spans="1:20" hidden="1">
      <c r="A185" s="105"/>
      <c r="B185" s="105"/>
      <c r="C185" s="105"/>
      <c r="D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8"/>
    </row>
    <row r="186" spans="1:20" hidden="1">
      <c r="A186" s="105"/>
      <c r="B186" s="105"/>
      <c r="C186" s="105"/>
      <c r="D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8"/>
    </row>
    <row r="187" spans="1:20" hidden="1">
      <c r="A187" s="105"/>
      <c r="B187" s="105"/>
      <c r="C187" s="105"/>
      <c r="D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8"/>
    </row>
    <row r="188" spans="1:20" hidden="1">
      <c r="A188" s="105"/>
      <c r="B188" s="105"/>
      <c r="C188" s="105"/>
      <c r="D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8"/>
    </row>
    <row r="189" spans="1:20" hidden="1">
      <c r="A189" s="105"/>
      <c r="B189" s="105"/>
      <c r="C189" s="105"/>
      <c r="D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8"/>
    </row>
    <row r="190" spans="1:20" hidden="1">
      <c r="A190" s="105"/>
      <c r="B190" s="105"/>
      <c r="C190" s="105"/>
      <c r="D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8"/>
    </row>
    <row r="191" spans="1:20" hidden="1">
      <c r="A191" s="105"/>
      <c r="B191" s="105"/>
      <c r="C191" s="105"/>
      <c r="D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8"/>
    </row>
    <row r="192" spans="1:20" hidden="1">
      <c r="A192" s="105"/>
      <c r="B192" s="105"/>
      <c r="C192" s="105"/>
      <c r="D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8"/>
    </row>
    <row r="193" spans="1:20" hidden="1">
      <c r="A193" s="105"/>
      <c r="B193" s="105"/>
      <c r="C193" s="105"/>
      <c r="D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8"/>
    </row>
    <row r="194" spans="1:20" hidden="1">
      <c r="A194" s="105"/>
      <c r="B194" s="105"/>
      <c r="C194" s="105"/>
      <c r="D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8"/>
    </row>
    <row r="195" spans="1:20" hidden="1">
      <c r="A195" s="105"/>
      <c r="B195" s="105"/>
      <c r="C195" s="105"/>
      <c r="D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8"/>
    </row>
    <row r="196" spans="1:20" hidden="1">
      <c r="A196" s="105"/>
      <c r="B196" s="105"/>
      <c r="C196" s="105"/>
      <c r="D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8"/>
    </row>
    <row r="197" spans="1:20" hidden="1">
      <c r="A197" s="105"/>
      <c r="B197" s="105"/>
      <c r="C197" s="105"/>
      <c r="D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8"/>
    </row>
    <row r="198" spans="1:20" hidden="1">
      <c r="A198" s="105"/>
      <c r="B198" s="105"/>
      <c r="C198" s="105"/>
      <c r="D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8"/>
    </row>
    <row r="199" spans="1:20" hidden="1">
      <c r="A199" s="105"/>
      <c r="B199" s="105"/>
      <c r="C199" s="105"/>
      <c r="D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8"/>
    </row>
    <row r="200" spans="1:20" hidden="1">
      <c r="A200" s="105"/>
      <c r="B200" s="105"/>
      <c r="C200" s="105"/>
      <c r="D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8"/>
    </row>
    <row r="201" spans="1:20" hidden="1">
      <c r="A201" s="105"/>
      <c r="B201" s="105"/>
      <c r="C201" s="105"/>
      <c r="D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8"/>
    </row>
    <row r="202" spans="1:20" hidden="1">
      <c r="A202" s="105"/>
      <c r="B202" s="105"/>
      <c r="C202" s="105"/>
      <c r="D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8"/>
    </row>
    <row r="203" spans="1:20" hidden="1">
      <c r="A203" s="105"/>
      <c r="B203" s="105"/>
      <c r="C203" s="105"/>
      <c r="D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8"/>
    </row>
    <row r="204" spans="1:20" hidden="1">
      <c r="A204" s="105"/>
      <c r="B204" s="105"/>
      <c r="C204" s="105"/>
      <c r="D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8"/>
    </row>
    <row r="205" spans="1:20" hidden="1">
      <c r="A205" s="105"/>
      <c r="B205" s="105"/>
      <c r="C205" s="105"/>
      <c r="D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8"/>
    </row>
    <row r="206" spans="1:20" hidden="1">
      <c r="A206" s="105"/>
      <c r="B206" s="105"/>
      <c r="C206" s="105"/>
      <c r="D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8"/>
    </row>
    <row r="207" spans="1:20" hidden="1">
      <c r="A207" s="105"/>
      <c r="B207" s="105"/>
      <c r="C207" s="105"/>
      <c r="D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8"/>
    </row>
    <row r="208" spans="1:20" hidden="1">
      <c r="A208" s="105"/>
      <c r="B208" s="105"/>
      <c r="C208" s="105"/>
      <c r="D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8"/>
    </row>
    <row r="209" spans="1:20" hidden="1">
      <c r="A209" s="105"/>
      <c r="B209" s="105"/>
      <c r="C209" s="105"/>
      <c r="D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8"/>
    </row>
    <row r="210" spans="1:20" hidden="1">
      <c r="A210" s="105"/>
      <c r="B210" s="105"/>
      <c r="C210" s="105"/>
      <c r="D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8"/>
    </row>
    <row r="211" spans="1:20" hidden="1">
      <c r="A211" s="105"/>
      <c r="B211" s="105"/>
      <c r="C211" s="105"/>
      <c r="D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8"/>
    </row>
    <row r="212" spans="1:20" hidden="1">
      <c r="A212" s="105"/>
      <c r="B212" s="105"/>
      <c r="C212" s="105"/>
      <c r="D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8"/>
    </row>
    <row r="213" spans="1:20" hidden="1">
      <c r="A213" s="105"/>
      <c r="B213" s="105"/>
      <c r="C213" s="105"/>
      <c r="D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8"/>
    </row>
    <row r="214" spans="1:20" hidden="1">
      <c r="A214" s="105"/>
      <c r="B214" s="105"/>
      <c r="C214" s="105"/>
      <c r="D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8"/>
    </row>
    <row r="215" spans="1:20" hidden="1">
      <c r="A215" s="105"/>
      <c r="B215" s="105"/>
      <c r="C215" s="105"/>
      <c r="D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8"/>
    </row>
    <row r="216" spans="1:20" hidden="1">
      <c r="A216" s="105"/>
      <c r="B216" s="105"/>
      <c r="C216" s="105"/>
      <c r="D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8"/>
    </row>
    <row r="217" spans="1:20" hidden="1">
      <c r="A217" s="105"/>
      <c r="B217" s="105"/>
      <c r="C217" s="105"/>
      <c r="D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8"/>
    </row>
    <row r="218" spans="1:20" hidden="1">
      <c r="A218" s="105"/>
      <c r="B218" s="105"/>
      <c r="C218" s="105"/>
      <c r="D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8"/>
    </row>
    <row r="219" spans="1:20" hidden="1">
      <c r="A219" s="105"/>
      <c r="B219" s="105"/>
      <c r="C219" s="105"/>
      <c r="D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8"/>
    </row>
    <row r="220" spans="1:20" hidden="1">
      <c r="A220" s="105"/>
      <c r="B220" s="105"/>
      <c r="C220" s="105"/>
      <c r="D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8"/>
    </row>
    <row r="221" spans="1:20" hidden="1">
      <c r="A221" s="105"/>
      <c r="B221" s="105"/>
      <c r="C221" s="105"/>
      <c r="D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8"/>
    </row>
    <row r="222" spans="1:20" hidden="1">
      <c r="A222" s="105"/>
      <c r="B222" s="105"/>
      <c r="C222" s="105"/>
      <c r="D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8"/>
    </row>
    <row r="223" spans="1:20" hidden="1">
      <c r="A223" s="105"/>
      <c r="B223" s="105"/>
      <c r="C223" s="105"/>
      <c r="D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8"/>
    </row>
    <row r="224" spans="1:20" hidden="1">
      <c r="A224" s="105"/>
      <c r="B224" s="105"/>
      <c r="C224" s="105"/>
      <c r="D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8"/>
    </row>
    <row r="225" spans="1:20" hidden="1">
      <c r="A225" s="105"/>
      <c r="B225" s="105"/>
      <c r="C225" s="105"/>
      <c r="D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8"/>
    </row>
    <row r="226" spans="1:20" hidden="1">
      <c r="A226" s="105"/>
      <c r="B226" s="105"/>
      <c r="C226" s="105"/>
      <c r="D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8"/>
    </row>
    <row r="227" spans="1:20" hidden="1">
      <c r="A227" s="105"/>
      <c r="B227" s="105"/>
      <c r="C227" s="105"/>
      <c r="D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8"/>
    </row>
    <row r="228" spans="1:20" hidden="1">
      <c r="A228" s="105"/>
      <c r="B228" s="105"/>
      <c r="C228" s="105"/>
      <c r="D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8"/>
    </row>
    <row r="229" spans="1:20" hidden="1">
      <c r="A229" s="105"/>
      <c r="B229" s="105"/>
      <c r="C229" s="105"/>
      <c r="D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8"/>
    </row>
    <row r="230" spans="1:20" hidden="1">
      <c r="A230" s="105"/>
      <c r="B230" s="105"/>
      <c r="C230" s="105"/>
      <c r="D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8"/>
    </row>
    <row r="231" spans="1:20" hidden="1">
      <c r="A231" s="105"/>
      <c r="B231" s="105"/>
      <c r="C231" s="105"/>
      <c r="D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8"/>
    </row>
    <row r="232" spans="1:20" hidden="1">
      <c r="A232" s="105"/>
      <c r="B232" s="105"/>
      <c r="C232" s="105"/>
      <c r="D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8"/>
    </row>
    <row r="233" spans="1:20" hidden="1">
      <c r="A233" s="105"/>
      <c r="B233" s="105"/>
      <c r="C233" s="105"/>
      <c r="D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8"/>
    </row>
    <row r="234" spans="1:20" hidden="1">
      <c r="A234" s="105"/>
      <c r="B234" s="105"/>
      <c r="C234" s="105"/>
      <c r="D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8"/>
    </row>
    <row r="235" spans="1:20" hidden="1">
      <c r="A235" s="105"/>
      <c r="B235" s="105"/>
      <c r="C235" s="105"/>
      <c r="D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8"/>
    </row>
    <row r="236" spans="1:20" hidden="1">
      <c r="A236" s="105"/>
      <c r="B236" s="105"/>
      <c r="C236" s="105"/>
      <c r="D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8"/>
    </row>
    <row r="237" spans="1:20" hidden="1">
      <c r="A237" s="105"/>
      <c r="B237" s="105"/>
      <c r="C237" s="105"/>
      <c r="D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8"/>
    </row>
    <row r="238" spans="1:20" hidden="1">
      <c r="A238" s="105"/>
      <c r="B238" s="105"/>
      <c r="C238" s="105"/>
      <c r="D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8"/>
    </row>
    <row r="239" spans="1:20" hidden="1">
      <c r="A239" s="105"/>
      <c r="B239" s="105"/>
      <c r="C239" s="105"/>
      <c r="D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8"/>
    </row>
    <row r="240" spans="1:20" hidden="1">
      <c r="A240" s="105"/>
      <c r="B240" s="105"/>
      <c r="C240" s="105"/>
      <c r="D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8"/>
    </row>
    <row r="241" spans="1:20" hidden="1">
      <c r="A241" s="105"/>
      <c r="B241" s="105"/>
      <c r="C241" s="105"/>
      <c r="D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8"/>
    </row>
    <row r="242" spans="1:20" hidden="1">
      <c r="A242" s="105"/>
      <c r="B242" s="105"/>
      <c r="C242" s="105"/>
      <c r="D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8"/>
    </row>
    <row r="243" spans="1:20" hidden="1">
      <c r="A243" s="105"/>
      <c r="B243" s="105"/>
      <c r="C243" s="105"/>
      <c r="D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8"/>
    </row>
    <row r="244" spans="1:20" hidden="1">
      <c r="A244" s="105"/>
      <c r="B244" s="105"/>
      <c r="C244" s="105"/>
      <c r="D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8"/>
    </row>
    <row r="245" spans="1:20" hidden="1">
      <c r="A245" s="105"/>
      <c r="B245" s="105"/>
      <c r="C245" s="105"/>
      <c r="D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8"/>
    </row>
    <row r="246" spans="1:20" hidden="1">
      <c r="A246" s="105"/>
      <c r="B246" s="105"/>
      <c r="C246" s="105"/>
      <c r="D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8"/>
    </row>
    <row r="247" spans="1:20" hidden="1">
      <c r="A247" s="105"/>
      <c r="B247" s="105"/>
      <c r="C247" s="105"/>
      <c r="D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8"/>
    </row>
    <row r="248" spans="1:20" hidden="1">
      <c r="A248" s="105"/>
      <c r="B248" s="105"/>
      <c r="C248" s="105"/>
      <c r="D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8"/>
    </row>
    <row r="249" spans="1:20" hidden="1">
      <c r="A249" s="105"/>
      <c r="B249" s="105"/>
      <c r="C249" s="105"/>
      <c r="D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8"/>
    </row>
    <row r="250" spans="1:20" hidden="1">
      <c r="A250" s="105"/>
      <c r="B250" s="105"/>
      <c r="C250" s="105"/>
      <c r="D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8"/>
    </row>
    <row r="251" spans="1:20" hidden="1">
      <c r="A251" s="105"/>
      <c r="B251" s="105"/>
      <c r="C251" s="105"/>
      <c r="D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8"/>
    </row>
    <row r="252" spans="1:20" hidden="1">
      <c r="A252" s="105"/>
      <c r="B252" s="105"/>
      <c r="C252" s="105"/>
      <c r="D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8"/>
    </row>
    <row r="253" spans="1:20" hidden="1">
      <c r="A253" s="105"/>
      <c r="B253" s="105"/>
      <c r="C253" s="105"/>
      <c r="D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8"/>
    </row>
    <row r="254" spans="1:20" hidden="1">
      <c r="A254" s="105"/>
      <c r="B254" s="105"/>
      <c r="C254" s="105"/>
      <c r="D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8"/>
    </row>
    <row r="255" spans="1:20" hidden="1">
      <c r="A255" s="105"/>
      <c r="B255" s="105"/>
      <c r="C255" s="105"/>
      <c r="D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8"/>
    </row>
    <row r="256" spans="1:20" hidden="1">
      <c r="A256" s="105"/>
      <c r="B256" s="105"/>
      <c r="C256" s="105"/>
      <c r="D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8"/>
    </row>
    <row r="257" spans="1:20" hidden="1">
      <c r="A257" s="105"/>
      <c r="B257" s="105"/>
      <c r="C257" s="105"/>
      <c r="D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8"/>
    </row>
    <row r="258" spans="1:20" hidden="1">
      <c r="A258" s="105"/>
      <c r="B258" s="105"/>
      <c r="C258" s="105"/>
      <c r="D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8"/>
    </row>
    <row r="259" spans="1:20" hidden="1">
      <c r="A259" s="105"/>
      <c r="B259" s="105"/>
      <c r="C259" s="105"/>
      <c r="D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8"/>
    </row>
    <row r="260" spans="1:20" hidden="1">
      <c r="A260" s="105"/>
      <c r="B260" s="105"/>
      <c r="C260" s="105"/>
      <c r="D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8"/>
    </row>
    <row r="261" spans="1:20" hidden="1">
      <c r="A261" s="105"/>
      <c r="B261" s="105"/>
      <c r="C261" s="105"/>
      <c r="D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8"/>
    </row>
    <row r="262" spans="1:20" hidden="1">
      <c r="A262" s="105"/>
      <c r="B262" s="105"/>
      <c r="C262" s="105"/>
      <c r="D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8"/>
    </row>
    <row r="263" spans="1:20" hidden="1">
      <c r="A263" s="105"/>
      <c r="B263" s="105"/>
      <c r="C263" s="105"/>
      <c r="D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8"/>
    </row>
    <row r="264" spans="1:20" hidden="1">
      <c r="A264" s="105"/>
      <c r="B264" s="105"/>
      <c r="C264" s="105"/>
      <c r="D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8"/>
    </row>
    <row r="265" spans="1:20" hidden="1">
      <c r="A265" s="105"/>
      <c r="B265" s="105"/>
      <c r="C265" s="105"/>
      <c r="D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8"/>
    </row>
    <row r="266" spans="1:20" hidden="1">
      <c r="A266" s="105"/>
      <c r="B266" s="105"/>
      <c r="C266" s="105"/>
      <c r="D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8"/>
    </row>
    <row r="267" spans="1:20" hidden="1">
      <c r="A267" s="105"/>
      <c r="B267" s="105"/>
      <c r="C267" s="105"/>
      <c r="D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8"/>
    </row>
    <row r="268" spans="1:20" hidden="1">
      <c r="A268" s="105"/>
      <c r="B268" s="105"/>
      <c r="C268" s="105"/>
      <c r="D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8"/>
    </row>
    <row r="269" spans="1:20" hidden="1">
      <c r="A269" s="105"/>
      <c r="B269" s="105"/>
      <c r="C269" s="105"/>
      <c r="D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8"/>
    </row>
    <row r="270" spans="1:20" hidden="1">
      <c r="A270" s="105"/>
      <c r="B270" s="105"/>
      <c r="C270" s="105"/>
      <c r="D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8"/>
    </row>
    <row r="271" spans="1:20" hidden="1">
      <c r="A271" s="105"/>
      <c r="B271" s="105"/>
      <c r="C271" s="105"/>
      <c r="D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8"/>
    </row>
    <row r="272" spans="1:20" hidden="1">
      <c r="A272" s="105"/>
      <c r="B272" s="105"/>
      <c r="C272" s="105"/>
      <c r="D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8"/>
    </row>
    <row r="273" spans="1:20" hidden="1">
      <c r="A273" s="105"/>
      <c r="B273" s="105"/>
      <c r="C273" s="105"/>
      <c r="D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8"/>
    </row>
    <row r="274" spans="1:20" hidden="1">
      <c r="A274" s="105"/>
      <c r="B274" s="105"/>
      <c r="C274" s="105"/>
      <c r="D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8"/>
    </row>
    <row r="275" spans="1:20" hidden="1">
      <c r="A275" s="105"/>
      <c r="B275" s="105"/>
      <c r="C275" s="105"/>
      <c r="D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8"/>
    </row>
    <row r="276" spans="1:20" hidden="1">
      <c r="A276" s="105"/>
      <c r="B276" s="105"/>
      <c r="C276" s="105"/>
      <c r="D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8"/>
    </row>
    <row r="277" spans="1:20" hidden="1">
      <c r="A277" s="105"/>
      <c r="B277" s="105"/>
      <c r="C277" s="105"/>
      <c r="D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8"/>
    </row>
    <row r="278" spans="1:20" hidden="1">
      <c r="A278" s="105"/>
      <c r="B278" s="105"/>
      <c r="C278" s="105"/>
      <c r="D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8"/>
    </row>
    <row r="279" spans="1:20" hidden="1">
      <c r="A279" s="105"/>
      <c r="B279" s="105"/>
      <c r="C279" s="105"/>
      <c r="D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8"/>
    </row>
    <row r="280" spans="1:20" hidden="1">
      <c r="A280" s="105"/>
      <c r="B280" s="105"/>
      <c r="C280" s="105"/>
      <c r="D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8"/>
    </row>
    <row r="281" spans="1:20" hidden="1">
      <c r="A281" s="105"/>
      <c r="B281" s="105"/>
      <c r="C281" s="105"/>
      <c r="D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8"/>
    </row>
    <row r="282" spans="1:20" hidden="1">
      <c r="A282" s="105"/>
      <c r="B282" s="105"/>
      <c r="C282" s="105"/>
      <c r="D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8"/>
    </row>
    <row r="283" spans="1:20" hidden="1">
      <c r="A283" s="105"/>
      <c r="B283" s="105"/>
      <c r="C283" s="105"/>
      <c r="D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8"/>
    </row>
    <row r="284" spans="1:20" hidden="1">
      <c r="A284" s="105"/>
      <c r="B284" s="105"/>
      <c r="C284" s="105"/>
      <c r="D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8"/>
    </row>
    <row r="285" spans="1:20" hidden="1">
      <c r="A285" s="105"/>
      <c r="B285" s="105"/>
      <c r="C285" s="105"/>
      <c r="D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8"/>
    </row>
    <row r="286" spans="1:20" hidden="1">
      <c r="A286" s="105"/>
      <c r="B286" s="105"/>
      <c r="C286" s="105"/>
      <c r="D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8"/>
    </row>
    <row r="287" spans="1:20" hidden="1">
      <c r="A287" s="105"/>
      <c r="B287" s="105"/>
      <c r="C287" s="105"/>
      <c r="D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8"/>
    </row>
    <row r="288" spans="1:20" hidden="1">
      <c r="A288" s="105"/>
      <c r="B288" s="105"/>
      <c r="C288" s="105"/>
      <c r="D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8"/>
    </row>
    <row r="289" spans="1:20" hidden="1">
      <c r="A289" s="105"/>
      <c r="B289" s="105"/>
      <c r="C289" s="105"/>
      <c r="D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8"/>
    </row>
    <row r="290" spans="1:20" hidden="1">
      <c r="A290" s="105"/>
      <c r="B290" s="105"/>
      <c r="C290" s="105"/>
      <c r="D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8"/>
    </row>
    <row r="291" spans="1:20" hidden="1">
      <c r="A291" s="105"/>
      <c r="B291" s="105"/>
      <c r="C291" s="105"/>
      <c r="D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8"/>
    </row>
    <row r="292" spans="1:20" hidden="1">
      <c r="A292" s="105"/>
      <c r="B292" s="105"/>
      <c r="C292" s="105"/>
      <c r="D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8"/>
    </row>
    <row r="293" spans="1:20" hidden="1">
      <c r="A293" s="105"/>
      <c r="B293" s="105"/>
      <c r="C293" s="105"/>
      <c r="D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8"/>
    </row>
    <row r="294" spans="1:20" hidden="1">
      <c r="A294" s="105"/>
      <c r="B294" s="105"/>
      <c r="C294" s="105"/>
      <c r="D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8"/>
    </row>
    <row r="295" spans="1:20" hidden="1">
      <c r="A295" s="105"/>
      <c r="B295" s="105"/>
      <c r="C295" s="105"/>
      <c r="D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8"/>
    </row>
    <row r="296" spans="1:20" hidden="1">
      <c r="A296" s="105"/>
      <c r="B296" s="105"/>
      <c r="C296" s="105"/>
      <c r="D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8"/>
    </row>
    <row r="297" spans="1:20" hidden="1">
      <c r="A297" s="105"/>
      <c r="B297" s="105"/>
      <c r="C297" s="105"/>
      <c r="D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8"/>
    </row>
    <row r="298" spans="1:20" hidden="1">
      <c r="A298" s="105"/>
      <c r="B298" s="105"/>
      <c r="C298" s="105"/>
      <c r="D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8"/>
    </row>
    <row r="299" spans="1:20" hidden="1">
      <c r="A299" s="105"/>
      <c r="B299" s="105"/>
      <c r="C299" s="105"/>
      <c r="D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8"/>
    </row>
    <row r="300" spans="1:20" hidden="1">
      <c r="A300" s="105"/>
      <c r="B300" s="105"/>
      <c r="C300" s="105"/>
      <c r="D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8"/>
    </row>
    <row r="301" spans="1:20" hidden="1">
      <c r="A301" s="105"/>
      <c r="B301" s="105"/>
      <c r="C301" s="105"/>
      <c r="D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8"/>
    </row>
    <row r="302" spans="1:20" hidden="1">
      <c r="A302" s="105"/>
      <c r="B302" s="105"/>
      <c r="C302" s="105"/>
      <c r="D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8"/>
    </row>
    <row r="303" spans="1:20" hidden="1">
      <c r="A303" s="105"/>
      <c r="B303" s="105"/>
      <c r="C303" s="105"/>
      <c r="D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8"/>
    </row>
    <row r="304" spans="1:20" hidden="1">
      <c r="A304" s="105"/>
      <c r="B304" s="105"/>
      <c r="C304" s="105"/>
      <c r="D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8"/>
    </row>
    <row r="305" spans="1:20" hidden="1">
      <c r="A305" s="105"/>
      <c r="B305" s="105"/>
      <c r="C305" s="105"/>
      <c r="D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8"/>
    </row>
    <row r="306" spans="1:20" hidden="1">
      <c r="A306" s="105"/>
      <c r="B306" s="105"/>
      <c r="C306" s="105"/>
      <c r="D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8"/>
    </row>
    <row r="307" spans="1:20" hidden="1">
      <c r="A307" s="105"/>
      <c r="B307" s="105"/>
      <c r="C307" s="105"/>
      <c r="D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8"/>
    </row>
    <row r="308" spans="1:20" hidden="1">
      <c r="A308" s="105"/>
      <c r="B308" s="105"/>
      <c r="C308" s="105"/>
      <c r="D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8"/>
    </row>
    <row r="309" spans="1:20" hidden="1">
      <c r="A309" s="105"/>
      <c r="B309" s="105"/>
      <c r="C309" s="105"/>
      <c r="D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8"/>
    </row>
    <row r="310" spans="1:20" hidden="1">
      <c r="A310" s="105"/>
      <c r="B310" s="105"/>
      <c r="C310" s="105"/>
      <c r="D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8"/>
    </row>
    <row r="311" spans="1:20" hidden="1">
      <c r="A311" s="105"/>
      <c r="B311" s="105"/>
      <c r="C311" s="105"/>
      <c r="D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8"/>
    </row>
    <row r="312" spans="1:20" hidden="1">
      <c r="A312" s="105"/>
      <c r="B312" s="105"/>
      <c r="C312" s="105"/>
      <c r="D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8"/>
    </row>
    <row r="313" spans="1:20" hidden="1">
      <c r="A313" s="105"/>
      <c r="B313" s="105"/>
      <c r="C313" s="105"/>
      <c r="D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8"/>
    </row>
    <row r="314" spans="1:20" hidden="1">
      <c r="A314" s="105"/>
      <c r="B314" s="105"/>
      <c r="C314" s="105"/>
      <c r="D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8"/>
    </row>
    <row r="315" spans="1:20" hidden="1">
      <c r="A315" s="105"/>
      <c r="B315" s="105"/>
      <c r="C315" s="105"/>
      <c r="D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8"/>
    </row>
    <row r="316" spans="1:20" hidden="1">
      <c r="A316" s="105"/>
      <c r="B316" s="105"/>
      <c r="C316" s="105"/>
      <c r="D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8"/>
    </row>
    <row r="317" spans="1:20" hidden="1">
      <c r="A317" s="105"/>
      <c r="B317" s="105"/>
      <c r="C317" s="105"/>
      <c r="D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8"/>
    </row>
    <row r="318" spans="1:20" hidden="1">
      <c r="A318" s="105"/>
      <c r="B318" s="105"/>
      <c r="C318" s="105"/>
      <c r="D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8"/>
    </row>
    <row r="319" spans="1:20" hidden="1">
      <c r="A319" s="105"/>
      <c r="B319" s="105"/>
      <c r="C319" s="105"/>
      <c r="D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8"/>
    </row>
    <row r="320" spans="1:20" hidden="1">
      <c r="A320" s="105"/>
      <c r="B320" s="105"/>
      <c r="C320" s="105"/>
      <c r="D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8"/>
    </row>
    <row r="321" spans="1:20" hidden="1">
      <c r="A321" s="105"/>
      <c r="B321" s="105"/>
      <c r="C321" s="105"/>
      <c r="D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8"/>
    </row>
    <row r="322" spans="1:20" hidden="1">
      <c r="A322" s="105"/>
      <c r="B322" s="105"/>
      <c r="C322" s="105"/>
      <c r="D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8"/>
    </row>
    <row r="323" spans="1:20" hidden="1">
      <c r="A323" s="105"/>
      <c r="B323" s="105"/>
      <c r="C323" s="105"/>
      <c r="D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8"/>
    </row>
    <row r="324" spans="1:20" hidden="1">
      <c r="A324" s="105"/>
      <c r="B324" s="105"/>
      <c r="C324" s="105"/>
      <c r="D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8"/>
    </row>
    <row r="325" spans="1:20" hidden="1">
      <c r="A325" s="105"/>
      <c r="B325" s="105"/>
      <c r="C325" s="105"/>
      <c r="D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8"/>
    </row>
    <row r="326" spans="1:20" hidden="1">
      <c r="A326" s="105"/>
      <c r="B326" s="105"/>
      <c r="C326" s="105"/>
      <c r="D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8"/>
    </row>
    <row r="327" spans="1:20" hidden="1">
      <c r="A327" s="105"/>
      <c r="B327" s="105"/>
      <c r="C327" s="105"/>
      <c r="D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8"/>
    </row>
    <row r="328" spans="1:20" hidden="1">
      <c r="A328" s="105"/>
      <c r="B328" s="105"/>
      <c r="C328" s="105"/>
      <c r="D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8"/>
    </row>
    <row r="329" spans="1:20" hidden="1">
      <c r="A329" s="105"/>
      <c r="B329" s="105"/>
      <c r="C329" s="105"/>
      <c r="D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8"/>
    </row>
    <row r="330" spans="1:20" hidden="1">
      <c r="A330" s="105"/>
      <c r="B330" s="105"/>
      <c r="C330" s="105"/>
      <c r="D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8"/>
    </row>
    <row r="331" spans="1:20" hidden="1">
      <c r="A331" s="105"/>
      <c r="B331" s="105"/>
      <c r="C331" s="105"/>
      <c r="D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8"/>
    </row>
    <row r="332" spans="1:20" hidden="1">
      <c r="A332" s="105"/>
      <c r="B332" s="105"/>
      <c r="C332" s="105"/>
      <c r="D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8"/>
    </row>
    <row r="333" spans="1:20" hidden="1">
      <c r="A333" s="105"/>
      <c r="B333" s="105"/>
      <c r="C333" s="105"/>
      <c r="D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8"/>
    </row>
    <row r="334" spans="1:20" hidden="1">
      <c r="A334" s="105"/>
      <c r="C334" s="105"/>
      <c r="D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8"/>
    </row>
    <row r="335" spans="1:20" hidden="1">
      <c r="A335" s="105"/>
      <c r="C335" s="105"/>
      <c r="D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8"/>
    </row>
    <row r="336" spans="1:20" hidden="1">
      <c r="A336" s="105"/>
      <c r="C336" s="105"/>
      <c r="D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8"/>
    </row>
    <row r="337" spans="1:20" hidden="1">
      <c r="A337" s="105"/>
      <c r="C337" s="105"/>
      <c r="D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8"/>
    </row>
    <row r="338" spans="1:20" hidden="1">
      <c r="A338" s="105"/>
      <c r="C338" s="105"/>
      <c r="D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8"/>
    </row>
    <row r="339" spans="1:20" hidden="1">
      <c r="A339" s="105"/>
      <c r="C339" s="105"/>
      <c r="D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8"/>
    </row>
    <row r="340" spans="1:20" hidden="1">
      <c r="C340" s="105"/>
      <c r="D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8"/>
    </row>
    <row r="341" spans="1:20" hidden="1">
      <c r="C341" s="105"/>
      <c r="D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8"/>
    </row>
    <row r="342" spans="1:20" hidden="1">
      <c r="C342" s="105"/>
      <c r="D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8"/>
    </row>
    <row r="343" spans="1:20" hidden="1">
      <c r="C343" s="105"/>
      <c r="D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8"/>
    </row>
    <row r="344" spans="1:20" hidden="1">
      <c r="C344" s="105"/>
      <c r="D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8"/>
    </row>
    <row r="345" spans="1:20" hidden="1">
      <c r="C345" s="105"/>
      <c r="D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8"/>
    </row>
    <row r="346" spans="1:20" hidden="1">
      <c r="C346" s="105"/>
      <c r="D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8"/>
    </row>
    <row r="347" spans="1:20" hidden="1">
      <c r="C347" s="105"/>
      <c r="D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8"/>
    </row>
    <row r="348" spans="1:20" hidden="1">
      <c r="C348" s="105"/>
      <c r="D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8"/>
    </row>
    <row r="349" spans="1:20" hidden="1">
      <c r="C349" s="105"/>
      <c r="D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8"/>
    </row>
    <row r="350" spans="1:20" hidden="1">
      <c r="C350" s="105"/>
      <c r="D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8"/>
    </row>
    <row r="351" spans="1:20" hidden="1">
      <c r="C351" s="105"/>
      <c r="D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8"/>
    </row>
    <row r="352" spans="1:20" hidden="1">
      <c r="C352" s="105"/>
      <c r="D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8"/>
    </row>
    <row r="353" spans="3:20" hidden="1">
      <c r="C353" s="105"/>
      <c r="D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8"/>
    </row>
    <row r="354" spans="3:20" hidden="1">
      <c r="C354" s="105"/>
      <c r="D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8"/>
    </row>
    <row r="355" spans="3:20" hidden="1">
      <c r="C355" s="105"/>
      <c r="D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8"/>
    </row>
    <row r="356" spans="3:20" hidden="1">
      <c r="C356" s="105"/>
      <c r="D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8"/>
    </row>
    <row r="357" spans="3:20" hidden="1">
      <c r="C357" s="105"/>
      <c r="D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8"/>
    </row>
    <row r="358" spans="3:20" hidden="1">
      <c r="C358" s="105"/>
      <c r="D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8"/>
    </row>
    <row r="359" spans="3:20" hidden="1">
      <c r="C359" s="105"/>
      <c r="D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8"/>
    </row>
    <row r="360" spans="3:20" hidden="1">
      <c r="C360" s="105"/>
      <c r="D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8"/>
    </row>
    <row r="361" spans="3:20" hidden="1">
      <c r="C361" s="105"/>
      <c r="D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8"/>
    </row>
    <row r="362" spans="3:20" hidden="1">
      <c r="C362" s="105"/>
      <c r="D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8"/>
    </row>
    <row r="363" spans="3:20" hidden="1">
      <c r="C363" s="105"/>
      <c r="D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8"/>
    </row>
    <row r="364" spans="3:20" hidden="1">
      <c r="C364" s="105"/>
      <c r="D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8"/>
    </row>
    <row r="365" spans="3:20" hidden="1">
      <c r="C365" s="105"/>
      <c r="D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8"/>
    </row>
    <row r="366" spans="3:20" hidden="1">
      <c r="C366" s="105"/>
      <c r="D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8"/>
    </row>
    <row r="367" spans="3:20" hidden="1">
      <c r="C367" s="105"/>
      <c r="D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8"/>
    </row>
    <row r="368" spans="3:20" hidden="1">
      <c r="C368" s="105"/>
      <c r="D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8"/>
    </row>
    <row r="369" spans="3:20" hidden="1">
      <c r="C369" s="105"/>
      <c r="D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8"/>
    </row>
    <row r="370" spans="3:20" hidden="1">
      <c r="C370" s="105"/>
      <c r="D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8"/>
    </row>
    <row r="371" spans="3:20" hidden="1">
      <c r="C371" s="105"/>
      <c r="D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8"/>
    </row>
    <row r="372" spans="3:20" hidden="1">
      <c r="C372" s="105"/>
      <c r="D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8"/>
    </row>
    <row r="373" spans="3:20" hidden="1">
      <c r="C373" s="105"/>
      <c r="D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8"/>
    </row>
    <row r="374" spans="3:20" hidden="1">
      <c r="C374" s="105"/>
      <c r="D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8"/>
    </row>
    <row r="375" spans="3:20" hidden="1">
      <c r="C375" s="105"/>
      <c r="D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8"/>
    </row>
    <row r="376" spans="3:20" hidden="1">
      <c r="C376" s="105"/>
      <c r="D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8"/>
    </row>
    <row r="377" spans="3:20" hidden="1">
      <c r="C377" s="105"/>
      <c r="D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8"/>
    </row>
    <row r="378" spans="3:20" hidden="1">
      <c r="C378" s="105"/>
      <c r="D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8"/>
    </row>
    <row r="379" spans="3:20" hidden="1">
      <c r="C379" s="105"/>
      <c r="D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8"/>
    </row>
    <row r="380" spans="3:20" hidden="1">
      <c r="C380" s="105"/>
      <c r="D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8"/>
    </row>
    <row r="381" spans="3:20" hidden="1">
      <c r="C381" s="105"/>
      <c r="D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8"/>
    </row>
    <row r="382" spans="3:20" hidden="1">
      <c r="C382" s="105"/>
      <c r="D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8"/>
    </row>
    <row r="383" spans="3:20" hidden="1">
      <c r="C383" s="105"/>
      <c r="D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8"/>
    </row>
    <row r="384" spans="3:20" hidden="1">
      <c r="C384" s="105"/>
      <c r="D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8"/>
    </row>
    <row r="385" spans="3:20" hidden="1">
      <c r="C385" s="105"/>
      <c r="D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8"/>
    </row>
    <row r="386" spans="3:20" hidden="1">
      <c r="C386" s="105"/>
      <c r="D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8"/>
    </row>
    <row r="387" spans="3:20" hidden="1">
      <c r="C387" s="105"/>
      <c r="D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8"/>
    </row>
    <row r="388" spans="3:20" hidden="1">
      <c r="C388" s="105"/>
      <c r="D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8"/>
    </row>
    <row r="389" spans="3:20" hidden="1">
      <c r="C389" s="105"/>
      <c r="D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8"/>
    </row>
    <row r="390" spans="3:20" hidden="1">
      <c r="C390" s="105"/>
      <c r="D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8"/>
    </row>
    <row r="391" spans="3:20" hidden="1">
      <c r="C391" s="105"/>
      <c r="D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8"/>
    </row>
    <row r="392" spans="3:20" hidden="1">
      <c r="C392" s="105"/>
      <c r="D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8"/>
    </row>
    <row r="393" spans="3:20" hidden="1">
      <c r="C393" s="105"/>
      <c r="D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8"/>
    </row>
    <row r="394" spans="3:20" hidden="1">
      <c r="C394" s="105"/>
      <c r="D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8"/>
    </row>
    <row r="395" spans="3:20" hidden="1">
      <c r="C395" s="105"/>
      <c r="D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8"/>
    </row>
    <row r="396" spans="3:20" hidden="1">
      <c r="C396" s="105"/>
      <c r="D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8"/>
    </row>
    <row r="397" spans="3:20" hidden="1">
      <c r="C397" s="105"/>
      <c r="D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8"/>
    </row>
    <row r="398" spans="3:20" hidden="1">
      <c r="C398" s="105"/>
      <c r="D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8"/>
    </row>
    <row r="399" spans="3:20" hidden="1">
      <c r="C399" s="105"/>
      <c r="D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8"/>
    </row>
    <row r="400" spans="3:20" hidden="1">
      <c r="C400" s="105"/>
      <c r="D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8"/>
    </row>
    <row r="401" spans="3:20" hidden="1">
      <c r="C401" s="105"/>
      <c r="D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8"/>
    </row>
    <row r="402" spans="3:20" hidden="1">
      <c r="C402" s="105"/>
      <c r="D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8"/>
    </row>
    <row r="403" spans="3:20" hidden="1">
      <c r="C403" s="105"/>
      <c r="D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8"/>
    </row>
    <row r="404" spans="3:20" hidden="1">
      <c r="C404" s="105"/>
      <c r="D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8"/>
    </row>
    <row r="405" spans="3:20" hidden="1">
      <c r="C405" s="105"/>
      <c r="D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8"/>
    </row>
    <row r="406" spans="3:20" hidden="1">
      <c r="C406" s="105"/>
      <c r="D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8"/>
    </row>
    <row r="407" spans="3:20" hidden="1">
      <c r="C407" s="105"/>
      <c r="D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8"/>
    </row>
    <row r="408" spans="3:20" hidden="1">
      <c r="C408" s="105"/>
      <c r="D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8"/>
    </row>
    <row r="409" spans="3:20" hidden="1">
      <c r="C409" s="105"/>
      <c r="D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8"/>
    </row>
    <row r="410" spans="3:20" hidden="1">
      <c r="C410" s="105"/>
      <c r="D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8"/>
    </row>
    <row r="411" spans="3:20" hidden="1">
      <c r="C411" s="105"/>
      <c r="D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8"/>
    </row>
    <row r="412" spans="3:20" hidden="1">
      <c r="C412" s="105"/>
      <c r="D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8"/>
    </row>
    <row r="413" spans="3:20" hidden="1">
      <c r="C413" s="105"/>
      <c r="D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8"/>
    </row>
    <row r="414" spans="3:20" hidden="1">
      <c r="C414" s="105"/>
      <c r="D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8"/>
    </row>
    <row r="415" spans="3:20" hidden="1">
      <c r="C415" s="105"/>
      <c r="D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8"/>
    </row>
    <row r="416" spans="3:20" hidden="1">
      <c r="C416" s="105"/>
      <c r="D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8"/>
    </row>
    <row r="417" spans="3:20" hidden="1">
      <c r="C417" s="105"/>
      <c r="D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8"/>
    </row>
    <row r="418" spans="3:20" hidden="1">
      <c r="C418" s="105"/>
      <c r="D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8"/>
    </row>
    <row r="419" spans="3:20" hidden="1">
      <c r="C419" s="105"/>
      <c r="D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8"/>
    </row>
    <row r="420" spans="3:20" hidden="1">
      <c r="C420" s="105"/>
      <c r="D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8"/>
    </row>
    <row r="421" spans="3:20" hidden="1">
      <c r="C421" s="105"/>
      <c r="D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8"/>
    </row>
    <row r="422" spans="3:20" hidden="1">
      <c r="C422" s="105"/>
      <c r="D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8"/>
    </row>
    <row r="423" spans="3:20" hidden="1">
      <c r="C423" s="105"/>
      <c r="D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8"/>
    </row>
    <row r="424" spans="3:20" hidden="1">
      <c r="C424" s="105"/>
      <c r="D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8"/>
    </row>
    <row r="425" spans="3:20" hidden="1">
      <c r="C425" s="105"/>
      <c r="D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8"/>
    </row>
    <row r="426" spans="3:20" hidden="1">
      <c r="C426" s="105"/>
      <c r="D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8"/>
    </row>
    <row r="427" spans="3:20" hidden="1">
      <c r="C427" s="105"/>
      <c r="D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8"/>
    </row>
    <row r="428" spans="3:20" hidden="1">
      <c r="C428" s="105"/>
      <c r="D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8"/>
    </row>
    <row r="429" spans="3:20" hidden="1">
      <c r="C429" s="105"/>
      <c r="D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8"/>
    </row>
    <row r="430" spans="3:20" hidden="1">
      <c r="C430" s="105"/>
      <c r="D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8"/>
    </row>
    <row r="431" spans="3:20" hidden="1">
      <c r="C431" s="105"/>
      <c r="D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8"/>
    </row>
    <row r="432" spans="3:20" hidden="1">
      <c r="C432" s="105"/>
      <c r="D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8"/>
    </row>
    <row r="433" spans="3:20" hidden="1">
      <c r="C433" s="105"/>
      <c r="D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8"/>
    </row>
    <row r="434" spans="3:20" hidden="1">
      <c r="C434" s="105"/>
      <c r="D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8"/>
    </row>
    <row r="435" spans="3:20" hidden="1">
      <c r="C435" s="105"/>
      <c r="D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8"/>
    </row>
    <row r="436" spans="3:20" hidden="1">
      <c r="C436" s="105"/>
      <c r="D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8"/>
    </row>
    <row r="437" spans="3:20" hidden="1">
      <c r="C437" s="105"/>
      <c r="D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8"/>
    </row>
    <row r="438" spans="3:20" hidden="1">
      <c r="C438" s="105"/>
      <c r="D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8"/>
    </row>
    <row r="439" spans="3:20" hidden="1">
      <c r="C439" s="105"/>
      <c r="D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8"/>
    </row>
    <row r="440" spans="3:20" hidden="1">
      <c r="C440" s="105"/>
      <c r="D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8"/>
    </row>
    <row r="441" spans="3:20" hidden="1">
      <c r="C441" s="105"/>
      <c r="D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8"/>
    </row>
    <row r="442" spans="3:20" hidden="1">
      <c r="C442" s="105"/>
      <c r="D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8"/>
    </row>
    <row r="443" spans="3:20" hidden="1">
      <c r="C443" s="105"/>
      <c r="D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8"/>
    </row>
    <row r="444" spans="3:20" hidden="1">
      <c r="C444" s="105"/>
      <c r="D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8"/>
    </row>
    <row r="445" spans="3:20" hidden="1">
      <c r="C445" s="105"/>
      <c r="D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8"/>
    </row>
    <row r="446" spans="3:20" hidden="1">
      <c r="C446" s="105"/>
      <c r="D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8"/>
    </row>
    <row r="447" spans="3:20" hidden="1">
      <c r="C447" s="105"/>
      <c r="D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8"/>
    </row>
    <row r="448" spans="3:20" hidden="1">
      <c r="C448" s="105"/>
      <c r="D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8"/>
    </row>
    <row r="449" spans="3:20" hidden="1">
      <c r="C449" s="105"/>
      <c r="D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8"/>
    </row>
    <row r="450" spans="3:20" hidden="1">
      <c r="C450" s="105"/>
      <c r="D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8"/>
    </row>
    <row r="451" spans="3:20" hidden="1">
      <c r="C451" s="105"/>
      <c r="D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8"/>
    </row>
    <row r="452" spans="3:20" hidden="1">
      <c r="C452" s="105"/>
      <c r="D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8"/>
    </row>
    <row r="453" spans="3:20" hidden="1">
      <c r="C453" s="105"/>
      <c r="D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8"/>
    </row>
    <row r="454" spans="3:20" hidden="1">
      <c r="C454" s="105"/>
      <c r="D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8"/>
    </row>
    <row r="455" spans="3:20" hidden="1">
      <c r="C455" s="105"/>
      <c r="D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8"/>
    </row>
    <row r="456" spans="3:20" hidden="1">
      <c r="C456" s="105"/>
      <c r="D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8"/>
    </row>
    <row r="457" spans="3:20" hidden="1">
      <c r="C457" s="105"/>
      <c r="D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8"/>
    </row>
    <row r="458" spans="3:20" hidden="1">
      <c r="C458" s="105"/>
      <c r="D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8"/>
    </row>
    <row r="459" spans="3:20" hidden="1">
      <c r="C459" s="105"/>
      <c r="D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8"/>
    </row>
    <row r="460" spans="3:20" hidden="1">
      <c r="C460" s="105"/>
      <c r="D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8"/>
    </row>
    <row r="461" spans="3:20" hidden="1">
      <c r="C461" s="105"/>
      <c r="D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8"/>
    </row>
    <row r="462" spans="3:20" hidden="1">
      <c r="C462" s="105"/>
      <c r="D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8"/>
    </row>
    <row r="463" spans="3:20" hidden="1">
      <c r="C463" s="105"/>
      <c r="D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8"/>
    </row>
    <row r="464" spans="3:20" hidden="1">
      <c r="C464" s="105"/>
      <c r="D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8"/>
    </row>
    <row r="465" spans="3:20" hidden="1">
      <c r="C465" s="105"/>
      <c r="D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8"/>
    </row>
    <row r="466" spans="3:20" hidden="1">
      <c r="C466" s="105"/>
      <c r="D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8"/>
    </row>
    <row r="467" spans="3:20" hidden="1">
      <c r="C467" s="105"/>
      <c r="D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8"/>
    </row>
    <row r="468" spans="3:20" hidden="1">
      <c r="C468" s="105"/>
      <c r="D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8"/>
    </row>
    <row r="469" spans="3:20" hidden="1">
      <c r="C469" s="105"/>
      <c r="D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8"/>
    </row>
    <row r="470" spans="3:20" hidden="1">
      <c r="C470" s="105"/>
      <c r="D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8"/>
    </row>
    <row r="471" spans="3:20" hidden="1">
      <c r="C471" s="105"/>
      <c r="D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8"/>
    </row>
    <row r="472" spans="3:20" hidden="1">
      <c r="C472" s="105"/>
      <c r="D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8"/>
    </row>
    <row r="473" spans="3:20" hidden="1">
      <c r="C473" s="105"/>
      <c r="D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8"/>
    </row>
    <row r="474" spans="3:20" hidden="1">
      <c r="C474" s="105"/>
      <c r="D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8"/>
    </row>
    <row r="475" spans="3:20" hidden="1">
      <c r="C475" s="105"/>
      <c r="D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8"/>
    </row>
    <row r="476" spans="3:20" hidden="1">
      <c r="C476" s="105"/>
      <c r="D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8"/>
    </row>
    <row r="477" spans="3:20" hidden="1">
      <c r="C477" s="105"/>
      <c r="D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8"/>
    </row>
    <row r="478" spans="3:20" hidden="1">
      <c r="C478" s="105"/>
      <c r="D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8"/>
    </row>
    <row r="479" spans="3:20" hidden="1">
      <c r="C479" s="105"/>
      <c r="D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8"/>
    </row>
    <row r="480" spans="3:20" hidden="1">
      <c r="C480" s="105"/>
      <c r="D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8"/>
    </row>
    <row r="481" spans="3:20" hidden="1">
      <c r="C481" s="105"/>
      <c r="D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8"/>
    </row>
    <row r="482" spans="3:20" hidden="1">
      <c r="C482" s="105"/>
      <c r="D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8"/>
    </row>
    <row r="483" spans="3:20" hidden="1">
      <c r="C483" s="105"/>
      <c r="D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8"/>
    </row>
    <row r="484" spans="3:20" hidden="1">
      <c r="C484" s="105"/>
      <c r="D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8"/>
    </row>
    <row r="485" spans="3:20" hidden="1">
      <c r="C485" s="105"/>
      <c r="D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8"/>
    </row>
    <row r="486" spans="3:20" hidden="1">
      <c r="C486" s="105"/>
      <c r="D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8"/>
    </row>
    <row r="487" spans="3:20" hidden="1">
      <c r="C487" s="105"/>
      <c r="D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8"/>
    </row>
    <row r="488" spans="3:20" hidden="1">
      <c r="C488" s="105"/>
      <c r="D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8"/>
    </row>
    <row r="489" spans="3:20" hidden="1">
      <c r="C489" s="105"/>
      <c r="D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8"/>
    </row>
    <row r="490" spans="3:20" hidden="1">
      <c r="C490" s="105"/>
      <c r="D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8"/>
    </row>
    <row r="491" spans="3:20" hidden="1">
      <c r="C491" s="105"/>
      <c r="D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8"/>
    </row>
    <row r="492" spans="3:20" hidden="1">
      <c r="C492" s="105"/>
      <c r="D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8"/>
    </row>
    <row r="493" spans="3:20" hidden="1">
      <c r="C493" s="105"/>
      <c r="D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8"/>
    </row>
    <row r="494" spans="3:20" hidden="1">
      <c r="C494" s="105"/>
      <c r="D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8"/>
    </row>
    <row r="495" spans="3:20" hidden="1">
      <c r="C495" s="105"/>
      <c r="D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8"/>
    </row>
    <row r="496" spans="3:20" hidden="1">
      <c r="C496" s="105"/>
      <c r="D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8"/>
    </row>
    <row r="497" spans="3:20" hidden="1">
      <c r="C497" s="105"/>
      <c r="D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8"/>
    </row>
    <row r="498" spans="3:20" hidden="1">
      <c r="C498" s="105"/>
      <c r="D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8"/>
    </row>
    <row r="499" spans="3:20" hidden="1">
      <c r="C499" s="105"/>
      <c r="D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8"/>
    </row>
    <row r="500" spans="3:20" hidden="1">
      <c r="C500" s="105"/>
      <c r="D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8"/>
    </row>
    <row r="501" spans="3:20" hidden="1">
      <c r="C501" s="105"/>
      <c r="D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8"/>
    </row>
    <row r="502" spans="3:20" hidden="1">
      <c r="C502" s="105"/>
      <c r="D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8"/>
    </row>
    <row r="503" spans="3:20" hidden="1">
      <c r="C503" s="105"/>
      <c r="D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8"/>
    </row>
    <row r="504" spans="3:20" hidden="1">
      <c r="C504" s="105"/>
      <c r="D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8"/>
    </row>
    <row r="505" spans="3:20" hidden="1">
      <c r="C505" s="105"/>
      <c r="D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8"/>
    </row>
    <row r="506" spans="3:20" hidden="1">
      <c r="C506" s="105"/>
      <c r="D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8"/>
    </row>
    <row r="507" spans="3:20" hidden="1">
      <c r="C507" s="105"/>
      <c r="D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8"/>
    </row>
    <row r="508" spans="3:20" hidden="1">
      <c r="C508" s="105"/>
      <c r="D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8"/>
    </row>
    <row r="509" spans="3:20" hidden="1">
      <c r="C509" s="105"/>
      <c r="D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8"/>
    </row>
    <row r="510" spans="3:20" hidden="1">
      <c r="C510" s="105"/>
      <c r="D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8"/>
    </row>
    <row r="511" spans="3:20" hidden="1">
      <c r="C511" s="105"/>
      <c r="D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8"/>
    </row>
    <row r="512" spans="3:20" hidden="1">
      <c r="C512" s="105"/>
      <c r="D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8"/>
    </row>
    <row r="513" spans="3:20" hidden="1">
      <c r="C513" s="105"/>
      <c r="D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8"/>
    </row>
    <row r="514" spans="3:20" hidden="1">
      <c r="C514" s="105"/>
      <c r="D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8"/>
    </row>
    <row r="515" spans="3:20" hidden="1">
      <c r="C515" s="105"/>
      <c r="D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8"/>
    </row>
    <row r="516" spans="3:20" hidden="1">
      <c r="C516" s="105"/>
      <c r="D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8"/>
    </row>
    <row r="517" spans="3:20" hidden="1">
      <c r="C517" s="105"/>
      <c r="D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8"/>
    </row>
    <row r="518" spans="3:20" hidden="1">
      <c r="C518" s="105"/>
      <c r="D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8"/>
    </row>
    <row r="519" spans="3:20" hidden="1">
      <c r="C519" s="105"/>
      <c r="D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8"/>
    </row>
    <row r="520" spans="3:20" hidden="1">
      <c r="C520" s="105"/>
      <c r="D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8"/>
    </row>
    <row r="521" spans="3:20" hidden="1">
      <c r="C521" s="105"/>
      <c r="D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8"/>
    </row>
    <row r="522" spans="3:20" hidden="1">
      <c r="C522" s="105"/>
      <c r="D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8"/>
    </row>
    <row r="523" spans="3:20" hidden="1">
      <c r="C523" s="105"/>
      <c r="D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8"/>
    </row>
    <row r="524" spans="3:20" hidden="1">
      <c r="C524" s="105"/>
      <c r="D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8"/>
    </row>
    <row r="525" spans="3:20" hidden="1">
      <c r="C525" s="105"/>
      <c r="D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8"/>
    </row>
    <row r="526" spans="3:20" hidden="1">
      <c r="C526" s="105"/>
      <c r="D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8"/>
    </row>
    <row r="527" spans="3:20" hidden="1">
      <c r="C527" s="105"/>
      <c r="D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8"/>
    </row>
    <row r="528" spans="3:20" hidden="1">
      <c r="C528" s="105"/>
      <c r="D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8"/>
    </row>
    <row r="529" spans="3:20" hidden="1">
      <c r="C529" s="105"/>
      <c r="D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8"/>
    </row>
    <row r="530" spans="3:20" hidden="1">
      <c r="C530" s="105"/>
      <c r="D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8"/>
    </row>
    <row r="531" spans="3:20" hidden="1">
      <c r="C531" s="105"/>
      <c r="D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8"/>
    </row>
    <row r="532" spans="3:20" hidden="1">
      <c r="C532" s="105"/>
      <c r="D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8"/>
    </row>
    <row r="533" spans="3:20" hidden="1">
      <c r="C533" s="105"/>
      <c r="D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8"/>
    </row>
    <row r="534" spans="3:20" hidden="1">
      <c r="C534" s="105"/>
      <c r="D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8"/>
    </row>
    <row r="535" spans="3:20" hidden="1">
      <c r="C535" s="105"/>
      <c r="D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8"/>
    </row>
    <row r="536" spans="3:20" hidden="1">
      <c r="C536" s="105"/>
      <c r="D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8"/>
    </row>
    <row r="537" spans="3:20" hidden="1">
      <c r="C537" s="105"/>
      <c r="D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8"/>
    </row>
    <row r="538" spans="3:20" hidden="1">
      <c r="C538" s="105"/>
      <c r="D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8"/>
    </row>
    <row r="539" spans="3:20" hidden="1">
      <c r="C539" s="105"/>
      <c r="D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8"/>
    </row>
    <row r="540" spans="3:20" hidden="1">
      <c r="C540" s="105"/>
      <c r="D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8"/>
    </row>
    <row r="541" spans="3:20" hidden="1">
      <c r="C541" s="105"/>
      <c r="D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8"/>
    </row>
    <row r="542" spans="3:20" hidden="1">
      <c r="C542" s="105"/>
      <c r="D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8"/>
    </row>
    <row r="543" spans="3:20" hidden="1">
      <c r="C543" s="105"/>
      <c r="D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8"/>
    </row>
    <row r="544" spans="3:20" hidden="1">
      <c r="C544" s="105"/>
      <c r="D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8"/>
    </row>
    <row r="545" spans="3:20" hidden="1">
      <c r="C545" s="105"/>
      <c r="D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8"/>
    </row>
    <row r="546" spans="3:20" hidden="1">
      <c r="C546" s="105"/>
      <c r="D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8"/>
    </row>
    <row r="547" spans="3:20" hidden="1">
      <c r="C547" s="105"/>
      <c r="D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8"/>
    </row>
    <row r="548" spans="3:20" hidden="1">
      <c r="C548" s="105"/>
      <c r="D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8"/>
    </row>
    <row r="549" spans="3:20" hidden="1">
      <c r="C549" s="105"/>
      <c r="D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8"/>
    </row>
    <row r="550" spans="3:20" hidden="1">
      <c r="C550" s="105"/>
      <c r="D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8"/>
    </row>
    <row r="551" spans="3:20" hidden="1">
      <c r="C551" s="105"/>
      <c r="D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8"/>
    </row>
    <row r="552" spans="3:20" hidden="1">
      <c r="C552" s="105"/>
      <c r="D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8"/>
    </row>
    <row r="553" spans="3:20" hidden="1">
      <c r="C553" s="105"/>
      <c r="D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8"/>
    </row>
    <row r="554" spans="3:20" hidden="1">
      <c r="C554" s="105"/>
      <c r="D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8"/>
    </row>
    <row r="555" spans="3:20" hidden="1">
      <c r="C555" s="105"/>
      <c r="D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8"/>
    </row>
    <row r="556" spans="3:20" hidden="1">
      <c r="C556" s="105"/>
      <c r="D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8"/>
    </row>
    <row r="557" spans="3:20" hidden="1">
      <c r="C557" s="105"/>
      <c r="D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8"/>
    </row>
    <row r="558" spans="3:20" hidden="1">
      <c r="C558" s="105"/>
      <c r="D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8"/>
    </row>
    <row r="559" spans="3:20" hidden="1">
      <c r="C559" s="105"/>
      <c r="D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8"/>
    </row>
    <row r="560" spans="3:20" hidden="1">
      <c r="C560" s="105"/>
      <c r="D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8"/>
    </row>
    <row r="561" spans="3:20" hidden="1">
      <c r="C561" s="105"/>
      <c r="D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8"/>
    </row>
    <row r="562" spans="3:20" hidden="1">
      <c r="C562" s="105"/>
      <c r="D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8"/>
    </row>
    <row r="563" spans="3:20" hidden="1">
      <c r="C563" s="105"/>
      <c r="D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8"/>
    </row>
    <row r="564" spans="3:20" hidden="1">
      <c r="C564" s="105"/>
      <c r="D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8"/>
    </row>
    <row r="565" spans="3:20" hidden="1">
      <c r="C565" s="105"/>
      <c r="D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8"/>
    </row>
    <row r="566" spans="3:20" hidden="1">
      <c r="C566" s="105"/>
      <c r="D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8"/>
    </row>
    <row r="567" spans="3:20" hidden="1">
      <c r="C567" s="105"/>
      <c r="D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8"/>
    </row>
    <row r="568" spans="3:20" hidden="1">
      <c r="C568" s="105"/>
      <c r="D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8"/>
    </row>
    <row r="569" spans="3:20" hidden="1">
      <c r="C569" s="105"/>
      <c r="D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8"/>
    </row>
    <row r="570" spans="3:20" hidden="1">
      <c r="C570" s="105"/>
      <c r="D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8"/>
    </row>
    <row r="571" spans="3:20" hidden="1">
      <c r="C571" s="105"/>
      <c r="D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8"/>
    </row>
    <row r="572" spans="3:20" hidden="1">
      <c r="C572" s="105"/>
      <c r="D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8"/>
    </row>
    <row r="573" spans="3:20" hidden="1">
      <c r="C573" s="105"/>
      <c r="D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8"/>
    </row>
    <row r="574" spans="3:20" hidden="1">
      <c r="C574" s="105"/>
      <c r="D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8"/>
    </row>
    <row r="575" spans="3:20" hidden="1">
      <c r="C575" s="105"/>
      <c r="D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8"/>
    </row>
    <row r="576" spans="3:20" hidden="1">
      <c r="C576" s="105"/>
      <c r="D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8"/>
    </row>
    <row r="577" spans="3:20" hidden="1">
      <c r="C577" s="105"/>
      <c r="D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8"/>
    </row>
    <row r="578" spans="3:20" hidden="1">
      <c r="C578" s="105"/>
      <c r="D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8"/>
    </row>
    <row r="579" spans="3:20" hidden="1">
      <c r="C579" s="105"/>
      <c r="D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8"/>
    </row>
    <row r="580" spans="3:20" hidden="1">
      <c r="C580" s="105"/>
      <c r="D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8"/>
    </row>
    <row r="581" spans="3:20" hidden="1">
      <c r="C581" s="105"/>
      <c r="D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8"/>
    </row>
    <row r="582" spans="3:20" hidden="1">
      <c r="C582" s="105"/>
      <c r="D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8"/>
    </row>
    <row r="583" spans="3:20" hidden="1">
      <c r="C583" s="105"/>
      <c r="D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8"/>
    </row>
    <row r="584" spans="3:20" hidden="1">
      <c r="C584" s="105"/>
      <c r="D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8"/>
    </row>
    <row r="585" spans="3:20" hidden="1">
      <c r="C585" s="105"/>
      <c r="D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8"/>
    </row>
    <row r="586" spans="3:20" hidden="1">
      <c r="C586" s="105"/>
      <c r="D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8"/>
    </row>
    <row r="587" spans="3:20" hidden="1">
      <c r="C587" s="105"/>
      <c r="D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8"/>
    </row>
    <row r="588" spans="3:20" hidden="1">
      <c r="C588" s="105"/>
      <c r="D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8"/>
    </row>
    <row r="589" spans="3:20" hidden="1">
      <c r="C589" s="105"/>
      <c r="D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8"/>
    </row>
    <row r="590" spans="3:20" hidden="1">
      <c r="C590" s="105"/>
      <c r="D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8"/>
    </row>
    <row r="591" spans="3:20" hidden="1">
      <c r="C591" s="105"/>
      <c r="D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8"/>
    </row>
    <row r="592" spans="3:20" hidden="1">
      <c r="C592" s="105"/>
      <c r="D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8"/>
    </row>
    <row r="593" spans="3:20" hidden="1">
      <c r="C593" s="105"/>
      <c r="D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8"/>
    </row>
    <row r="594" spans="3:20" hidden="1">
      <c r="C594" s="105"/>
      <c r="D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8"/>
    </row>
    <row r="595" spans="3:20" hidden="1">
      <c r="C595" s="105"/>
      <c r="D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8"/>
    </row>
    <row r="596" spans="3:20" hidden="1">
      <c r="C596" s="105"/>
      <c r="D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8"/>
    </row>
    <row r="597" spans="3:20" hidden="1">
      <c r="C597" s="105"/>
      <c r="D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8"/>
    </row>
    <row r="598" spans="3:20" hidden="1">
      <c r="C598" s="105"/>
      <c r="D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8"/>
    </row>
    <row r="599" spans="3:20" hidden="1">
      <c r="C599" s="105"/>
      <c r="D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8"/>
    </row>
    <row r="600" spans="3:20" hidden="1">
      <c r="C600" s="105"/>
      <c r="D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8"/>
    </row>
    <row r="601" spans="3:20" hidden="1">
      <c r="C601" s="105"/>
      <c r="D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8"/>
    </row>
    <row r="602" spans="3:20" hidden="1">
      <c r="C602" s="105"/>
      <c r="D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8"/>
    </row>
    <row r="603" spans="3:20" hidden="1">
      <c r="C603" s="105"/>
      <c r="D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8"/>
    </row>
    <row r="604" spans="3:20" hidden="1">
      <c r="C604" s="105"/>
      <c r="D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8"/>
    </row>
    <row r="605" spans="3:20" hidden="1">
      <c r="C605" s="105"/>
      <c r="D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8"/>
    </row>
    <row r="606" spans="3:20" hidden="1">
      <c r="C606" s="105"/>
      <c r="D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8"/>
    </row>
    <row r="607" spans="3:20" hidden="1">
      <c r="C607" s="105"/>
      <c r="D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8"/>
    </row>
    <row r="608" spans="3:20" hidden="1">
      <c r="C608" s="105"/>
      <c r="D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8"/>
    </row>
    <row r="609" spans="3:20" hidden="1">
      <c r="C609" s="105"/>
      <c r="D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8"/>
    </row>
    <row r="610" spans="3:20" hidden="1">
      <c r="C610" s="105"/>
      <c r="D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8"/>
    </row>
    <row r="611" spans="3:20" hidden="1">
      <c r="C611" s="105"/>
      <c r="D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8"/>
    </row>
    <row r="612" spans="3:20" hidden="1">
      <c r="C612" s="105"/>
      <c r="D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8"/>
    </row>
    <row r="613" spans="3:20" hidden="1">
      <c r="C613" s="105"/>
      <c r="D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8"/>
    </row>
    <row r="614" spans="3:20" hidden="1">
      <c r="C614" s="105"/>
      <c r="D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8"/>
    </row>
    <row r="615" spans="3:20" hidden="1">
      <c r="C615" s="105"/>
      <c r="D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8"/>
    </row>
    <row r="616" spans="3:20" hidden="1">
      <c r="C616" s="105"/>
      <c r="D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8"/>
    </row>
    <row r="617" spans="3:20" hidden="1">
      <c r="C617" s="105"/>
      <c r="D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8"/>
    </row>
    <row r="618" spans="3:20" hidden="1">
      <c r="C618" s="105"/>
      <c r="D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8"/>
    </row>
    <row r="619" spans="3:20" hidden="1">
      <c r="C619" s="105"/>
      <c r="D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8"/>
    </row>
    <row r="620" spans="3:20" hidden="1">
      <c r="C620" s="105"/>
      <c r="D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8"/>
    </row>
    <row r="621" spans="3:20" hidden="1">
      <c r="C621" s="105"/>
      <c r="D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8"/>
    </row>
    <row r="622" spans="3:20" hidden="1"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8"/>
    </row>
    <row r="623" spans="3:20" hidden="1"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8"/>
    </row>
    <row r="624" spans="3:20" hidden="1"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</row>
    <row r="625" spans="7:19" hidden="1"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</row>
  </sheetData>
  <mergeCells count="30">
    <mergeCell ref="D61:D67"/>
    <mergeCell ref="D57:D58"/>
    <mergeCell ref="A1:S1"/>
    <mergeCell ref="R27:S27"/>
    <mergeCell ref="M41:O41"/>
    <mergeCell ref="H41:J41"/>
    <mergeCell ref="H13:I13"/>
    <mergeCell ref="J13:K13"/>
    <mergeCell ref="L13:M13"/>
    <mergeCell ref="N13:O13"/>
    <mergeCell ref="R13:S13"/>
    <mergeCell ref="P27:Q27"/>
    <mergeCell ref="H26:S26"/>
    <mergeCell ref="H18:I18"/>
    <mergeCell ref="H27:I27"/>
    <mergeCell ref="J27:K27"/>
    <mergeCell ref="G59:O59"/>
    <mergeCell ref="I20:J20"/>
    <mergeCell ref="A2:S9"/>
    <mergeCell ref="J18:K18"/>
    <mergeCell ref="L18:M18"/>
    <mergeCell ref="N18:O18"/>
    <mergeCell ref="P18:Q18"/>
    <mergeCell ref="R18:S18"/>
    <mergeCell ref="G12:S12"/>
    <mergeCell ref="N28:O30"/>
    <mergeCell ref="D34:D35"/>
    <mergeCell ref="S28:S29"/>
    <mergeCell ref="L27:M27"/>
    <mergeCell ref="N27:O27"/>
  </mergeCells>
  <hyperlinks>
    <hyperlink ref="D25" r:id="rId1" location=".XMge7YkzaUk" xr:uid="{00000000-0004-0000-0000-000000000000}"/>
    <hyperlink ref="E25" r:id="rId2" display="http://webmineral.com/data/Lizardite.shtml" xr:uid="{00000000-0004-0000-0000-000001000000}"/>
    <hyperlink ref="D74" r:id="rId3" xr:uid="{00000000-0004-0000-0000-000002000000}"/>
    <hyperlink ref="D78" r:id="rId4" xr:uid="{00000000-0004-0000-0000-000003000000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L26"/>
  <sheetViews>
    <sheetView workbookViewId="0">
      <selection activeCell="M19" sqref="M19"/>
    </sheetView>
  </sheetViews>
  <sheetFormatPr baseColWidth="10" defaultRowHeight="15.75"/>
  <cols>
    <col min="2" max="2" width="24.5" customWidth="1"/>
    <col min="3" max="3" width="16.375" customWidth="1"/>
  </cols>
  <sheetData>
    <row r="1" spans="1:12" ht="47.25">
      <c r="A1" s="12" t="s">
        <v>130</v>
      </c>
      <c r="B1" s="209" t="s">
        <v>636</v>
      </c>
      <c r="C1" s="217" t="s">
        <v>729</v>
      </c>
      <c r="D1" s="210" t="s">
        <v>725</v>
      </c>
      <c r="E1" s="210" t="s">
        <v>724</v>
      </c>
      <c r="F1" s="210" t="s">
        <v>727</v>
      </c>
      <c r="G1" s="210" t="s">
        <v>726</v>
      </c>
      <c r="H1" s="210" t="s">
        <v>663</v>
      </c>
      <c r="I1" s="210" t="s">
        <v>640</v>
      </c>
      <c r="J1" s="210" t="s">
        <v>641</v>
      </c>
      <c r="K1" s="217" t="s">
        <v>728</v>
      </c>
      <c r="L1" s="217" t="s">
        <v>728</v>
      </c>
    </row>
    <row r="2" spans="1:12">
      <c r="A2" s="12">
        <v>1</v>
      </c>
      <c r="B2" s="205" t="s">
        <v>645</v>
      </c>
      <c r="C2" s="215">
        <v>0.42</v>
      </c>
      <c r="D2" s="180">
        <v>0.3</v>
      </c>
      <c r="E2" s="180">
        <v>0.5</v>
      </c>
      <c r="F2" s="233">
        <v>0.6</v>
      </c>
      <c r="G2" s="213">
        <v>0.8</v>
      </c>
      <c r="H2" s="180">
        <v>1</v>
      </c>
      <c r="I2" s="180">
        <v>27</v>
      </c>
      <c r="J2" s="180">
        <v>1</v>
      </c>
      <c r="K2" s="215">
        <v>0.6</v>
      </c>
      <c r="L2" s="215">
        <v>0.6</v>
      </c>
    </row>
    <row r="3" spans="1:12">
      <c r="A3" s="12">
        <f t="shared" ref="A3:A9" si="0">A2+1</f>
        <v>2</v>
      </c>
      <c r="B3" s="206" t="s">
        <v>656</v>
      </c>
      <c r="C3" s="180">
        <v>0.15</v>
      </c>
      <c r="D3" s="180">
        <v>0.30220000000000002</v>
      </c>
      <c r="E3" s="180">
        <v>0.30220000000000002</v>
      </c>
      <c r="F3" s="180">
        <v>1.4717</v>
      </c>
      <c r="G3" s="180">
        <v>1.4717</v>
      </c>
      <c r="H3" s="180">
        <v>1</v>
      </c>
      <c r="I3" s="180">
        <v>68</v>
      </c>
      <c r="J3" s="180">
        <v>1</v>
      </c>
      <c r="K3" s="215">
        <v>0.1822</v>
      </c>
      <c r="L3" s="215">
        <v>0.1822</v>
      </c>
    </row>
    <row r="4" spans="1:12">
      <c r="A4" s="12">
        <f>A7+1</f>
        <v>5</v>
      </c>
      <c r="B4" s="206" t="s">
        <v>657</v>
      </c>
      <c r="C4" s="215">
        <v>25</v>
      </c>
      <c r="D4" s="180">
        <v>37</v>
      </c>
      <c r="E4" s="180">
        <v>37</v>
      </c>
      <c r="F4" s="180">
        <v>10</v>
      </c>
      <c r="G4" s="180">
        <v>10</v>
      </c>
      <c r="H4" s="181">
        <v>1</v>
      </c>
      <c r="I4" s="181">
        <v>69</v>
      </c>
      <c r="J4" s="181">
        <v>1</v>
      </c>
      <c r="K4" s="215">
        <v>37</v>
      </c>
      <c r="L4" s="215">
        <v>37</v>
      </c>
    </row>
    <row r="5" spans="1:12">
      <c r="A5" s="12">
        <f t="shared" si="0"/>
        <v>6</v>
      </c>
      <c r="B5" s="206" t="s">
        <v>658</v>
      </c>
      <c r="C5" s="215">
        <v>0</v>
      </c>
      <c r="D5" s="180">
        <v>0</v>
      </c>
      <c r="E5" s="180">
        <v>0</v>
      </c>
      <c r="F5" s="180">
        <v>0</v>
      </c>
      <c r="G5" s="180">
        <v>0</v>
      </c>
      <c r="H5" s="181">
        <v>1</v>
      </c>
      <c r="I5" s="181">
        <v>38</v>
      </c>
      <c r="J5" s="181">
        <v>1</v>
      </c>
      <c r="K5" s="215">
        <v>1</v>
      </c>
      <c r="L5" s="215">
        <v>1</v>
      </c>
    </row>
    <row r="6" spans="1:12">
      <c r="A6" s="12">
        <f>A3+1</f>
        <v>3</v>
      </c>
      <c r="B6" s="206" t="s">
        <v>644</v>
      </c>
      <c r="C6" s="216">
        <v>75</v>
      </c>
      <c r="D6" s="180">
        <v>150</v>
      </c>
      <c r="E6" s="180">
        <v>150</v>
      </c>
      <c r="F6" s="180">
        <v>100</v>
      </c>
      <c r="G6" s="180">
        <v>100</v>
      </c>
      <c r="H6" s="182">
        <v>4</v>
      </c>
      <c r="I6" s="182">
        <v>2</v>
      </c>
      <c r="J6" s="182">
        <v>8</v>
      </c>
      <c r="K6" s="216">
        <v>115</v>
      </c>
      <c r="L6" s="216">
        <v>115</v>
      </c>
    </row>
    <row r="7" spans="1:12">
      <c r="A7" s="12">
        <f>A6+1</f>
        <v>4</v>
      </c>
      <c r="B7" s="206" t="s">
        <v>18</v>
      </c>
      <c r="C7" s="215">
        <v>125</v>
      </c>
      <c r="D7" s="180">
        <v>185</v>
      </c>
      <c r="E7" s="180">
        <v>185</v>
      </c>
      <c r="F7" s="180">
        <v>190</v>
      </c>
      <c r="G7" s="180">
        <v>190</v>
      </c>
      <c r="H7" s="181">
        <v>4</v>
      </c>
      <c r="I7" s="181">
        <v>1</v>
      </c>
      <c r="J7" s="181">
        <v>1</v>
      </c>
      <c r="K7" s="215">
        <v>155</v>
      </c>
      <c r="L7" s="215">
        <v>155</v>
      </c>
    </row>
    <row r="8" spans="1:12">
      <c r="A8" s="12">
        <f>A5+1</f>
        <v>7</v>
      </c>
      <c r="B8" s="206" t="s">
        <v>475</v>
      </c>
      <c r="C8" s="180">
        <v>0.64</v>
      </c>
      <c r="D8" s="180">
        <v>0.64</v>
      </c>
      <c r="E8" s="180">
        <v>0.64</v>
      </c>
      <c r="F8" s="180">
        <v>0.5</v>
      </c>
      <c r="G8" s="180">
        <v>0.5</v>
      </c>
      <c r="H8" s="181">
        <v>4</v>
      </c>
      <c r="I8" s="181">
        <v>6</v>
      </c>
      <c r="J8" s="181">
        <v>7</v>
      </c>
      <c r="K8" s="180">
        <v>0.64</v>
      </c>
      <c r="L8" s="180">
        <v>0.64</v>
      </c>
    </row>
    <row r="9" spans="1:12">
      <c r="A9" s="12">
        <f t="shared" si="0"/>
        <v>8</v>
      </c>
      <c r="B9" s="206" t="s">
        <v>217</v>
      </c>
      <c r="C9" s="180">
        <v>0</v>
      </c>
      <c r="D9" s="180">
        <v>1</v>
      </c>
      <c r="E9" s="180">
        <v>1</v>
      </c>
      <c r="F9" s="180">
        <v>0.75</v>
      </c>
      <c r="G9" s="180">
        <v>0.75</v>
      </c>
      <c r="H9" s="181">
        <v>4</v>
      </c>
      <c r="I9" s="181">
        <v>7</v>
      </c>
      <c r="J9" s="181">
        <v>7</v>
      </c>
      <c r="K9" s="180">
        <v>1</v>
      </c>
      <c r="L9" s="180">
        <v>1</v>
      </c>
    </row>
    <row r="10" spans="1:12">
      <c r="A10" s="12">
        <v>9</v>
      </c>
      <c r="B10" s="206" t="s">
        <v>525</v>
      </c>
      <c r="C10" s="185">
        <v>0.04</v>
      </c>
      <c r="D10" s="180">
        <v>0</v>
      </c>
      <c r="E10" s="180">
        <v>0</v>
      </c>
      <c r="F10" s="180">
        <v>0</v>
      </c>
      <c r="G10" s="181">
        <v>0</v>
      </c>
      <c r="H10" s="181">
        <v>4</v>
      </c>
      <c r="I10" s="181">
        <v>8</v>
      </c>
      <c r="J10" s="181">
        <v>7</v>
      </c>
      <c r="K10" s="185">
        <v>0</v>
      </c>
      <c r="L10" s="185">
        <v>0</v>
      </c>
    </row>
    <row r="11" spans="1:12">
      <c r="C11" t="s">
        <v>659</v>
      </c>
      <c r="D11" t="s">
        <v>659</v>
      </c>
      <c r="E11" t="s">
        <v>660</v>
      </c>
    </row>
    <row r="14" spans="1:12" ht="47.25">
      <c r="A14" s="12" t="s">
        <v>130</v>
      </c>
      <c r="B14" s="209" t="s">
        <v>636</v>
      </c>
      <c r="C14" s="217" t="s">
        <v>665</v>
      </c>
      <c r="D14" s="210" t="s">
        <v>666</v>
      </c>
      <c r="E14" s="210" t="s">
        <v>667</v>
      </c>
      <c r="F14" s="210" t="s">
        <v>671</v>
      </c>
      <c r="G14" s="210" t="s">
        <v>640</v>
      </c>
      <c r="H14" s="210" t="s">
        <v>641</v>
      </c>
      <c r="I14" s="210" t="s">
        <v>672</v>
      </c>
      <c r="J14" s="210" t="s">
        <v>673</v>
      </c>
      <c r="K14" s="210" t="s">
        <v>674</v>
      </c>
    </row>
    <row r="15" spans="1:12">
      <c r="A15" s="12">
        <v>1</v>
      </c>
      <c r="B15" s="205" t="s">
        <v>664</v>
      </c>
      <c r="C15" s="215">
        <v>0.05</v>
      </c>
      <c r="D15" s="180">
        <v>0.08</v>
      </c>
      <c r="E15" s="218">
        <v>7.4999999999999997E-2</v>
      </c>
      <c r="F15" s="180">
        <v>1</v>
      </c>
      <c r="G15" s="180">
        <v>59</v>
      </c>
      <c r="H15" s="180">
        <v>1</v>
      </c>
      <c r="I15" s="180"/>
      <c r="J15" s="180"/>
      <c r="K15" s="180"/>
    </row>
    <row r="16" spans="1:12">
      <c r="A16" s="12">
        <f t="shared" ref="A16:A22" si="1">A15+1</f>
        <v>2</v>
      </c>
      <c r="B16" s="206" t="s">
        <v>669</v>
      </c>
      <c r="C16" s="215">
        <v>0.05</v>
      </c>
      <c r="D16" s="180">
        <v>0.12</v>
      </c>
      <c r="E16" s="180">
        <f>0.25-E15</f>
        <v>0.17499999999999999</v>
      </c>
      <c r="F16" s="180">
        <v>1</v>
      </c>
      <c r="G16" s="180">
        <v>60</v>
      </c>
      <c r="H16" s="180">
        <v>1</v>
      </c>
      <c r="I16" s="180"/>
      <c r="J16" s="180"/>
      <c r="K16" s="180"/>
    </row>
    <row r="17" spans="1:11">
      <c r="A17" s="12">
        <f>A20+1</f>
        <v>5</v>
      </c>
      <c r="B17" s="206" t="s">
        <v>668</v>
      </c>
      <c r="C17" s="215">
        <v>0</v>
      </c>
      <c r="D17" s="180">
        <v>30</v>
      </c>
      <c r="E17" s="180">
        <v>80</v>
      </c>
      <c r="F17" s="181">
        <v>1</v>
      </c>
      <c r="G17" s="181">
        <v>57</v>
      </c>
      <c r="H17" s="181">
        <v>1</v>
      </c>
      <c r="I17" s="180"/>
      <c r="J17" s="180"/>
      <c r="K17" s="180"/>
    </row>
    <row r="18" spans="1:11">
      <c r="A18" s="12">
        <f t="shared" si="1"/>
        <v>6</v>
      </c>
      <c r="B18" s="206" t="s">
        <v>648</v>
      </c>
      <c r="C18" s="215">
        <v>70</v>
      </c>
      <c r="D18" s="180">
        <v>80</v>
      </c>
      <c r="E18" s="180">
        <v>90</v>
      </c>
      <c r="F18" s="181">
        <v>1</v>
      </c>
      <c r="G18" s="181">
        <v>56</v>
      </c>
      <c r="H18" s="181">
        <v>1</v>
      </c>
      <c r="I18" s="180"/>
      <c r="J18" s="180"/>
      <c r="K18" s="180"/>
    </row>
    <row r="19" spans="1:11">
      <c r="A19" s="12">
        <f>A16+1</f>
        <v>3</v>
      </c>
      <c r="B19" s="206"/>
      <c r="C19" s="216"/>
      <c r="D19" s="180"/>
      <c r="E19" s="180"/>
      <c r="F19" s="180"/>
      <c r="G19" s="180"/>
      <c r="H19" s="182"/>
      <c r="I19" s="219"/>
      <c r="J19" s="219"/>
      <c r="K19" s="180"/>
    </row>
    <row r="20" spans="1:11">
      <c r="A20" s="12">
        <f>A19+1</f>
        <v>4</v>
      </c>
      <c r="B20" s="206"/>
      <c r="C20" s="215"/>
      <c r="D20" s="180"/>
      <c r="E20" s="180"/>
      <c r="F20" s="180"/>
      <c r="G20" s="180"/>
      <c r="H20" s="181"/>
      <c r="I20" s="181"/>
      <c r="J20" s="181"/>
      <c r="K20" s="180"/>
    </row>
    <row r="21" spans="1:11">
      <c r="A21" s="12">
        <f>A18+1</f>
        <v>7</v>
      </c>
      <c r="B21" s="206"/>
      <c r="C21" s="180"/>
      <c r="D21" s="180"/>
      <c r="E21" s="180"/>
      <c r="F21" s="180"/>
      <c r="G21" s="180"/>
      <c r="H21" s="181"/>
      <c r="I21" s="181"/>
      <c r="J21" s="181"/>
      <c r="K21" s="180"/>
    </row>
    <row r="22" spans="1:11">
      <c r="A22" s="12">
        <f t="shared" si="1"/>
        <v>8</v>
      </c>
      <c r="B22" s="206"/>
      <c r="C22" s="180"/>
      <c r="D22" s="180"/>
      <c r="E22" s="180"/>
      <c r="F22" s="180"/>
      <c r="G22" s="180"/>
      <c r="H22" s="181"/>
      <c r="I22" s="181"/>
      <c r="J22" s="181"/>
      <c r="K22" s="180"/>
    </row>
    <row r="23" spans="1:11">
      <c r="A23" s="12">
        <v>9</v>
      </c>
      <c r="B23" s="206"/>
      <c r="C23" s="185"/>
      <c r="D23" s="180"/>
      <c r="E23" s="180"/>
      <c r="F23" s="180"/>
      <c r="G23" s="181"/>
      <c r="H23" s="181"/>
      <c r="I23" s="181"/>
      <c r="J23" s="181"/>
      <c r="K23" s="180"/>
    </row>
    <row r="24" spans="1:11">
      <c r="B24" t="s">
        <v>670</v>
      </c>
      <c r="C24">
        <f>C15/(C15+C16)</f>
        <v>0.5</v>
      </c>
      <c r="D24" s="218">
        <f t="shared" ref="D24:E24" si="2">D15/(D15+D16)</f>
        <v>0.39999999999999997</v>
      </c>
      <c r="E24" s="218">
        <f t="shared" si="2"/>
        <v>0.3</v>
      </c>
    </row>
    <row r="26" spans="1:11">
      <c r="E26" s="8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2">
    <tabColor theme="4" tint="-0.249977111117893"/>
  </sheetPr>
  <dimension ref="A1:AK132"/>
  <sheetViews>
    <sheetView zoomScale="60" zoomScaleNormal="80" workbookViewId="0">
      <pane xSplit="1" topLeftCell="B1" activePane="topRight" state="frozen"/>
      <selection activeCell="B69" sqref="B69"/>
      <selection pane="topRight" activeCell="L72" sqref="L72"/>
    </sheetView>
  </sheetViews>
  <sheetFormatPr baseColWidth="10" defaultRowHeight="15.75"/>
  <cols>
    <col min="2" max="2" width="26.625" customWidth="1"/>
    <col min="4" max="4" width="17.125" customWidth="1"/>
    <col min="5" max="5" width="17.625" customWidth="1"/>
    <col min="7" max="7" width="17.625" customWidth="1"/>
    <col min="12" max="12" width="26.125" customWidth="1"/>
    <col min="13" max="16" width="11.5" customWidth="1"/>
    <col min="18" max="18" width="16.625" customWidth="1"/>
    <col min="21" max="21" width="18.5" customWidth="1"/>
    <col min="24" max="24" width="14.125" customWidth="1"/>
    <col min="26" max="26" width="12.125" customWidth="1"/>
    <col min="36" max="36" width="13.125" customWidth="1"/>
  </cols>
  <sheetData>
    <row r="1" spans="1:37">
      <c r="A1" s="13"/>
      <c r="B1" s="296" t="s">
        <v>444</v>
      </c>
      <c r="C1" s="296"/>
      <c r="D1" s="296"/>
      <c r="E1" s="296"/>
      <c r="F1" s="296"/>
      <c r="G1" s="296" t="s">
        <v>445</v>
      </c>
      <c r="H1" s="296"/>
      <c r="I1" s="296"/>
      <c r="J1" s="296"/>
      <c r="K1" s="296"/>
      <c r="L1" s="296" t="s">
        <v>446</v>
      </c>
      <c r="M1" s="296"/>
      <c r="N1" s="296"/>
      <c r="O1" s="296"/>
      <c r="P1" s="296"/>
      <c r="Q1" s="296"/>
      <c r="R1" s="296"/>
      <c r="S1" s="296"/>
      <c r="T1" s="296"/>
      <c r="U1" s="296"/>
      <c r="V1" s="73"/>
      <c r="X1" s="296" t="s">
        <v>492</v>
      </c>
      <c r="Y1" s="296"/>
      <c r="Z1" s="296"/>
      <c r="AA1" s="296"/>
      <c r="AB1" s="296"/>
      <c r="AC1" s="296"/>
      <c r="AD1" s="296"/>
      <c r="AE1" s="296"/>
      <c r="AF1" s="296"/>
      <c r="AG1" s="296"/>
      <c r="AH1" s="296"/>
      <c r="AI1" s="296"/>
      <c r="AJ1" s="296"/>
    </row>
    <row r="2" spans="1:37" ht="63">
      <c r="A2" s="13" t="s">
        <v>130</v>
      </c>
      <c r="B2" s="13" t="s">
        <v>122</v>
      </c>
      <c r="C2" s="13" t="s">
        <v>2</v>
      </c>
      <c r="D2" s="44" t="s">
        <v>123</v>
      </c>
      <c r="E2" s="44" t="s">
        <v>124</v>
      </c>
      <c r="F2" s="13" t="s">
        <v>3</v>
      </c>
      <c r="G2" s="13" t="s">
        <v>122</v>
      </c>
      <c r="H2" s="13" t="s">
        <v>2</v>
      </c>
      <c r="I2" s="44" t="s">
        <v>183</v>
      </c>
      <c r="J2" s="44" t="s">
        <v>124</v>
      </c>
      <c r="K2" s="13" t="s">
        <v>441</v>
      </c>
      <c r="L2" s="13" t="s">
        <v>122</v>
      </c>
      <c r="M2" s="13" t="s">
        <v>134</v>
      </c>
      <c r="N2" s="13" t="s">
        <v>135</v>
      </c>
      <c r="O2" s="13" t="s">
        <v>136</v>
      </c>
      <c r="P2" s="13" t="s">
        <v>137</v>
      </c>
      <c r="Q2" s="13" t="s">
        <v>138</v>
      </c>
      <c r="R2" s="13" t="s">
        <v>232</v>
      </c>
      <c r="S2" s="44" t="s">
        <v>139</v>
      </c>
      <c r="T2" s="44" t="s">
        <v>229</v>
      </c>
      <c r="U2" s="13" t="s">
        <v>230</v>
      </c>
      <c r="V2" s="13" t="s">
        <v>231</v>
      </c>
      <c r="X2" s="13"/>
      <c r="Y2" s="44" t="s">
        <v>450</v>
      </c>
      <c r="Z2" s="44" t="s">
        <v>451</v>
      </c>
      <c r="AA2" s="44" t="s">
        <v>452</v>
      </c>
      <c r="AB2" s="44" t="s">
        <v>453</v>
      </c>
      <c r="AC2" s="44" t="s">
        <v>454</v>
      </c>
      <c r="AD2" s="44" t="s">
        <v>455</v>
      </c>
      <c r="AE2" s="44" t="s">
        <v>456</v>
      </c>
      <c r="AF2" s="44" t="s">
        <v>457</v>
      </c>
      <c r="AG2" s="44" t="s">
        <v>458</v>
      </c>
      <c r="AH2" s="44" t="s">
        <v>459</v>
      </c>
      <c r="AI2" s="44" t="s">
        <v>460</v>
      </c>
      <c r="AJ2" s="44" t="s">
        <v>461</v>
      </c>
    </row>
    <row r="3" spans="1:37">
      <c r="A3" s="13">
        <v>1</v>
      </c>
      <c r="B3" t="str">
        <f>Assumptions!A13</f>
        <v>capacity of plant</v>
      </c>
      <c r="C3" s="73">
        <f>Assumptions!B13</f>
        <v>1360000</v>
      </c>
      <c r="D3" s="73"/>
      <c r="E3" s="73"/>
      <c r="F3" t="str">
        <f>Assumptions!C13</f>
        <v>t cement produced /a</v>
      </c>
      <c r="G3" t="s">
        <v>126</v>
      </c>
      <c r="H3" s="73">
        <f>'CHEPCI &amp; Location factors'!B2</f>
        <v>102.4</v>
      </c>
      <c r="I3" s="73">
        <f>'CHEPCI &amp; Location factors'!A2</f>
        <v>1963</v>
      </c>
      <c r="J3" s="73"/>
      <c r="K3" s="123"/>
      <c r="L3" s="235" t="s">
        <v>131</v>
      </c>
      <c r="M3" s="73">
        <f>'[1]Timmerhaus 1991'!D19</f>
        <v>1.3741000000000001</v>
      </c>
      <c r="N3" s="73">
        <f>'[1]Timmerhaus 1991'!E19</f>
        <v>1744.4</v>
      </c>
      <c r="O3" s="73">
        <f>'[1]Timmerhaus 1991'!F19</f>
        <v>113254</v>
      </c>
      <c r="P3" s="73"/>
      <c r="Q3" s="73"/>
      <c r="R3" s="73"/>
      <c r="S3" s="73">
        <f>'[1]Timmerhaus 1991'!$A$3</f>
        <v>43.294698462490203</v>
      </c>
      <c r="T3" s="73">
        <f>'[1]Timmerhaus 1991'!$A$20</f>
        <v>558.60615328821098</v>
      </c>
      <c r="U3" s="73">
        <v>1991</v>
      </c>
      <c r="V3" s="73">
        <v>14</v>
      </c>
      <c r="X3" s="13" t="str">
        <f>Assumptions!G15</f>
        <v>T in [°C]</v>
      </c>
      <c r="Y3" s="73">
        <f>Assumptions!H15</f>
        <v>25</v>
      </c>
      <c r="Z3" s="73">
        <f>Assumptions!I15</f>
        <v>25</v>
      </c>
      <c r="AA3" s="73">
        <f>Assumptions!J15</f>
        <v>25</v>
      </c>
      <c r="AB3" s="73">
        <f>Assumptions!K15</f>
        <v>25</v>
      </c>
      <c r="AC3" s="73">
        <f>Assumptions!L15</f>
        <v>25</v>
      </c>
      <c r="AD3" s="73">
        <f>Assumptions!M15</f>
        <v>25</v>
      </c>
      <c r="AE3" s="73">
        <f>Assumptions!N15</f>
        <v>25</v>
      </c>
      <c r="AF3" s="73">
        <f>Assumptions!O15</f>
        <v>190</v>
      </c>
      <c r="AG3" s="73">
        <f>Assumptions!P15</f>
        <v>25</v>
      </c>
      <c r="AH3" s="73">
        <f>Assumptions!Q15</f>
        <v>25</v>
      </c>
      <c r="AI3" s="73">
        <f>Assumptions!R15</f>
        <v>25</v>
      </c>
      <c r="AJ3" s="73">
        <f>Assumptions!S15</f>
        <v>25</v>
      </c>
    </row>
    <row r="4" spans="1:37">
      <c r="A4" s="13">
        <f>A3+1</f>
        <v>2</v>
      </c>
      <c r="B4" t="str">
        <f>Assumptions!A14</f>
        <v>Lifetime of the plant</v>
      </c>
      <c r="C4" s="73">
        <f>Assumptions!B14</f>
        <v>30</v>
      </c>
      <c r="D4" s="73"/>
      <c r="E4" s="73"/>
      <c r="F4" t="str">
        <f>Assumptions!C14</f>
        <v>Years</v>
      </c>
      <c r="G4" t="s">
        <v>126</v>
      </c>
      <c r="H4" s="73">
        <f>'CHEPCI &amp; Location factors'!B3</f>
        <v>103.3</v>
      </c>
      <c r="I4" s="73">
        <f>'CHEPCI &amp; Location factors'!A3</f>
        <v>1964</v>
      </c>
      <c r="J4" s="73"/>
      <c r="K4" s="123"/>
      <c r="L4" s="235" t="s">
        <v>132</v>
      </c>
      <c r="M4" s="73">
        <f>'[1]Timmerhaus 1991'!D38</f>
        <v>1.9999999999999999E-7</v>
      </c>
      <c r="N4" s="73">
        <f>'[1]Timmerhaus 1991'!E38</f>
        <v>1.1999999999999999E-3</v>
      </c>
      <c r="O4" s="73">
        <f>'[1]Timmerhaus 1991'!F38</f>
        <v>-3.2789000000000001</v>
      </c>
      <c r="P4" s="73">
        <f>'[1]Timmerhaus 1991'!G38</f>
        <v>4476.5</v>
      </c>
      <c r="Q4" s="73">
        <f>'[1]Timmerhaus 1991'!H38</f>
        <v>136981</v>
      </c>
      <c r="R4" s="73"/>
      <c r="S4" s="73">
        <f>'[1]Timmerhaus 1991'!A24</f>
        <v>51.841404327671398</v>
      </c>
      <c r="T4" s="73">
        <f>'[1]Timmerhaus 1991'!A45</f>
        <v>2858.2049835816501</v>
      </c>
      <c r="U4" s="73">
        <v>1991</v>
      </c>
      <c r="V4" s="73">
        <v>14</v>
      </c>
      <c r="X4" s="13" t="str">
        <f>Assumptions!G16</f>
        <v>P in [bar]</v>
      </c>
      <c r="Y4" s="73">
        <f>Assumptions!H16</f>
        <v>1</v>
      </c>
      <c r="Z4" s="73">
        <f>Assumptions!I16</f>
        <v>1</v>
      </c>
      <c r="AA4" s="73">
        <f>Assumptions!J16</f>
        <v>1</v>
      </c>
      <c r="AB4" s="73">
        <f>Assumptions!K16</f>
        <v>1</v>
      </c>
      <c r="AC4" s="73">
        <f>Assumptions!L16</f>
        <v>1</v>
      </c>
      <c r="AD4" s="73">
        <f>Assumptions!M16</f>
        <v>1</v>
      </c>
      <c r="AE4" s="73">
        <f>Assumptions!N16</f>
        <v>1</v>
      </c>
      <c r="AF4" s="73">
        <f>Assumptions!O16</f>
        <v>100</v>
      </c>
      <c r="AG4" s="73">
        <f>Assumptions!P16</f>
        <v>1</v>
      </c>
      <c r="AH4" s="73">
        <f>Assumptions!Q16</f>
        <v>1</v>
      </c>
      <c r="AI4" s="73">
        <f>Assumptions!R16</f>
        <v>1</v>
      </c>
      <c r="AJ4" s="73">
        <f>Assumptions!S16</f>
        <v>1</v>
      </c>
    </row>
    <row r="5" spans="1:37" ht="31.5" customHeight="1">
      <c r="A5" s="13">
        <f t="shared" ref="A5:A68" si="0">A4+1</f>
        <v>3</v>
      </c>
      <c r="B5" t="str">
        <f>Assumptions!A15</f>
        <v>Interest rate</v>
      </c>
      <c r="C5" s="73">
        <f>Assumptions!B15</f>
        <v>7.6899999999999996E-2</v>
      </c>
      <c r="D5" s="73"/>
      <c r="E5" s="73"/>
      <c r="F5">
        <f>Assumptions!C15</f>
        <v>0</v>
      </c>
      <c r="G5" t="s">
        <v>126</v>
      </c>
      <c r="H5" s="73">
        <f>'CHEPCI &amp; Location factors'!B4</f>
        <v>104.2</v>
      </c>
      <c r="I5" s="73">
        <f>'CHEPCI &amp; Location factors'!A4</f>
        <v>1965</v>
      </c>
      <c r="J5" s="73"/>
      <c r="K5" s="123"/>
      <c r="L5" s="235" t="s">
        <v>133</v>
      </c>
      <c r="M5" s="73">
        <f>'[1]Timmerhaus 1991'!D64</f>
        <v>33352</v>
      </c>
      <c r="N5" s="73">
        <f>'[1]Timmerhaus 1991'!E64</f>
        <v>0.52380000000000004</v>
      </c>
      <c r="O5" s="73"/>
      <c r="P5" s="73"/>
      <c r="Q5" s="73"/>
      <c r="R5" s="73"/>
      <c r="S5" s="73">
        <f>'[1]Timmerhaus 1991'!$A$49</f>
        <v>21.716140037714698</v>
      </c>
      <c r="T5" s="73">
        <f>'[1]Timmerhaus 1991'!$A$76</f>
        <v>9375.6703526115198</v>
      </c>
      <c r="U5" s="73">
        <v>1991</v>
      </c>
      <c r="V5" s="73">
        <v>14</v>
      </c>
      <c r="X5" s="44" t="str">
        <f>Assumptions!G28</f>
        <v>Electricity [KWh/t]</v>
      </c>
      <c r="Y5" s="73">
        <f>Assumptions!H28</f>
        <v>0</v>
      </c>
      <c r="AA5" s="73">
        <f>Assumptions!J28</f>
        <v>2</v>
      </c>
      <c r="AC5" s="73">
        <f>Assumptions!L28</f>
        <v>81</v>
      </c>
      <c r="AD5" s="73">
        <f>Assumptions!M28</f>
        <v>0</v>
      </c>
      <c r="AG5" s="73">
        <f>Assumptions!P28</f>
        <v>17.49204665959703</v>
      </c>
      <c r="AI5" s="73">
        <f>Assumptions!R28</f>
        <v>13</v>
      </c>
      <c r="AK5" s="294" t="s">
        <v>272</v>
      </c>
    </row>
    <row r="6" spans="1:37" ht="47.25">
      <c r="A6" s="13">
        <f t="shared" si="0"/>
        <v>4</v>
      </c>
      <c r="B6" t="str">
        <f>Assumptions!A16</f>
        <v>CO2 in flue gas from cement production</v>
      </c>
      <c r="C6" s="73">
        <f>Assumptions!B16</f>
        <v>23.5</v>
      </c>
      <c r="D6" s="73"/>
      <c r="E6" s="73"/>
      <c r="F6" t="str">
        <f>Assumptions!C16</f>
        <v>% (w/w)</v>
      </c>
      <c r="G6" t="s">
        <v>126</v>
      </c>
      <c r="H6" s="73">
        <f>'CHEPCI &amp; Location factors'!B5</f>
        <v>107.9</v>
      </c>
      <c r="I6" s="73">
        <f>'CHEPCI &amp; Location factors'!A5</f>
        <v>1966</v>
      </c>
      <c r="J6" s="73"/>
      <c r="K6" s="123"/>
      <c r="L6" s="5" t="s">
        <v>189</v>
      </c>
      <c r="M6" s="73">
        <f>'[1]Capex-Sinott et al.'!G20</f>
        <v>37.777777780000001</v>
      </c>
      <c r="N6" s="73">
        <f>'[1]Capex-Sinott et al.'!H20</f>
        <v>148.88888890000001</v>
      </c>
      <c r="O6" s="73">
        <f>'[1]Capex-Sinott et al.'!I20</f>
        <v>260</v>
      </c>
      <c r="P6" s="73">
        <f>'[1]Capex-Sinott et al.'!J20</f>
        <v>371.11111110000002</v>
      </c>
      <c r="Q6" s="73">
        <f>'[1]Capex-Sinott et al.'!K20</f>
        <v>482.22222219999998</v>
      </c>
      <c r="R6" s="73"/>
      <c r="S6" s="73"/>
      <c r="T6" s="73"/>
      <c r="U6" s="73"/>
      <c r="V6" s="73"/>
      <c r="X6" s="44" t="str">
        <f>Assumptions!G29</f>
        <v>Heating requirements [GJ/t CO2]</v>
      </c>
      <c r="Y6" s="73">
        <f>Assumptions!H29</f>
        <v>0</v>
      </c>
      <c r="AA6" s="73">
        <f>Assumptions!J29</f>
        <v>0</v>
      </c>
      <c r="AC6" s="73">
        <f>Assumptions!L29</f>
        <v>0</v>
      </c>
      <c r="AG6" s="73">
        <f>Assumptions!P29</f>
        <v>0</v>
      </c>
      <c r="AI6" s="73">
        <f>Assumptions!R29</f>
        <v>3.6</v>
      </c>
      <c r="AK6" s="294"/>
    </row>
    <row r="7" spans="1:37" ht="47.25">
      <c r="A7" s="13">
        <f t="shared" si="0"/>
        <v>5</v>
      </c>
      <c r="B7">
        <f>Assumptions!A17</f>
        <v>0</v>
      </c>
      <c r="C7" s="73">
        <f>Assumptions!B17</f>
        <v>0</v>
      </c>
      <c r="D7" s="73"/>
      <c r="E7" s="73"/>
      <c r="G7" t="s">
        <v>126</v>
      </c>
      <c r="H7" s="73">
        <f>'CHEPCI &amp; Location factors'!B6</f>
        <v>109.7</v>
      </c>
      <c r="I7" s="73">
        <f>'CHEPCI &amp; Location factors'!A6</f>
        <v>1967</v>
      </c>
      <c r="J7" s="73"/>
      <c r="K7" s="123"/>
      <c r="L7" s="5" t="s">
        <v>188</v>
      </c>
      <c r="M7" s="73">
        <f>'[1]Capex-Sinott et al.'!G21</f>
        <v>88.942369080000006</v>
      </c>
      <c r="N7" s="73">
        <f>'[1]Capex-Sinott et al.'!H21</f>
        <v>88.942369080000006</v>
      </c>
      <c r="O7" s="73">
        <f>'[1]Capex-Sinott et al.'!I21</f>
        <v>88.942369080000006</v>
      </c>
      <c r="P7" s="73">
        <f>'[1]Capex-Sinott et al.'!J21</f>
        <v>79.289708869999998</v>
      </c>
      <c r="Q7" s="73">
        <f>'[1]Capex-Sinott et al.'!K21</f>
        <v>40.679068030000003</v>
      </c>
      <c r="R7" s="73"/>
      <c r="S7" s="73"/>
      <c r="T7" s="73"/>
      <c r="U7" s="73"/>
      <c r="V7" s="73"/>
      <c r="X7" s="44" t="str">
        <f>Assumptions!G30</f>
        <v>cooling water [m3/tonne CO2]</v>
      </c>
      <c r="Y7" s="73">
        <f>Assumptions!H30</f>
        <v>0</v>
      </c>
      <c r="AA7" s="73">
        <f>Assumptions!J30</f>
        <v>0</v>
      </c>
      <c r="AC7" s="73">
        <f>Assumptions!L30</f>
        <v>0</v>
      </c>
      <c r="AG7" s="73">
        <f>Assumptions!P30</f>
        <v>0</v>
      </c>
      <c r="AI7" s="73">
        <f>Assumptions!R30</f>
        <v>3.3917000000000002</v>
      </c>
      <c r="AK7" s="294"/>
    </row>
    <row r="8" spans="1:37" ht="31.5">
      <c r="A8" s="13">
        <f t="shared" si="0"/>
        <v>6</v>
      </c>
      <c r="B8" t="str">
        <f>Assumptions!A18</f>
        <v>Operation hours</v>
      </c>
      <c r="C8" s="73">
        <f>Assumptions!B18</f>
        <v>8000</v>
      </c>
      <c r="D8" s="73"/>
      <c r="E8" s="73"/>
      <c r="F8" t="str">
        <f>Assumptions!C18</f>
        <v>h</v>
      </c>
      <c r="G8" t="s">
        <v>126</v>
      </c>
      <c r="H8" s="73">
        <f>'CHEPCI &amp; Location factors'!B7</f>
        <v>113.7</v>
      </c>
      <c r="I8" s="73">
        <f>'CHEPCI &amp; Location factors'!A7</f>
        <v>1968</v>
      </c>
      <c r="J8" s="73"/>
      <c r="K8" s="123"/>
      <c r="L8" s="5" t="s">
        <v>187</v>
      </c>
      <c r="M8" s="73">
        <f>'[1]Capex-Sinott et al.'!G22</f>
        <v>117.90034970000001</v>
      </c>
      <c r="N8" s="73">
        <f>'[1]Capex-Sinott et al.'!H22</f>
        <v>117.90034970000001</v>
      </c>
      <c r="O8" s="73">
        <f>'[1]Capex-Sinott et al.'!I22</f>
        <v>117.90034970000001</v>
      </c>
      <c r="P8" s="73">
        <f>'[1]Capex-Sinott et al.'!J22</f>
        <v>98.595029289999999</v>
      </c>
      <c r="Q8" s="73">
        <f>'[1]Capex-Sinott et al.'!K22</f>
        <v>40.679068030000003</v>
      </c>
      <c r="R8" s="73"/>
      <c r="S8" s="73"/>
      <c r="T8" s="73"/>
      <c r="U8" s="73"/>
      <c r="V8" s="73"/>
      <c r="X8" s="44" t="str">
        <f>Assumptions!G31</f>
        <v>NaHCO3</v>
      </c>
      <c r="Y8" s="73"/>
      <c r="Z8" s="73"/>
      <c r="AA8" s="73"/>
      <c r="AB8" s="73"/>
      <c r="AC8" s="73"/>
      <c r="AD8" s="44"/>
      <c r="AE8" s="73">
        <f>Assumptions!N31</f>
        <v>0.5</v>
      </c>
      <c r="AF8" s="73"/>
      <c r="AG8" s="73"/>
      <c r="AH8" s="73"/>
      <c r="AI8" s="73"/>
      <c r="AJ8" s="73"/>
      <c r="AK8" s="294"/>
    </row>
    <row r="9" spans="1:37">
      <c r="A9" s="13">
        <f t="shared" si="0"/>
        <v>7</v>
      </c>
      <c r="B9" t="str">
        <f>Assumptions!A19</f>
        <v>Exchange rate $ in €</v>
      </c>
      <c r="C9" s="73">
        <f>Assumptions!B19</f>
        <v>0.88</v>
      </c>
      <c r="D9" s="73"/>
      <c r="E9" s="73"/>
      <c r="G9" t="s">
        <v>126</v>
      </c>
      <c r="H9" s="73">
        <f>'CHEPCI &amp; Location factors'!B8</f>
        <v>119</v>
      </c>
      <c r="I9" s="73">
        <f>'CHEPCI &amp; Location factors'!A8</f>
        <v>1969</v>
      </c>
      <c r="J9" s="73"/>
      <c r="K9" s="123"/>
      <c r="L9" s="5" t="s">
        <v>192</v>
      </c>
      <c r="M9" s="73">
        <f>'[1]Capex-Sinott et al.'!B3</f>
        <v>1</v>
      </c>
      <c r="N9" s="73">
        <f>'[1]Capex-Sinott et al.'!B4</f>
        <v>2</v>
      </c>
      <c r="O9" s="73">
        <f>'[1]Capex-Sinott et al.'!B5</f>
        <v>2.5</v>
      </c>
      <c r="P9" s="73">
        <f>'[1]Capex-Sinott et al.'!B6</f>
        <v>3</v>
      </c>
      <c r="Q9" s="73">
        <f>'[1]Capex-Sinott et al.'!B7</f>
        <v>3.5</v>
      </c>
      <c r="R9" s="73"/>
      <c r="S9" s="73"/>
      <c r="T9" s="73"/>
      <c r="U9" s="73"/>
      <c r="V9" s="73"/>
      <c r="X9" s="44" t="str">
        <f>Assumptions!G32</f>
        <v>NaCl</v>
      </c>
      <c r="Y9" s="73"/>
      <c r="Z9" s="73"/>
      <c r="AA9" s="73"/>
      <c r="AB9" s="73"/>
      <c r="AC9" s="73"/>
      <c r="AD9" s="44"/>
      <c r="AE9" s="73">
        <f>Assumptions!N32</f>
        <v>0.75</v>
      </c>
      <c r="AF9" s="73"/>
      <c r="AG9" s="73"/>
      <c r="AH9" s="73"/>
      <c r="AI9" s="73"/>
      <c r="AJ9" s="73"/>
      <c r="AK9" s="87"/>
    </row>
    <row r="10" spans="1:37" ht="31.5">
      <c r="A10" s="13">
        <f t="shared" si="0"/>
        <v>8</v>
      </c>
      <c r="B10" s="135" t="str">
        <f>Assumptions!A20</f>
        <v>RCO2</v>
      </c>
      <c r="C10" s="73">
        <f>Assumptions!B20</f>
        <v>1.8</v>
      </c>
      <c r="D10" s="73"/>
      <c r="E10" s="73"/>
      <c r="F10">
        <f>Assumptions!C20</f>
        <v>0</v>
      </c>
      <c r="G10" t="s">
        <v>126</v>
      </c>
      <c r="H10" s="73">
        <f>'CHEPCI &amp; Location factors'!B9</f>
        <v>125.7</v>
      </c>
      <c r="I10" s="73">
        <f>'CHEPCI &amp; Location factors'!A9</f>
        <v>1970</v>
      </c>
      <c r="J10" s="73"/>
      <c r="K10" s="123"/>
      <c r="L10" s="5" t="s">
        <v>193</v>
      </c>
      <c r="M10" s="73">
        <f>'[1]Capex-Sinott et al.'!C3</f>
        <v>5</v>
      </c>
      <c r="N10" s="73">
        <f>'[1]Capex-Sinott et al.'!C4</f>
        <v>7</v>
      </c>
      <c r="O10" s="73">
        <f>'[1]Capex-Sinott et al.'!C5</f>
        <v>9</v>
      </c>
      <c r="P10" s="73">
        <f>'[1]Capex-Sinott et al.'!C6</f>
        <v>10</v>
      </c>
      <c r="Q10" s="73">
        <f>'[1]Capex-Sinott et al.'!C7</f>
        <v>12</v>
      </c>
      <c r="R10" s="73"/>
      <c r="S10" s="73"/>
      <c r="T10" s="73"/>
      <c r="U10" s="73"/>
      <c r="V10" s="73"/>
      <c r="X10" s="44" t="str">
        <f>Assumptions!G33</f>
        <v>Oxalic Acid</v>
      </c>
      <c r="Y10" s="73"/>
      <c r="Z10" s="73"/>
      <c r="AA10" s="73"/>
      <c r="AB10" s="73"/>
      <c r="AC10" s="73"/>
      <c r="AD10" s="73"/>
      <c r="AE10" s="73">
        <f>Assumptions!N33</f>
        <v>0</v>
      </c>
      <c r="AF10" s="73"/>
      <c r="AG10" s="73"/>
      <c r="AH10" s="73"/>
      <c r="AI10" s="73"/>
      <c r="AJ10" s="73"/>
      <c r="AK10" s="87"/>
    </row>
    <row r="11" spans="1:37">
      <c r="A11" s="13">
        <f t="shared" si="0"/>
        <v>9</v>
      </c>
      <c r="B11" t="str">
        <f>Assumptions!A21</f>
        <v>Location (GER = 3)</v>
      </c>
      <c r="C11" s="73">
        <f>Assumptions!B21</f>
        <v>3</v>
      </c>
      <c r="D11" s="73"/>
      <c r="E11" s="73"/>
      <c r="G11" t="s">
        <v>126</v>
      </c>
      <c r="H11" s="73">
        <f>'CHEPCI &amp; Location factors'!B10</f>
        <v>132.30000000000001</v>
      </c>
      <c r="I11" s="73">
        <f>'CHEPCI &amp; Location factors'!A10</f>
        <v>1971</v>
      </c>
      <c r="J11" s="73"/>
      <c r="K11" s="123"/>
      <c r="L11" s="235" t="str">
        <f>'[1]Capex-Sinott et al.'!A24</f>
        <v>EC Vertical pressure vessel</v>
      </c>
      <c r="M11" s="73">
        <f>'[1]Capex-Sinott et al.'!C24</f>
        <v>17400</v>
      </c>
      <c r="N11" s="73">
        <f>'[1]Capex-Sinott et al.'!D24</f>
        <v>79</v>
      </c>
      <c r="O11" s="73">
        <f>'[1]Capex-Sinott et al.'!E24</f>
        <v>0.85</v>
      </c>
      <c r="P11" s="73"/>
      <c r="Q11" s="73"/>
      <c r="R11" s="73"/>
      <c r="S11" s="73">
        <f>'[1]Capex-Sinott et al.'!F24</f>
        <v>120</v>
      </c>
      <c r="T11" s="73">
        <f>'[1]Capex-Sinott et al.'!G24</f>
        <v>250000</v>
      </c>
      <c r="U11" s="73">
        <v>2010</v>
      </c>
      <c r="V11" s="73">
        <v>14</v>
      </c>
      <c r="X11" s="13" t="str">
        <f>Assumptions!G17</f>
        <v xml:space="preserve">Outgoing streams: </v>
      </c>
      <c r="Y11" s="73">
        <f>Assumptions!H17</f>
        <v>10</v>
      </c>
      <c r="Z11" s="73">
        <f>Assumptions!I17</f>
        <v>12</v>
      </c>
      <c r="AA11" s="73"/>
      <c r="AB11" s="170"/>
      <c r="AC11" s="73"/>
      <c r="AD11" s="73" t="str">
        <f>Assumptions!G34</f>
        <v>Ascorbic Acid</v>
      </c>
      <c r="AE11" s="73">
        <f>Assumptions!N34</f>
        <v>0</v>
      </c>
      <c r="AF11" s="73"/>
      <c r="AG11" s="73"/>
      <c r="AH11" s="73"/>
      <c r="AI11" s="73"/>
      <c r="AJ11" s="73"/>
      <c r="AK11" s="87"/>
    </row>
    <row r="12" spans="1:37">
      <c r="A12" s="13">
        <f t="shared" si="0"/>
        <v>10</v>
      </c>
      <c r="B12" t="str">
        <f>Assumptions!A22</f>
        <v>Year</v>
      </c>
      <c r="C12" s="73">
        <f>Assumptions!B22</f>
        <v>2017</v>
      </c>
      <c r="D12" s="73"/>
      <c r="E12" s="73"/>
      <c r="G12" t="s">
        <v>126</v>
      </c>
      <c r="H12" s="73">
        <f>'CHEPCI &amp; Location factors'!B11</f>
        <v>137.19999999999999</v>
      </c>
      <c r="I12" s="73">
        <f>'CHEPCI &amp; Location factors'!A11</f>
        <v>1972</v>
      </c>
      <c r="J12" s="73"/>
      <c r="K12" s="123"/>
      <c r="L12" s="235" t="str">
        <f>'[1]Capex-Sinott et al.'!A25</f>
        <v>EC reactor agitated</v>
      </c>
      <c r="M12" s="73">
        <f>'[1]Capex-Sinott et al.'!C25</f>
        <v>61500</v>
      </c>
      <c r="N12" s="73">
        <f>'[1]Capex-Sinott et al.'!D25</f>
        <v>32500</v>
      </c>
      <c r="O12" s="73">
        <f>'[1]Capex-Sinott et al.'!E25</f>
        <v>0.8</v>
      </c>
      <c r="P12" s="73"/>
      <c r="Q12" s="73"/>
      <c r="R12" s="73"/>
      <c r="S12" s="73">
        <f>'[1]Capex-Sinott et al.'!F25</f>
        <v>0.5</v>
      </c>
      <c r="T12" s="73">
        <f>'[1]Capex-Sinott et al.'!G25</f>
        <v>100</v>
      </c>
      <c r="U12" s="73">
        <v>2010</v>
      </c>
      <c r="V12" s="73">
        <v>14</v>
      </c>
      <c r="X12" s="84" t="s">
        <v>417</v>
      </c>
      <c r="Y12" s="171"/>
      <c r="Z12" s="171"/>
      <c r="AA12" s="171"/>
      <c r="AB12" s="170"/>
      <c r="AC12" s="170"/>
      <c r="AD12" s="73" t="str">
        <f>Assumptions!G35</f>
        <v>MEA [t/tonneCO2]</v>
      </c>
      <c r="AE12" s="170"/>
      <c r="AF12" s="170"/>
      <c r="AG12" s="170"/>
      <c r="AH12" s="170"/>
      <c r="AI12" s="73">
        <f>Assumptions!R35</f>
        <v>1.5E-3</v>
      </c>
      <c r="AJ12" s="170"/>
      <c r="AK12" s="87"/>
    </row>
    <row r="13" spans="1:37">
      <c r="A13" s="13">
        <f t="shared" si="0"/>
        <v>11</v>
      </c>
      <c r="B13" t="str">
        <f>Assumptions!A23</f>
        <v>gasphase in reactor</v>
      </c>
      <c r="C13" s="73">
        <f>Assumptions!B23</f>
        <v>0.3</v>
      </c>
      <c r="D13" s="73"/>
      <c r="E13" s="73"/>
      <c r="F13" t="str">
        <f>Assumptions!C23</f>
        <v>m³/m³</v>
      </c>
      <c r="G13" t="s">
        <v>126</v>
      </c>
      <c r="H13" s="73">
        <f>'CHEPCI &amp; Location factors'!B12</f>
        <v>144.1</v>
      </c>
      <c r="I13" s="73">
        <f>'CHEPCI &amp; Location factors'!A12</f>
        <v>1973</v>
      </c>
      <c r="J13" s="73"/>
      <c r="K13" s="123"/>
      <c r="L13" s="235" t="str">
        <f>'[1]Capex-Sinott et al.'!A26</f>
        <v>EC Tanks (floating roof)</v>
      </c>
      <c r="M13" s="73">
        <f>'[1]Capex-Sinott et al.'!C26</f>
        <v>113000</v>
      </c>
      <c r="N13" s="73">
        <f>'[1]Capex-Sinott et al.'!D26</f>
        <v>3250</v>
      </c>
      <c r="O13" s="73">
        <f>'[1]Capex-Sinott et al.'!E26</f>
        <v>0.65</v>
      </c>
      <c r="P13" s="73"/>
      <c r="Q13" s="73"/>
      <c r="R13" s="73"/>
      <c r="S13" s="73">
        <f>'[1]Capex-Sinott et al.'!F26</f>
        <v>100</v>
      </c>
      <c r="T13" s="73">
        <f>'[1]Capex-Sinott et al.'!G26</f>
        <v>10000</v>
      </c>
      <c r="U13" s="73">
        <v>2010</v>
      </c>
      <c r="V13" s="73">
        <v>14</v>
      </c>
      <c r="X13" s="13" t="str">
        <f>Assumptions!G43</f>
        <v>Flue gas</v>
      </c>
      <c r="Y13" s="73">
        <f>Assumptions!H43</f>
        <v>0</v>
      </c>
      <c r="AA13" s="73">
        <f>Assumptions!M43</f>
        <v>0</v>
      </c>
      <c r="AD13" s="73" t="str">
        <f>Assumptions!G36</f>
        <v>other [€/tonne CO2]</v>
      </c>
      <c r="AI13" s="73">
        <f>Assumptions!R36</f>
        <v>3.0234897854580072</v>
      </c>
      <c r="AK13" s="87"/>
    </row>
    <row r="14" spans="1:37">
      <c r="A14" s="13">
        <f t="shared" si="0"/>
        <v>12</v>
      </c>
      <c r="B14" s="136" t="str">
        <f>Assumptions!A24</f>
        <v>Maximum reactor size</v>
      </c>
      <c r="C14" s="73">
        <f>Assumptions!B24</f>
        <v>500</v>
      </c>
      <c r="D14" s="73"/>
      <c r="E14" s="73"/>
      <c r="F14">
        <f>Assumptions!C47</f>
        <v>0</v>
      </c>
      <c r="G14" t="s">
        <v>126</v>
      </c>
      <c r="H14" s="73">
        <f>'CHEPCI &amp; Location factors'!B13</f>
        <v>165.4</v>
      </c>
      <c r="I14" s="73">
        <f>'CHEPCI &amp; Location factors'!A13</f>
        <v>1974</v>
      </c>
      <c r="J14" s="73"/>
      <c r="K14" s="123"/>
      <c r="L14" s="235" t="str">
        <f>'[1]Capex-Sinott et al.'!A27</f>
        <v>EC Compressor Centrifugal</v>
      </c>
      <c r="M14" s="73">
        <f>'[1]Capex-Sinott et al.'!C27</f>
        <v>580000</v>
      </c>
      <c r="N14" s="73">
        <f>'[1]Capex-Sinott et al.'!D27</f>
        <v>20000</v>
      </c>
      <c r="O14" s="73">
        <f>'[1]Capex-Sinott et al.'!E27</f>
        <v>0.6</v>
      </c>
      <c r="P14" s="73"/>
      <c r="Q14" s="73"/>
      <c r="R14" s="73"/>
      <c r="S14" s="73">
        <f>'[1]Capex-Sinott et al.'!F27</f>
        <v>75</v>
      </c>
      <c r="T14" s="73">
        <f>'[1]Capex-Sinott et al.'!G27</f>
        <v>30000</v>
      </c>
      <c r="U14" s="73">
        <v>2010</v>
      </c>
      <c r="V14" s="73">
        <v>14</v>
      </c>
      <c r="X14" s="13" t="str">
        <f>Assumptions!G44</f>
        <v>Olivine</v>
      </c>
      <c r="Y14" s="73">
        <f>Assumptions!H44</f>
        <v>12</v>
      </c>
      <c r="AA14" s="73">
        <f>Assumptions!M44</f>
        <v>0</v>
      </c>
      <c r="AI14" s="170"/>
    </row>
    <row r="15" spans="1:37">
      <c r="A15" s="13">
        <f t="shared" si="0"/>
        <v>13</v>
      </c>
      <c r="B15" t="str">
        <f>Assumptions!A25</f>
        <v>density of grounded olivine</v>
      </c>
      <c r="C15" s="73">
        <f>Assumptions!B25</f>
        <v>3.27</v>
      </c>
      <c r="D15" s="73"/>
      <c r="E15" s="73"/>
      <c r="F15" t="str">
        <f>Assumptions!C25</f>
        <v>g/ml</v>
      </c>
      <c r="G15" t="s">
        <v>126</v>
      </c>
      <c r="H15" s="73">
        <f>'CHEPCI &amp; Location factors'!B14</f>
        <v>182.4</v>
      </c>
      <c r="I15" s="73">
        <f>'CHEPCI &amp; Location factors'!A14</f>
        <v>1975</v>
      </c>
      <c r="J15" s="73"/>
      <c r="K15" s="123"/>
      <c r="L15" s="235" t="s">
        <v>275</v>
      </c>
      <c r="M15" s="73">
        <f>'[1]Nazmul Hassan et.al., Romeo, '!C6*1000000</f>
        <v>29853162</v>
      </c>
      <c r="N15" s="73">
        <f>'[1]Nazmul Hassan et.al., Romeo, '!C2</f>
        <v>546280</v>
      </c>
      <c r="O15" s="73"/>
      <c r="P15" s="73"/>
      <c r="Q15" s="73"/>
      <c r="R15" s="73"/>
      <c r="S15" s="73"/>
      <c r="T15" s="73"/>
      <c r="U15" s="73">
        <f>'[1]Nazmul Hassan et.al., Romeo, '!C3</f>
        <v>2005</v>
      </c>
      <c r="V15" s="73">
        <v>18</v>
      </c>
      <c r="X15" s="13" t="str">
        <f>Assumptions!G45</f>
        <v>CO2(g)</v>
      </c>
      <c r="Y15" s="73">
        <f>Assumptions!H45</f>
        <v>0</v>
      </c>
      <c r="AA15" s="73">
        <f>Assumptions!M45</f>
        <v>0</v>
      </c>
    </row>
    <row r="16" spans="1:37">
      <c r="A16" s="13">
        <f t="shared" si="0"/>
        <v>14</v>
      </c>
      <c r="B16" t="str">
        <f>Assumptions!A26</f>
        <v>density of water</v>
      </c>
      <c r="C16" s="73">
        <f>Assumptions!B26</f>
        <v>0.997</v>
      </c>
      <c r="D16" s="73"/>
      <c r="E16" s="73"/>
      <c r="G16" t="s">
        <v>126</v>
      </c>
      <c r="H16" s="73">
        <f>'CHEPCI &amp; Location factors'!B15</f>
        <v>192.1</v>
      </c>
      <c r="I16" s="73">
        <f>'CHEPCI &amp; Location factors'!A15</f>
        <v>1976</v>
      </c>
      <c r="J16" s="73"/>
      <c r="K16" s="123"/>
      <c r="L16" s="235" t="str">
        <f>'[1]Timmerhaus 1991'!$R$22</f>
        <v>Working hours Average plant</v>
      </c>
      <c r="M16" s="73">
        <f>'[1]Timmerhaus 1991'!P22</f>
        <v>15.542999999999999</v>
      </c>
      <c r="N16" s="73">
        <f>'[1]Timmerhaus 1991'!Q22</f>
        <v>0.24460000000000001</v>
      </c>
      <c r="O16" s="73"/>
      <c r="P16" s="73"/>
      <c r="Q16" s="73"/>
      <c r="R16" s="73"/>
      <c r="S16" s="125">
        <f>'[1]Timmerhaus 1991'!K3</f>
        <v>2.11839214920938</v>
      </c>
      <c r="T16" s="125">
        <f>'[1]Timmerhaus 1991'!K60</f>
        <v>973.08005164000099</v>
      </c>
      <c r="U16" s="73"/>
      <c r="V16" s="73"/>
      <c r="X16" s="13" t="str">
        <f>Assumptions!G46</f>
        <v>MgO</v>
      </c>
      <c r="Y16" s="73">
        <f>Assumptions!H46</f>
        <v>0</v>
      </c>
      <c r="AA16" s="73">
        <f>Assumptions!M46</f>
        <v>0</v>
      </c>
    </row>
    <row r="17" spans="1:37">
      <c r="A17" s="13">
        <f t="shared" si="0"/>
        <v>15</v>
      </c>
      <c r="B17" t="str">
        <f>Assumptions!A27</f>
        <v>solid content in liquid phase</v>
      </c>
      <c r="C17" s="73">
        <f>Assumptions!B27</f>
        <v>0.125</v>
      </c>
      <c r="D17" s="73"/>
      <c r="E17" s="73"/>
      <c r="F17" t="str">
        <f>Assumptions!C27</f>
        <v>wt/wt</v>
      </c>
      <c r="G17" t="s">
        <v>126</v>
      </c>
      <c r="H17" s="73">
        <f>'CHEPCI &amp; Location factors'!B16</f>
        <v>204.1</v>
      </c>
      <c r="I17" s="73">
        <f>'CHEPCI &amp; Location factors'!A16</f>
        <v>1977</v>
      </c>
      <c r="J17" s="73"/>
      <c r="K17" s="123"/>
      <c r="L17" s="235" t="str">
        <f>'[1]Timmerhaus 1991'!$R$23</f>
        <v>Working hours Large EQ</v>
      </c>
      <c r="M17" s="73">
        <f>'[1]Timmerhaus 1991'!P23</f>
        <v>10.446999999999999</v>
      </c>
      <c r="N17" s="73">
        <f>'[1]Timmerhaus 1991'!Q23</f>
        <v>0.2485</v>
      </c>
      <c r="O17" s="73"/>
      <c r="P17" s="73"/>
      <c r="Q17" s="73"/>
      <c r="R17" s="73"/>
      <c r="S17" s="125">
        <f>'[1]Timmerhaus 1991'!M3</f>
        <v>5.0877113827311602</v>
      </c>
      <c r="T17" s="125">
        <f>'[1]Timmerhaus 1991'!M52</f>
        <v>969.963318688502</v>
      </c>
      <c r="U17" s="73"/>
      <c r="V17" s="73"/>
      <c r="X17" s="13" t="str">
        <f>Assumptions!G47</f>
        <v>SiO2</v>
      </c>
      <c r="Y17" s="73">
        <f>Assumptions!H47</f>
        <v>0</v>
      </c>
      <c r="AA17" s="73">
        <f>Assumptions!M47</f>
        <v>0</v>
      </c>
    </row>
    <row r="18" spans="1:37">
      <c r="A18" s="13">
        <f t="shared" si="0"/>
        <v>16</v>
      </c>
      <c r="B18">
        <f>Assumptions!A28</f>
        <v>0</v>
      </c>
      <c r="C18" s="73">
        <f>Assumptions!B28</f>
        <v>0</v>
      </c>
      <c r="D18" s="73"/>
      <c r="E18" s="73"/>
      <c r="F18">
        <f>Assumptions!C28</f>
        <v>0</v>
      </c>
      <c r="G18" t="s">
        <v>126</v>
      </c>
      <c r="H18" s="73">
        <f>'CHEPCI &amp; Location factors'!B17</f>
        <v>218.8</v>
      </c>
      <c r="I18" s="73">
        <f>'CHEPCI &amp; Location factors'!A17</f>
        <v>1978</v>
      </c>
      <c r="J18" s="73"/>
      <c r="K18" s="123"/>
      <c r="L18" s="235" t="str">
        <f>'[1]Capex-Sinott et al.'!A28</f>
        <v>EC Heat exchanger</v>
      </c>
      <c r="M18" s="73">
        <f>'[1]Capex-Sinott et al.'!C28</f>
        <v>28000</v>
      </c>
      <c r="N18" s="73">
        <f>'[1]Capex-Sinott et al.'!D28</f>
        <v>54</v>
      </c>
      <c r="O18" s="73">
        <f>'[1]Capex-Sinott et al.'!E28</f>
        <v>1.2</v>
      </c>
      <c r="P18" s="73"/>
      <c r="Q18" s="73"/>
      <c r="R18" s="73"/>
      <c r="S18" s="73">
        <f>'[1]Capex-Sinott et al.'!F28</f>
        <v>10</v>
      </c>
      <c r="T18" s="73">
        <f>'[1]Capex-Sinott et al.'!G28</f>
        <v>1000</v>
      </c>
      <c r="U18" s="73">
        <v>2010</v>
      </c>
      <c r="V18" s="73">
        <v>14</v>
      </c>
      <c r="X18" s="13" t="str">
        <f>Assumptions!G48</f>
        <v>Fe</v>
      </c>
      <c r="Y18" s="73">
        <f>Assumptions!H48</f>
        <v>0</v>
      </c>
      <c r="AA18" s="73">
        <f>Assumptions!M48</f>
        <v>0</v>
      </c>
      <c r="AK18" s="90"/>
    </row>
    <row r="19" spans="1:37">
      <c r="A19" s="13">
        <f t="shared" si="0"/>
        <v>17</v>
      </c>
      <c r="B19" t="str">
        <f>Assumptions!A29</f>
        <v xml:space="preserve">joint efficiency </v>
      </c>
      <c r="C19" s="73">
        <f>Assumptions!B29</f>
        <v>1</v>
      </c>
      <c r="D19" s="73"/>
      <c r="E19" s="73"/>
      <c r="G19" t="s">
        <v>126</v>
      </c>
      <c r="H19" s="73">
        <f>'CHEPCI &amp; Location factors'!B18</f>
        <v>238.7</v>
      </c>
      <c r="I19" s="73">
        <f>'CHEPCI &amp; Location factors'!A18</f>
        <v>1979</v>
      </c>
      <c r="J19" s="73"/>
      <c r="K19" s="123"/>
      <c r="L19" s="235" t="str">
        <f>'[1]Capex-Sinott et al.'!A29</f>
        <v>EC cylindrical Furnace</v>
      </c>
      <c r="M19" s="73">
        <f>'[1]Capex-Sinott et al.'!C29</f>
        <v>80000</v>
      </c>
      <c r="N19" s="73">
        <f>'[1]Capex-Sinott et al.'!D29</f>
        <v>109000</v>
      </c>
      <c r="O19" s="73">
        <f>'[1]Capex-Sinott et al.'!E29</f>
        <v>0.8</v>
      </c>
      <c r="P19" s="73"/>
      <c r="Q19" s="73"/>
      <c r="R19" s="73"/>
      <c r="S19" s="73">
        <f>'[1]Capex-Sinott et al.'!F29</f>
        <v>0.2</v>
      </c>
      <c r="T19" s="73">
        <f>'[1]Capex-Sinott et al.'!G29</f>
        <v>60</v>
      </c>
      <c r="U19" s="73">
        <v>2010</v>
      </c>
      <c r="V19" s="73">
        <v>14</v>
      </c>
      <c r="X19" s="13" t="str">
        <f>Assumptions!G49</f>
        <v>Process H2O (l)</v>
      </c>
      <c r="Y19" s="73">
        <f>Assumptions!H49</f>
        <v>0.2</v>
      </c>
      <c r="AA19" s="73">
        <f>Assumptions!M49</f>
        <v>0</v>
      </c>
      <c r="AK19" s="90"/>
    </row>
    <row r="20" spans="1:37">
      <c r="A20" s="13">
        <f t="shared" si="0"/>
        <v>18</v>
      </c>
      <c r="B20" t="str">
        <f>Assumptions!A30</f>
        <v>securty factor on pressure</v>
      </c>
      <c r="C20" s="73">
        <f>Assumptions!B30</f>
        <v>0.1</v>
      </c>
      <c r="D20" s="73"/>
      <c r="E20" s="73"/>
      <c r="G20" t="s">
        <v>126</v>
      </c>
      <c r="H20" s="73">
        <f>'CHEPCI &amp; Location factors'!B19</f>
        <v>261.2</v>
      </c>
      <c r="I20" s="73">
        <f>'CHEPCI &amp; Location factors'!A19</f>
        <v>1980</v>
      </c>
      <c r="J20" s="73"/>
      <c r="K20" s="123"/>
      <c r="L20" s="235" t="str">
        <f>'[1]Felder et al. &amp; NIST'!A5</f>
        <v>CO2(g)</v>
      </c>
      <c r="M20" s="73">
        <f>'[1]Felder et al. &amp; NIST'!B5</f>
        <v>24.997350000000001</v>
      </c>
      <c r="N20" s="73">
        <f>'[1]Felder et al. &amp; NIST'!C5</f>
        <v>55.186959999999999</v>
      </c>
      <c r="O20" s="73">
        <f>'[1]Felder et al. &amp; NIST'!D5</f>
        <v>-33.691369999999999</v>
      </c>
      <c r="P20" s="73">
        <f>'[1]Felder et al. &amp; NIST'!E5</f>
        <v>7.9483870000000003</v>
      </c>
      <c r="Q20" s="73">
        <f>'[1]Felder et al. &amp; NIST'!F5</f>
        <v>-0.13663800000000001</v>
      </c>
      <c r="R20" s="82">
        <f>'[1]Felder et al. &amp; NIST'!J5</f>
        <v>-393.5</v>
      </c>
      <c r="S20" s="73">
        <f>'[1]Felder et al. &amp; NIST'!G5-273.15</f>
        <v>24.850000000000023</v>
      </c>
      <c r="T20" s="73">
        <f>'[1]Felder et al. &amp; NIST'!H5-273.15</f>
        <v>926.85</v>
      </c>
      <c r="U20" s="73"/>
      <c r="V20" s="73"/>
      <c r="W20" s="295" t="s">
        <v>233</v>
      </c>
      <c r="X20" s="13" t="str">
        <f>Assumptions!G50</f>
        <v>MgCO3</v>
      </c>
      <c r="Y20" s="73">
        <f>Assumptions!H50</f>
        <v>0</v>
      </c>
      <c r="AA20" s="73">
        <f>Assumptions!M50</f>
        <v>0</v>
      </c>
    </row>
    <row r="21" spans="1:37">
      <c r="A21" s="13">
        <f t="shared" si="0"/>
        <v>19</v>
      </c>
      <c r="B21" t="str">
        <f>Assumptions!A31</f>
        <v xml:space="preserve">reaction temp </v>
      </c>
      <c r="C21" s="73">
        <f>Assumptions!B31</f>
        <v>190</v>
      </c>
      <c r="D21" s="73"/>
      <c r="E21" s="73"/>
      <c r="F21" t="str">
        <f>Assumptions!C31</f>
        <v>°C</v>
      </c>
      <c r="G21" t="s">
        <v>126</v>
      </c>
      <c r="H21" s="73">
        <f>'CHEPCI &amp; Location factors'!B20</f>
        <v>297</v>
      </c>
      <c r="I21" s="73">
        <f>'CHEPCI &amp; Location factors'!A20</f>
        <v>1981</v>
      </c>
      <c r="J21" s="73"/>
      <c r="K21" s="123"/>
      <c r="L21" s="235" t="str">
        <f>'[1]Felder et al. &amp; NIST'!A6</f>
        <v>MgO</v>
      </c>
      <c r="M21" s="73">
        <f>'[1]Felder et al. &amp; NIST'!B6</f>
        <v>47.259950000000003</v>
      </c>
      <c r="N21" s="73">
        <f>'[1]Felder et al. &amp; NIST'!C6</f>
        <v>5.6816209999999998</v>
      </c>
      <c r="O21" s="73">
        <f>'[1]Felder et al. &amp; NIST'!D6</f>
        <v>-0.87266500000000002</v>
      </c>
      <c r="P21" s="73">
        <f>'[1]Felder et al. &amp; NIST'!E6</f>
        <v>0.1043</v>
      </c>
      <c r="Q21" s="73">
        <f>'[1]Felder et al. &amp; NIST'!F6</f>
        <v>-1.053955</v>
      </c>
      <c r="R21" s="82">
        <f>'[1]Felder et al. &amp; NIST'!J6</f>
        <v>-601.79999999999995</v>
      </c>
      <c r="S21" s="73">
        <f>'[1]Felder et al. &amp; NIST'!G6-273.15</f>
        <v>24.850000000000023</v>
      </c>
      <c r="T21" s="73">
        <f>'[1]Felder et al. &amp; NIST'!H6-273.15</f>
        <v>2831.85</v>
      </c>
      <c r="U21" s="73"/>
      <c r="V21" s="73"/>
      <c r="W21" s="295"/>
      <c r="X21" s="13" t="str">
        <f>Assumptions!G51</f>
        <v>NaHCO3</v>
      </c>
      <c r="Y21" s="73">
        <f>Assumptions!H51</f>
        <v>209</v>
      </c>
      <c r="AA21" s="73">
        <f>Assumptions!M51</f>
        <v>0</v>
      </c>
    </row>
    <row r="22" spans="1:37">
      <c r="A22" s="13">
        <f t="shared" si="0"/>
        <v>20</v>
      </c>
      <c r="B22" t="str">
        <f>Assumptions!A32</f>
        <v>material of reactor</v>
      </c>
      <c r="C22" s="73">
        <f>Assumptions!B32</f>
        <v>1</v>
      </c>
      <c r="D22" s="73"/>
      <c r="E22" s="73"/>
      <c r="F22">
        <f>Assumptions!C32</f>
        <v>0</v>
      </c>
      <c r="G22" t="s">
        <v>126</v>
      </c>
      <c r="H22" s="73">
        <f>'CHEPCI &amp; Location factors'!B21</f>
        <v>314</v>
      </c>
      <c r="I22" s="73">
        <f>'CHEPCI &amp; Location factors'!A21</f>
        <v>1982</v>
      </c>
      <c r="J22" s="73"/>
      <c r="K22" s="123"/>
      <c r="L22" s="235" t="str">
        <f>'[1]Felder et al. &amp; NIST'!A7</f>
        <v>SiO2</v>
      </c>
      <c r="M22" s="73">
        <f>'[1]Felder et al. &amp; NIST'!B7</f>
        <v>-6.0765909999999996</v>
      </c>
      <c r="N22" s="73">
        <f>'[1]Felder et al. &amp; NIST'!C7</f>
        <v>251.6755</v>
      </c>
      <c r="O22" s="73">
        <f>'[1]Felder et al. &amp; NIST'!D7</f>
        <v>-324.79640000000001</v>
      </c>
      <c r="P22" s="73">
        <f>'[1]Felder et al. &amp; NIST'!E7</f>
        <v>168.56039999999999</v>
      </c>
      <c r="Q22" s="73">
        <f>'[1]Felder et al. &amp; NIST'!F7</f>
        <v>2.5479999999999999E-3</v>
      </c>
      <c r="R22" s="82">
        <f>'[1]Felder et al. &amp; NIST'!J7</f>
        <v>-859.4</v>
      </c>
      <c r="S22" s="73">
        <f>'[1]Felder et al. &amp; NIST'!G7-273.15</f>
        <v>24.850000000000023</v>
      </c>
      <c r="T22" s="73">
        <f>'[1]Felder et al. &amp; NIST'!H7-273.15</f>
        <v>573.85</v>
      </c>
      <c r="U22" s="73"/>
      <c r="V22" s="73"/>
      <c r="W22" s="295"/>
      <c r="X22" s="13" t="str">
        <f>Assumptions!G52</f>
        <v>NaCl</v>
      </c>
      <c r="Y22" s="73">
        <f>Assumptions!H52</f>
        <v>61.6</v>
      </c>
      <c r="AA22" s="73">
        <f>Assumptions!M52</f>
        <v>0</v>
      </c>
    </row>
    <row r="23" spans="1:37">
      <c r="A23" s="13">
        <f t="shared" si="0"/>
        <v>21</v>
      </c>
      <c r="B23" t="str">
        <f>Assumptions!A33</f>
        <v xml:space="preserve">density of steel </v>
      </c>
      <c r="C23" s="73">
        <f>Assumptions!B33</f>
        <v>8000</v>
      </c>
      <c r="D23" s="73"/>
      <c r="E23" s="73"/>
      <c r="F23" t="str">
        <f>Assumptions!C33</f>
        <v>kg/m3</v>
      </c>
      <c r="G23" t="s">
        <v>126</v>
      </c>
      <c r="H23" s="73">
        <f>'CHEPCI &amp; Location factors'!B22</f>
        <v>317</v>
      </c>
      <c r="I23" s="73">
        <f>'CHEPCI &amp; Location factors'!A22</f>
        <v>1983</v>
      </c>
      <c r="J23" s="73"/>
      <c r="K23" s="123"/>
      <c r="L23" s="235" t="str">
        <f>'[1]Felder et al. &amp; NIST'!A8</f>
        <v>Fe2O3</v>
      </c>
      <c r="M23" s="73">
        <f>'[1]Felder et al. &amp; NIST'!B8</f>
        <v>93.438339999999997</v>
      </c>
      <c r="N23" s="73">
        <f>'[1]Felder et al. &amp; NIST'!C8</f>
        <v>108.35769999999999</v>
      </c>
      <c r="O23" s="73">
        <f>'[1]Felder et al. &amp; NIST'!D8</f>
        <v>-50.864469999999997</v>
      </c>
      <c r="P23" s="73">
        <f>'[1]Felder et al. &amp; NIST'!E8</f>
        <v>25.586829999999999</v>
      </c>
      <c r="Q23" s="73">
        <f>'[1]Felder et al. &amp; NIST'!F8</f>
        <v>-1.6113299999999999</v>
      </c>
      <c r="R23" s="82">
        <f>'[1]Felder et al. &amp; NIST'!J8</f>
        <v>-865</v>
      </c>
      <c r="S23" s="73">
        <f>'[1]Felder et al. &amp; NIST'!G8-273.15</f>
        <v>24.850000000000023</v>
      </c>
      <c r="T23" s="73">
        <f>'[1]Felder et al. &amp; NIST'!H8-273.15</f>
        <v>676.85</v>
      </c>
      <c r="U23" s="73"/>
      <c r="V23" s="73"/>
      <c r="W23" s="295"/>
      <c r="X23" s="13" t="str">
        <f>Assumptions!G53</f>
        <v>MEA</v>
      </c>
      <c r="Y23" s="73">
        <f>Assumptions!H53</f>
        <v>1320</v>
      </c>
      <c r="AA23" s="73">
        <f>Assumptions!M53</f>
        <v>0</v>
      </c>
    </row>
    <row r="24" spans="1:37">
      <c r="A24" s="13">
        <f t="shared" si="0"/>
        <v>22</v>
      </c>
      <c r="B24" t="str">
        <f>Assumptions!A34</f>
        <v>MgO content feed</v>
      </c>
      <c r="C24" s="73">
        <f>Assumptions!B34</f>
        <v>0.45832000000000001</v>
      </c>
      <c r="D24" s="73"/>
      <c r="E24" s="73"/>
      <c r="F24">
        <f>Assumptions!C34</f>
        <v>0</v>
      </c>
      <c r="G24" t="s">
        <v>126</v>
      </c>
      <c r="H24" s="73">
        <f>'CHEPCI &amp; Location factors'!B23</f>
        <v>322.7</v>
      </c>
      <c r="I24" s="73">
        <f>'CHEPCI &amp; Location factors'!A23</f>
        <v>1984</v>
      </c>
      <c r="J24" s="73"/>
      <c r="K24" s="123"/>
      <c r="L24" s="235" t="str">
        <f>'[1]Felder et al. &amp; NIST'!A9</f>
        <v>MgCO3</v>
      </c>
      <c r="M24" s="73">
        <f>'[1]Felder et al. &amp; NIST'!B9</f>
        <v>44.936999999999998</v>
      </c>
      <c r="N24" s="73">
        <f>'[1]Felder et al. &amp; NIST'!C9</f>
        <v>149.70849999999999</v>
      </c>
      <c r="O24" s="73">
        <f>'[1]Felder et al. &amp; NIST'!D9</f>
        <v>-74.182739999999995</v>
      </c>
      <c r="P24" s="73">
        <f>'[1]Felder et al. &amp; NIST'!E9</f>
        <v>11.976699999999999</v>
      </c>
      <c r="Q24" s="73">
        <f>'[1]Felder et al. &amp; NIST'!F9</f>
        <v>-0.62926099999999996</v>
      </c>
      <c r="R24" s="82">
        <f>'[1]Felder et al. &amp; NIST'!J9</f>
        <v>-1095.8</v>
      </c>
      <c r="S24" s="73">
        <f>'[1]Felder et al. &amp; NIST'!G9-273.15</f>
        <v>24.850000000000023</v>
      </c>
      <c r="T24" s="73">
        <f>'[1]Felder et al. &amp; NIST'!H9-273.15</f>
        <v>726.85</v>
      </c>
      <c r="U24" s="73"/>
      <c r="V24" s="73"/>
      <c r="W24" s="295"/>
      <c r="X24" s="13" t="str">
        <f>Assumptions!G54</f>
        <v>Oxalic Acid</v>
      </c>
      <c r="Y24" s="73">
        <f>Assumptions!H54</f>
        <v>403</v>
      </c>
      <c r="AA24" s="73">
        <f>Assumptions!M54</f>
        <v>0</v>
      </c>
    </row>
    <row r="25" spans="1:37">
      <c r="A25" s="13">
        <f t="shared" si="0"/>
        <v>23</v>
      </c>
      <c r="B25" t="str">
        <f>Assumptions!A35</f>
        <v>SiO2 content feed</v>
      </c>
      <c r="C25" s="73">
        <f>Assumptions!B35</f>
        <v>0.34167999999999998</v>
      </c>
      <c r="D25" s="73"/>
      <c r="E25" s="73"/>
      <c r="G25" t="s">
        <v>126</v>
      </c>
      <c r="H25" s="73">
        <f>'CHEPCI &amp; Location factors'!B24</f>
        <v>325.3</v>
      </c>
      <c r="I25" s="73">
        <f>'CHEPCI &amp; Location factors'!A24</f>
        <v>1985</v>
      </c>
      <c r="J25" s="73"/>
      <c r="K25" s="123"/>
      <c r="L25" s="235" t="str">
        <f>'[1]Felder et al. &amp; NIST'!A10</f>
        <v>H2O (l)</v>
      </c>
      <c r="M25" s="73">
        <f>'[1]Felder et al. &amp; NIST'!B10</f>
        <v>-203.60599999999999</v>
      </c>
      <c r="N25" s="73">
        <f>'[1]Felder et al. &amp; NIST'!C10</f>
        <v>1523.29</v>
      </c>
      <c r="O25" s="73">
        <f>'[1]Felder et al. &amp; NIST'!D10</f>
        <v>-3196.413</v>
      </c>
      <c r="P25" s="73">
        <f>'[1]Felder et al. &amp; NIST'!E10</f>
        <v>2474.4549999999999</v>
      </c>
      <c r="Q25" s="73">
        <f>'[1]Felder et al. &amp; NIST'!F10</f>
        <v>3.8553259999999998</v>
      </c>
      <c r="R25" s="82">
        <f>'[1]Felder et al. &amp; NIST'!J10</f>
        <v>-285.83999999999997</v>
      </c>
      <c r="S25" s="73">
        <f>'[1]Felder et al. &amp; NIST'!G10-273.15</f>
        <v>24.850000000000023</v>
      </c>
      <c r="T25" s="73">
        <f>'[1]Felder et al. &amp; NIST'!H10-273.15</f>
        <v>226.85000000000002</v>
      </c>
      <c r="U25" s="73"/>
      <c r="V25" s="73"/>
      <c r="W25" s="295"/>
      <c r="X25" s="13" t="str">
        <f>Assumptions!G55</f>
        <v>Ascorbic Acid</v>
      </c>
      <c r="Y25" s="73">
        <f>Assumptions!H55</f>
        <v>1226</v>
      </c>
      <c r="AA25" s="73">
        <f>Assumptions!M55</f>
        <v>0</v>
      </c>
    </row>
    <row r="26" spans="1:37">
      <c r="A26" s="13">
        <f t="shared" si="0"/>
        <v>24</v>
      </c>
      <c r="B26" t="str">
        <f>Assumptions!A36</f>
        <v>Fe2O3 content feed</v>
      </c>
      <c r="C26" s="73">
        <f>Assumptions!B36</f>
        <v>0.19999999999999996</v>
      </c>
      <c r="D26" s="73"/>
      <c r="E26" s="73"/>
      <c r="G26" t="s">
        <v>126</v>
      </c>
      <c r="H26" s="73">
        <f>'CHEPCI &amp; Location factors'!B25</f>
        <v>318.39999999999998</v>
      </c>
      <c r="I26" s="73">
        <f>'CHEPCI &amp; Location factors'!A25</f>
        <v>1986</v>
      </c>
      <c r="J26" s="73"/>
      <c r="K26" s="123"/>
      <c r="L26" s="235" t="str">
        <f>'[1]Felder et al. &amp; NIST'!A11</f>
        <v>NaHCO3 (shomate for Na2CO3)</v>
      </c>
      <c r="M26" s="73">
        <f>'[1]Felder et al. &amp; NIST'!B11</f>
        <v>0</v>
      </c>
      <c r="N26" s="73">
        <f>'[1]Felder et al. &amp; NIST'!C11</f>
        <v>0</v>
      </c>
      <c r="O26" s="73">
        <f>'[1]Felder et al. &amp; NIST'!D11</f>
        <v>0</v>
      </c>
      <c r="P26" s="73">
        <f>'[1]Felder et al. &amp; NIST'!E11</f>
        <v>0</v>
      </c>
      <c r="Q26" s="73">
        <f>'[1]Felder et al. &amp; NIST'!F11</f>
        <v>0</v>
      </c>
      <c r="R26" s="82">
        <f>'[1]Felder et al. &amp; NIST'!J11</f>
        <v>0</v>
      </c>
      <c r="S26" s="73">
        <f>'[1]Felder et al. &amp; NIST'!G11-273.15</f>
        <v>-273.14999999999998</v>
      </c>
      <c r="T26" s="73">
        <f>'[1]Felder et al. &amp; NIST'!H11-273.15</f>
        <v>-273.14999999999998</v>
      </c>
      <c r="U26" s="73"/>
      <c r="V26" s="73"/>
      <c r="W26" s="295"/>
      <c r="X26" s="13">
        <f>Assumptions!G56</f>
        <v>0</v>
      </c>
      <c r="Y26" s="73">
        <f>Assumptions!H56</f>
        <v>0</v>
      </c>
      <c r="AA26" s="73">
        <f>Assumptions!M56</f>
        <v>0</v>
      </c>
    </row>
    <row r="27" spans="1:37">
      <c r="A27" s="13">
        <f t="shared" si="0"/>
        <v>25</v>
      </c>
      <c r="B27" t="str">
        <f>Assumptions!A37</f>
        <v>Efficiency Capture</v>
      </c>
      <c r="C27" s="73">
        <f>Assumptions!B37</f>
        <v>0.9</v>
      </c>
      <c r="D27" s="73"/>
      <c r="E27" s="73"/>
      <c r="G27" t="s">
        <v>126</v>
      </c>
      <c r="H27" s="73">
        <f>'CHEPCI &amp; Location factors'!B26</f>
        <v>323.8</v>
      </c>
      <c r="I27" s="73">
        <f>'CHEPCI &amp; Location factors'!A26</f>
        <v>1987</v>
      </c>
      <c r="J27" s="73"/>
      <c r="K27" s="123"/>
      <c r="L27" s="235" t="str">
        <f>'[1]Felder et al. &amp; NIST'!A12</f>
        <v>NaCl</v>
      </c>
      <c r="M27" s="73">
        <f>'[1]Felder et al. &amp; NIST'!B12</f>
        <v>0</v>
      </c>
      <c r="N27" s="73">
        <f>'[1]Felder et al. &amp; NIST'!C12</f>
        <v>0</v>
      </c>
      <c r="O27" s="73">
        <f>'[1]Felder et al. &amp; NIST'!D12</f>
        <v>0</v>
      </c>
      <c r="P27" s="73">
        <f>'[1]Felder et al. &amp; NIST'!E12</f>
        <v>0</v>
      </c>
      <c r="Q27" s="73">
        <f>'[1]Felder et al. &amp; NIST'!F12</f>
        <v>0</v>
      </c>
      <c r="R27" s="82">
        <f>'[1]Felder et al. &amp; NIST'!J12</f>
        <v>0</v>
      </c>
      <c r="S27" s="73">
        <f>'[1]Felder et al. &amp; NIST'!G12-273.15</f>
        <v>-273.14999999999998</v>
      </c>
      <c r="T27" s="73">
        <f>'[1]Felder et al. &amp; NIST'!H12-273.15</f>
        <v>-273.14999999999998</v>
      </c>
      <c r="U27" s="73"/>
      <c r="V27" s="73"/>
      <c r="W27" s="295"/>
      <c r="X27" s="13">
        <f>Assumptions!G57</f>
        <v>0</v>
      </c>
      <c r="Y27" s="73">
        <f>Assumptions!H57</f>
        <v>0</v>
      </c>
      <c r="AA27" s="73">
        <f>Assumptions!M57</f>
        <v>0</v>
      </c>
    </row>
    <row r="28" spans="1:37">
      <c r="A28" s="13">
        <f t="shared" si="0"/>
        <v>26</v>
      </c>
      <c r="B28" t="str">
        <f>Assumptions!A38</f>
        <v>Standard Temp</v>
      </c>
      <c r="C28" s="73">
        <f>Assumptions!B38</f>
        <v>25</v>
      </c>
      <c r="D28" s="73"/>
      <c r="E28" s="73"/>
      <c r="G28" t="s">
        <v>126</v>
      </c>
      <c r="H28" s="73">
        <f>'CHEPCI &amp; Location factors'!B27</f>
        <v>342.5</v>
      </c>
      <c r="I28" s="73">
        <f>'CHEPCI &amp; Location factors'!A27</f>
        <v>1988</v>
      </c>
      <c r="J28" s="73"/>
      <c r="K28" s="123"/>
      <c r="L28" s="235" t="str">
        <f>'[1]Felder et al. &amp; NIST'!A17</f>
        <v>NH3(g)</v>
      </c>
      <c r="M28" s="73">
        <f>'[1]Felder et al. &amp; NIST'!B17</f>
        <v>0</v>
      </c>
      <c r="N28" s="73">
        <f>'[1]Felder et al. &amp; NIST'!C17</f>
        <v>0</v>
      </c>
      <c r="O28" s="73">
        <f>'[1]Felder et al. &amp; NIST'!D17</f>
        <v>0</v>
      </c>
      <c r="P28" s="73">
        <f>'[1]Felder et al. &amp; NIST'!E17</f>
        <v>0</v>
      </c>
      <c r="Q28" s="73">
        <f>'[1]Felder et al. &amp; NIST'!F17</f>
        <v>0</v>
      </c>
      <c r="R28" s="82">
        <f>'[1]Felder et al. &amp; NIST'!J17</f>
        <v>0</v>
      </c>
      <c r="S28" s="73">
        <f>'[1]Felder et al. &amp; NIST'!G17-273.15</f>
        <v>-273.14999999999998</v>
      </c>
      <c r="T28" s="73">
        <f>'[1]Felder et al. &amp; NIST'!H17-273.15</f>
        <v>-273.14999999999998</v>
      </c>
      <c r="U28" s="73"/>
      <c r="V28" s="73"/>
      <c r="X28" s="297" t="s">
        <v>415</v>
      </c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  <c r="AI28" s="298"/>
      <c r="AJ28" s="299"/>
    </row>
    <row r="29" spans="1:37" ht="29.1" customHeight="1">
      <c r="A29" s="13">
        <f t="shared" si="0"/>
        <v>27</v>
      </c>
      <c r="B29" t="str">
        <f>Assumptions!A39</f>
        <v>Yield reaction (MgO)</v>
      </c>
      <c r="C29" s="73">
        <f>Assumptions!B39</f>
        <v>0.7</v>
      </c>
      <c r="D29" s="73"/>
      <c r="E29" s="73"/>
      <c r="G29" t="s">
        <v>126</v>
      </c>
      <c r="H29" s="73">
        <f>'CHEPCI &amp; Location factors'!B28</f>
        <v>355.4</v>
      </c>
      <c r="I29" s="73">
        <f>'CHEPCI &amp; Location factors'!A28</f>
        <v>1989</v>
      </c>
      <c r="J29" s="73"/>
      <c r="K29" s="123"/>
      <c r="L29" s="235" t="str">
        <f>'[1]Felder et al. &amp; NIST'!A18</f>
        <v>N2(g)</v>
      </c>
      <c r="M29" s="73">
        <f>'[1]Felder et al. &amp; NIST'!B18</f>
        <v>28.986409999999999</v>
      </c>
      <c r="N29" s="73">
        <f>'[1]Felder et al. &amp; NIST'!C18</f>
        <v>1.8539779999999999</v>
      </c>
      <c r="O29" s="73">
        <f>'[1]Felder et al. &amp; NIST'!D18</f>
        <v>-9.6474589999999996</v>
      </c>
      <c r="P29" s="73">
        <f>'[1]Felder et al. &amp; NIST'!E18</f>
        <v>16.635370000000002</v>
      </c>
      <c r="Q29" s="73">
        <f>'[1]Felder et al. &amp; NIST'!F18</f>
        <v>1.17E-4</v>
      </c>
      <c r="R29" s="82">
        <f>'[1]Felder et al. &amp; NIST'!J18</f>
        <v>0</v>
      </c>
      <c r="S29" s="73">
        <f>'[1]Felder et al. &amp; NIST'!G18-273.15</f>
        <v>-173.14999999999998</v>
      </c>
      <c r="T29" s="73">
        <f>'[1]Felder et al. &amp; NIST'!H18-273.15</f>
        <v>226.85000000000002</v>
      </c>
      <c r="U29" s="73"/>
      <c r="V29" s="73"/>
      <c r="W29" s="294" t="s">
        <v>245</v>
      </c>
      <c r="X29" s="44" t="str">
        <f>Assumptions!Q43</f>
        <v>Electricity €/MWh</v>
      </c>
      <c r="Y29" s="113">
        <f>Assumptions!R43</f>
        <v>62</v>
      </c>
    </row>
    <row r="30" spans="1:37" ht="31.5">
      <c r="A30" s="13">
        <f t="shared" si="0"/>
        <v>28</v>
      </c>
      <c r="B30" t="str">
        <f>Assumptions!A40</f>
        <v>Recovery of unreacted (MgO)</v>
      </c>
      <c r="C30" s="73">
        <f>Assumptions!B40</f>
        <v>0.6</v>
      </c>
      <c r="D30" s="73"/>
      <c r="E30" s="73"/>
      <c r="G30" t="s">
        <v>126</v>
      </c>
      <c r="H30" s="73">
        <f>'CHEPCI &amp; Location factors'!B29</f>
        <v>357.6</v>
      </c>
      <c r="I30" s="73">
        <f>'CHEPCI &amp; Location factors'!A29</f>
        <v>1990</v>
      </c>
      <c r="J30" s="73"/>
      <c r="K30" s="123"/>
      <c r="L30" s="235" t="str">
        <f>'[1]Felder et al. &amp; NIST'!A19</f>
        <v>O2(g)</v>
      </c>
      <c r="M30" s="73">
        <f>'[1]Felder et al. &amp; NIST'!B19</f>
        <v>31.322340000000001</v>
      </c>
      <c r="N30" s="73">
        <f>'[1]Felder et al. &amp; NIST'!C19</f>
        <v>-20.235309999999998</v>
      </c>
      <c r="O30" s="73">
        <f>'[1]Felder et al. &amp; NIST'!D19</f>
        <v>57.866439999999997</v>
      </c>
      <c r="P30" s="73">
        <f>'[1]Felder et al. &amp; NIST'!E19</f>
        <v>-36.506239999999998</v>
      </c>
      <c r="Q30" s="73">
        <f>'[1]Felder et al. &amp; NIST'!F19</f>
        <v>-7.3740000000000003E-3</v>
      </c>
      <c r="R30" s="82">
        <f>'[1]Felder et al. &amp; NIST'!J19</f>
        <v>0</v>
      </c>
      <c r="S30" s="73">
        <f>'[1]Felder et al. &amp; NIST'!G19-273.15</f>
        <v>-173.14999999999998</v>
      </c>
      <c r="T30" s="73">
        <f>'[1]Felder et al. &amp; NIST'!H19-273.15</f>
        <v>426.85</v>
      </c>
      <c r="U30" s="73"/>
      <c r="V30" s="73"/>
      <c r="W30" s="294"/>
      <c r="X30" s="44" t="str">
        <f>Assumptions!Q44</f>
        <v>Natural gas [€/MWh]</v>
      </c>
      <c r="Y30" s="113">
        <f>Assumptions!R44</f>
        <v>32</v>
      </c>
    </row>
    <row r="31" spans="1:37" ht="31.5">
      <c r="A31" s="13">
        <f t="shared" si="0"/>
        <v>29</v>
      </c>
      <c r="B31" t="str">
        <f>Assumptions!A41</f>
        <v>Molecular weight MgO</v>
      </c>
      <c r="C31" s="73">
        <f>Assumptions!B41</f>
        <v>40.32</v>
      </c>
      <c r="D31" s="73"/>
      <c r="E31" s="73"/>
      <c r="G31" t="s">
        <v>126</v>
      </c>
      <c r="H31" s="73">
        <f>'CHEPCI &amp; Location factors'!B30</f>
        <v>361.3</v>
      </c>
      <c r="I31" s="73">
        <f>'CHEPCI &amp; Location factors'!A30</f>
        <v>1991</v>
      </c>
      <c r="J31" s="73"/>
      <c r="K31" s="123"/>
      <c r="L31" s="235" t="str">
        <f>'[1]Felder et al. &amp; NIST'!A5</f>
        <v>CO2(g)</v>
      </c>
      <c r="M31" s="73">
        <f>'[1]Felder et al. &amp; NIST'!K5</f>
        <v>44.1</v>
      </c>
      <c r="N31" s="73"/>
      <c r="O31" s="73"/>
      <c r="P31" s="73"/>
      <c r="Q31" s="73"/>
      <c r="R31" s="73"/>
      <c r="S31" s="73"/>
      <c r="T31" s="73"/>
      <c r="U31" s="73"/>
      <c r="V31" s="73"/>
      <c r="W31" s="294"/>
      <c r="X31" s="44" t="str">
        <f>Assumptions!Q45</f>
        <v>cooling water [€/m3]</v>
      </c>
      <c r="Y31" s="113">
        <f>Assumptions!R45</f>
        <v>8.9099999999999999E-2</v>
      </c>
    </row>
    <row r="32" spans="1:37">
      <c r="A32" s="13">
        <f t="shared" si="0"/>
        <v>30</v>
      </c>
      <c r="B32" t="str">
        <f>Assumptions!A42</f>
        <v>Energy recovery from Reaction</v>
      </c>
      <c r="C32" s="73">
        <f>Assumptions!B42</f>
        <v>0.8</v>
      </c>
      <c r="D32" s="73"/>
      <c r="E32" s="73"/>
      <c r="G32" t="s">
        <v>126</v>
      </c>
      <c r="H32" s="73">
        <f>'CHEPCI &amp; Location factors'!B31</f>
        <v>358.2</v>
      </c>
      <c r="I32" s="73">
        <f>'CHEPCI &amp; Location factors'!A31</f>
        <v>1992</v>
      </c>
      <c r="J32" s="73"/>
      <c r="K32" s="123"/>
      <c r="L32" s="235" t="str">
        <f>'[1]Felder et al. &amp; NIST'!A6</f>
        <v>MgO</v>
      </c>
      <c r="M32" s="73">
        <f>'[1]Felder et al. &amp; NIST'!K6</f>
        <v>40.32</v>
      </c>
      <c r="N32" s="73"/>
      <c r="O32" s="73"/>
      <c r="P32" s="73"/>
      <c r="Q32" s="73"/>
      <c r="R32" s="73"/>
      <c r="S32" s="73"/>
      <c r="T32" s="73"/>
      <c r="U32" s="73"/>
      <c r="V32" s="73"/>
      <c r="W32" s="294"/>
      <c r="X32" s="44">
        <f>Assumptions!Q46</f>
        <v>0</v>
      </c>
      <c r="Y32" s="113">
        <f>Assumptions!R46</f>
        <v>0</v>
      </c>
    </row>
    <row r="33" spans="1:28">
      <c r="A33" s="13">
        <f t="shared" si="0"/>
        <v>31</v>
      </c>
      <c r="B33" t="str">
        <f>Assumptions!A43</f>
        <v>Scaling factor Capture plant</v>
      </c>
      <c r="C33" s="73">
        <f>Assumptions!B43</f>
        <v>0.6</v>
      </c>
      <c r="D33" s="73"/>
      <c r="E33" s="73"/>
      <c r="G33" t="s">
        <v>126</v>
      </c>
      <c r="H33" s="73">
        <f>'CHEPCI &amp; Location factors'!B32</f>
        <v>359.2</v>
      </c>
      <c r="I33" s="73">
        <f>'CHEPCI &amp; Location factors'!A32</f>
        <v>1993</v>
      </c>
      <c r="J33" s="73"/>
      <c r="K33" s="123"/>
      <c r="L33" s="235" t="str">
        <f>'[1]Felder et al. &amp; NIST'!A7</f>
        <v>SiO2</v>
      </c>
      <c r="M33" s="73">
        <f>'[1]Felder et al. &amp; NIST'!K7</f>
        <v>60.08</v>
      </c>
      <c r="N33" s="73"/>
      <c r="O33" s="73"/>
      <c r="P33" s="73"/>
      <c r="Q33" s="73"/>
      <c r="R33" s="73"/>
      <c r="S33" s="73"/>
      <c r="T33" s="73"/>
      <c r="U33" s="73"/>
      <c r="V33" s="73"/>
      <c r="W33" s="294"/>
      <c r="X33" s="44">
        <f>Assumptions!Q47</f>
        <v>0</v>
      </c>
      <c r="Y33" s="113">
        <f>Assumptions!R47</f>
        <v>0</v>
      </c>
    </row>
    <row r="34" spans="1:28">
      <c r="A34" s="13">
        <f t="shared" si="0"/>
        <v>32</v>
      </c>
      <c r="B34" s="124" t="str">
        <f>Assumptions!A44</f>
        <v xml:space="preserve">Average cost of Worker </v>
      </c>
      <c r="C34" s="73">
        <f>Assumptions!B44</f>
        <v>25</v>
      </c>
      <c r="D34" s="73"/>
      <c r="E34" s="73"/>
      <c r="G34" t="s">
        <v>126</v>
      </c>
      <c r="H34" s="73">
        <f>'CHEPCI &amp; Location factors'!B33</f>
        <v>368.1</v>
      </c>
      <c r="I34" s="73">
        <f>'CHEPCI &amp; Location factors'!A33</f>
        <v>1994</v>
      </c>
      <c r="J34" s="73"/>
      <c r="K34" s="123"/>
      <c r="L34" s="235" t="str">
        <f>'[1]Felder et al. &amp; NIST'!A8</f>
        <v>Fe2O3</v>
      </c>
      <c r="M34" s="73">
        <f>'[1]Felder et al. &amp; NIST'!K8</f>
        <v>159.68799999999999</v>
      </c>
      <c r="N34" s="73"/>
      <c r="O34" s="73"/>
      <c r="P34" s="73"/>
      <c r="Q34" s="73"/>
      <c r="R34" s="73"/>
      <c r="S34" s="73"/>
      <c r="T34" s="73"/>
      <c r="U34" s="73"/>
      <c r="V34" s="73"/>
      <c r="W34" s="294"/>
      <c r="X34" s="44">
        <f>Assumptions!Q48</f>
        <v>0</v>
      </c>
      <c r="Y34" s="113">
        <f>Assumptions!R48</f>
        <v>0</v>
      </c>
    </row>
    <row r="35" spans="1:28">
      <c r="A35" s="13">
        <f t="shared" si="0"/>
        <v>33</v>
      </c>
      <c r="B35" s="124" t="str">
        <f>Assumptions!A45</f>
        <v>Working hours estimate</v>
      </c>
      <c r="C35" s="73">
        <f>Assumptions!B45</f>
        <v>1</v>
      </c>
      <c r="D35" s="73"/>
      <c r="E35" s="73"/>
      <c r="G35" t="s">
        <v>126</v>
      </c>
      <c r="H35" s="73">
        <f>'CHEPCI &amp; Location factors'!B34</f>
        <v>381.1</v>
      </c>
      <c r="I35" s="73">
        <f>'CHEPCI &amp; Location factors'!A34</f>
        <v>1995</v>
      </c>
      <c r="J35" s="73"/>
      <c r="K35" s="123"/>
      <c r="L35" s="235" t="str">
        <f>'[1]Felder et al. &amp; NIST'!A9</f>
        <v>MgCO3</v>
      </c>
      <c r="M35" s="73">
        <f>'[1]Felder et al. &amp; NIST'!K9</f>
        <v>84.42</v>
      </c>
      <c r="N35" s="73"/>
      <c r="O35" s="73"/>
      <c r="P35" s="73"/>
      <c r="Q35" s="73"/>
      <c r="R35" s="73"/>
      <c r="S35" s="73"/>
      <c r="T35" s="73"/>
      <c r="U35" s="73"/>
      <c r="V35" s="73"/>
      <c r="W35" s="294"/>
      <c r="X35" s="44">
        <f>Assumptions!Q49</f>
        <v>0</v>
      </c>
      <c r="Y35" s="113">
        <f>Assumptions!R49</f>
        <v>0</v>
      </c>
    </row>
    <row r="36" spans="1:28">
      <c r="A36" s="13">
        <f t="shared" si="0"/>
        <v>34</v>
      </c>
      <c r="B36" s="124" t="str">
        <f>Assumptions!A46</f>
        <v>maximum wall thickness reactor</v>
      </c>
      <c r="C36" s="73">
        <f>Assumptions!B46</f>
        <v>0.2</v>
      </c>
      <c r="D36" s="73"/>
      <c r="E36" s="73"/>
      <c r="G36" t="s">
        <v>126</v>
      </c>
      <c r="H36" s="73">
        <f>'CHEPCI &amp; Location factors'!B35</f>
        <v>381.7</v>
      </c>
      <c r="I36" s="73">
        <f>'CHEPCI &amp; Location factors'!A35</f>
        <v>1996</v>
      </c>
      <c r="J36" s="73"/>
      <c r="K36" s="123"/>
      <c r="L36" s="235" t="str">
        <f>'[1]Felder et al. &amp; NIST'!A10</f>
        <v>H2O (l)</v>
      </c>
      <c r="M36" s="73">
        <f>'[1]Felder et al. &amp; NIST'!K10</f>
        <v>18.015999999999998</v>
      </c>
      <c r="N36" s="73"/>
      <c r="O36" s="73"/>
      <c r="P36" s="73"/>
      <c r="Q36" s="73"/>
      <c r="R36" s="73"/>
      <c r="S36" s="73"/>
      <c r="T36" s="73"/>
      <c r="U36" s="73"/>
      <c r="V36" s="73"/>
      <c r="W36" s="294"/>
      <c r="X36" s="44">
        <f>Assumptions!Q50</f>
        <v>0</v>
      </c>
      <c r="Y36" s="113">
        <f>Assumptions!R50</f>
        <v>0</v>
      </c>
    </row>
    <row r="37" spans="1:28">
      <c r="A37" s="13">
        <f t="shared" si="0"/>
        <v>35</v>
      </c>
      <c r="B37" s="134" t="str">
        <f>Assumptions!A47</f>
        <v xml:space="preserve">Recycling Water &amp; Additives </v>
      </c>
      <c r="C37" s="73">
        <f>Assumptions!B47</f>
        <v>0.95</v>
      </c>
      <c r="D37" s="73"/>
      <c r="E37" s="73"/>
      <c r="G37" t="s">
        <v>126</v>
      </c>
      <c r="H37" s="73">
        <f>'CHEPCI &amp; Location factors'!B36</f>
        <v>386.5</v>
      </c>
      <c r="I37" s="73">
        <f>'CHEPCI &amp; Location factors'!A36</f>
        <v>1997</v>
      </c>
      <c r="J37" s="73"/>
      <c r="K37" s="123"/>
      <c r="L37" s="235" t="str">
        <f>'[1]Felder et al. &amp; NIST'!A11</f>
        <v>NaHCO3 (shomate for Na2CO3)</v>
      </c>
      <c r="M37" s="73">
        <f>'[1]Felder et al. &amp; NIST'!K11</f>
        <v>84.007000000000005</v>
      </c>
      <c r="N37" s="73"/>
      <c r="O37" s="73"/>
      <c r="P37" s="73"/>
      <c r="Q37" s="73"/>
      <c r="R37" s="73"/>
      <c r="S37" s="73"/>
      <c r="T37" s="73"/>
      <c r="U37" s="73"/>
      <c r="V37" s="73"/>
      <c r="W37" s="294"/>
      <c r="X37" s="44">
        <f>Assumptions!Q51</f>
        <v>0</v>
      </c>
      <c r="Y37" s="113">
        <f>Assumptions!R51</f>
        <v>0</v>
      </c>
    </row>
    <row r="38" spans="1:28">
      <c r="A38" s="13">
        <f t="shared" si="0"/>
        <v>36</v>
      </c>
      <c r="B38" s="124" t="str">
        <f>Assumptions!A48</f>
        <v>minimal Temp difference for heat exchanger</v>
      </c>
      <c r="C38" s="73">
        <f>Assumptions!B48</f>
        <v>10</v>
      </c>
      <c r="D38" s="73"/>
      <c r="E38" s="73"/>
      <c r="G38" t="s">
        <v>126</v>
      </c>
      <c r="H38" s="73">
        <f>'CHEPCI &amp; Location factors'!B37</f>
        <v>389.5</v>
      </c>
      <c r="I38" s="73">
        <f>'CHEPCI &amp; Location factors'!A37</f>
        <v>1998</v>
      </c>
      <c r="J38" s="73"/>
      <c r="K38" s="123"/>
      <c r="L38" s="235" t="str">
        <f>'[1]Felder et al. &amp; NIST'!A12</f>
        <v>NaCl</v>
      </c>
      <c r="M38" s="73">
        <f>'[1]Felder et al. &amp; NIST'!K12</f>
        <v>58.45</v>
      </c>
      <c r="N38" s="73"/>
      <c r="O38" s="73"/>
      <c r="P38" s="73"/>
      <c r="Q38" s="73"/>
      <c r="R38" s="73"/>
      <c r="S38" s="73"/>
      <c r="T38" s="73"/>
      <c r="U38" s="73"/>
      <c r="V38" s="73"/>
      <c r="X38" s="44">
        <f>Assumptions!Q52</f>
        <v>0</v>
      </c>
      <c r="Y38" s="113">
        <f>Assumptions!R52</f>
        <v>0</v>
      </c>
    </row>
    <row r="39" spans="1:28">
      <c r="A39" s="13">
        <f t="shared" si="0"/>
        <v>37</v>
      </c>
      <c r="B39" s="124" t="str">
        <f>Assumptions!A49</f>
        <v>Number of compression steps</v>
      </c>
      <c r="C39" s="73">
        <f>Assumptions!B49</f>
        <v>4</v>
      </c>
      <c r="D39" s="73"/>
      <c r="E39" s="73"/>
      <c r="G39" t="s">
        <v>126</v>
      </c>
      <c r="H39" s="73">
        <f>'CHEPCI &amp; Location factors'!B38</f>
        <v>390.6</v>
      </c>
      <c r="I39" s="73">
        <f>'CHEPCI &amp; Location factors'!A38</f>
        <v>1999</v>
      </c>
      <c r="J39" s="73"/>
      <c r="K39" s="123"/>
      <c r="L39" s="235" t="str">
        <f>'[1]Felder et al. &amp; NIST'!A13</f>
        <v>Mg2SiO4</v>
      </c>
      <c r="M39" s="73">
        <f>'[1]Felder et al. &amp; NIST'!K13</f>
        <v>140.72</v>
      </c>
      <c r="N39" s="73"/>
      <c r="O39" s="73"/>
      <c r="P39" s="73"/>
      <c r="Q39" s="73"/>
      <c r="R39" s="73"/>
      <c r="S39" s="73"/>
      <c r="T39" s="73"/>
      <c r="U39" s="73"/>
      <c r="V39" s="73"/>
      <c r="X39" s="44">
        <f>Assumptions!Q53</f>
        <v>0</v>
      </c>
      <c r="Y39" s="113">
        <f>Assumptions!R53</f>
        <v>0</v>
      </c>
    </row>
    <row r="40" spans="1:28">
      <c r="A40" s="13">
        <f t="shared" si="0"/>
        <v>38</v>
      </c>
      <c r="B40" s="124" t="str">
        <f>Assumptions!A50</f>
        <v>Heat treatment used?</v>
      </c>
      <c r="C40" s="73">
        <f>Assumptions!B50</f>
        <v>0</v>
      </c>
      <c r="D40" s="73"/>
      <c r="E40" s="73"/>
      <c r="G40" t="s">
        <v>126</v>
      </c>
      <c r="H40" s="73">
        <f>'CHEPCI &amp; Location factors'!B39</f>
        <v>394.1</v>
      </c>
      <c r="I40" s="73">
        <f>'CHEPCI &amp; Location factors'!A39</f>
        <v>2000</v>
      </c>
      <c r="J40" s="73"/>
      <c r="K40" s="123"/>
      <c r="L40" s="235" t="str">
        <f>'[1]Felder et al. &amp; NIST'!A14</f>
        <v>oxalic acid</v>
      </c>
      <c r="M40" s="73">
        <f>'[1]Felder et al. &amp; NIST'!K14</f>
        <v>90.034000000000006</v>
      </c>
      <c r="N40" s="73"/>
      <c r="O40" s="73"/>
      <c r="P40" s="73"/>
      <c r="Q40" s="73"/>
      <c r="R40" s="73"/>
      <c r="S40" s="73"/>
      <c r="T40" s="73"/>
      <c r="U40" s="73"/>
      <c r="V40" s="73"/>
      <c r="X40" s="44">
        <f>Assumptions!Q54</f>
        <v>0</v>
      </c>
      <c r="Y40" s="113">
        <f>Assumptions!R54</f>
        <v>0</v>
      </c>
    </row>
    <row r="41" spans="1:28">
      <c r="A41" s="13">
        <f t="shared" si="0"/>
        <v>39</v>
      </c>
      <c r="B41" s="124" t="str">
        <f>Assumptions!A51</f>
        <v>Yield reaction (CO2)</v>
      </c>
      <c r="C41" s="73">
        <f>Assumptions!B51</f>
        <v>1</v>
      </c>
      <c r="D41" s="73"/>
      <c r="E41" s="73"/>
      <c r="G41" t="s">
        <v>126</v>
      </c>
      <c r="H41" s="73">
        <f>'CHEPCI &amp; Location factors'!B40</f>
        <v>394.3</v>
      </c>
      <c r="I41" s="73">
        <f>'CHEPCI &amp; Location factors'!A40</f>
        <v>2001</v>
      </c>
      <c r="J41" s="73"/>
      <c r="K41" s="123"/>
      <c r="L41" s="235" t="str">
        <f>'[1]Felder et al. &amp; NIST'!A15</f>
        <v xml:space="preserve">acorbic </v>
      </c>
      <c r="M41" s="73">
        <f>'[1]Felder et al. &amp; NIST'!K15</f>
        <v>176.12</v>
      </c>
      <c r="N41" s="73"/>
      <c r="O41" s="73"/>
      <c r="P41" s="73"/>
      <c r="Q41" s="73"/>
      <c r="R41" s="73"/>
      <c r="S41" s="73"/>
      <c r="T41" s="73"/>
      <c r="U41" s="73"/>
      <c r="V41" s="73"/>
      <c r="X41" s="44">
        <f>Assumptions!Q55</f>
        <v>0</v>
      </c>
      <c r="Y41" s="113">
        <f>Assumptions!R55</f>
        <v>0</v>
      </c>
    </row>
    <row r="42" spans="1:28">
      <c r="A42" s="13">
        <f t="shared" si="0"/>
        <v>40</v>
      </c>
      <c r="B42" s="124" t="str">
        <f>Assumptions!A52</f>
        <v>mineral purity</v>
      </c>
      <c r="C42" s="73">
        <f>Assumptions!B52</f>
        <v>0.8</v>
      </c>
      <c r="D42" s="73"/>
      <c r="E42" s="73"/>
      <c r="G42" t="s">
        <v>126</v>
      </c>
      <c r="H42" s="73">
        <f>'CHEPCI &amp; Location factors'!B41</f>
        <v>395.6</v>
      </c>
      <c r="I42" s="73">
        <f>'CHEPCI &amp; Location factors'!A41</f>
        <v>2002</v>
      </c>
      <c r="J42" s="73"/>
      <c r="K42" s="123"/>
      <c r="L42" s="235" t="str">
        <f>'[1]Felder et al. &amp; NIST'!A16</f>
        <v>MEA (l)</v>
      </c>
      <c r="M42" s="73">
        <f>'[1]Felder et al. &amp; NIST'!K16</f>
        <v>61.08</v>
      </c>
      <c r="N42" s="73"/>
      <c r="O42" s="73"/>
      <c r="P42" s="73"/>
      <c r="Q42" s="73"/>
      <c r="R42" s="73"/>
      <c r="S42" s="73"/>
      <c r="T42" s="73"/>
      <c r="U42" s="73"/>
      <c r="V42" s="73"/>
      <c r="X42" s="44">
        <f>Assumptions!Q56</f>
        <v>0</v>
      </c>
      <c r="Y42" s="113">
        <f>Assumptions!R56</f>
        <v>0</v>
      </c>
    </row>
    <row r="43" spans="1:28">
      <c r="A43" s="13">
        <f t="shared" si="0"/>
        <v>41</v>
      </c>
      <c r="B43" s="124" t="str">
        <f>Assumptions!A53</f>
        <v>efficiency pump</v>
      </c>
      <c r="C43" s="73">
        <f>Assumptions!B53</f>
        <v>0.85</v>
      </c>
      <c r="D43" s="73"/>
      <c r="E43" s="73"/>
      <c r="G43" t="s">
        <v>126</v>
      </c>
      <c r="H43" s="73">
        <f>'CHEPCI &amp; Location factors'!B42</f>
        <v>401.7</v>
      </c>
      <c r="I43" s="73">
        <f>'CHEPCI &amp; Location factors'!A42</f>
        <v>2003</v>
      </c>
      <c r="J43" s="73"/>
      <c r="K43" s="123"/>
      <c r="L43" s="235" t="str">
        <f>'[1]Felder et al. &amp; NIST'!A35</f>
        <v>Co2</v>
      </c>
      <c r="M43" s="73">
        <f>'[1]Felder et al. &amp; NIST'!B35</f>
        <v>304.18</v>
      </c>
      <c r="N43" s="73">
        <f>'[1]Felder et al. &amp; NIST'!C35</f>
        <v>73.8</v>
      </c>
      <c r="O43" s="73">
        <f>'[1]Felder et al. &amp; NIST'!D35</f>
        <v>0.22500000000000001</v>
      </c>
      <c r="P43" s="73">
        <f>'[1]Felder et al. &amp; NIST'!E35</f>
        <v>1.28</v>
      </c>
      <c r="Q43" s="73"/>
      <c r="R43" s="73"/>
      <c r="S43" s="73"/>
      <c r="T43" s="73"/>
      <c r="U43" s="73"/>
      <c r="V43" s="73"/>
      <c r="W43" s="294" t="s">
        <v>470</v>
      </c>
      <c r="X43" s="13" t="str">
        <f>Assumptions!G24</f>
        <v>Stoichiometric coefficient</v>
      </c>
      <c r="Y43" s="73">
        <f>Assumptions!H24</f>
        <v>1</v>
      </c>
      <c r="Z43" s="73">
        <f>Assumptions!I24</f>
        <v>2</v>
      </c>
      <c r="AA43" s="73">
        <f>Assumptions!J24</f>
        <v>2</v>
      </c>
      <c r="AB43" s="73">
        <f>Assumptions!K24</f>
        <v>1</v>
      </c>
    </row>
    <row r="44" spans="1:28">
      <c r="A44" s="13">
        <f t="shared" si="0"/>
        <v>42</v>
      </c>
      <c r="B44" s="124" t="str">
        <f>Assumptions!A54</f>
        <v>hydraulic head for pumping</v>
      </c>
      <c r="C44" s="73">
        <f>Assumptions!B54</f>
        <v>10</v>
      </c>
      <c r="D44" s="73"/>
      <c r="E44" s="73"/>
      <c r="G44" t="s">
        <v>126</v>
      </c>
      <c r="H44" s="73">
        <f>'CHEPCI &amp; Location factors'!B43</f>
        <v>444.2</v>
      </c>
      <c r="I44" s="73">
        <f>'CHEPCI &amp; Location factors'!A43</f>
        <v>2004</v>
      </c>
      <c r="J44" s="73"/>
      <c r="K44" s="123"/>
      <c r="L44" s="235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294"/>
      <c r="X44" s="145"/>
      <c r="Y44" s="145"/>
      <c r="Z44" s="145"/>
      <c r="AA44" s="145"/>
      <c r="AB44" s="145"/>
    </row>
    <row r="45" spans="1:28">
      <c r="A45" s="13">
        <f t="shared" si="0"/>
        <v>43</v>
      </c>
      <c r="B45" s="124" t="str">
        <f>Assumptions!A55</f>
        <v>force of gravity (Berlin)</v>
      </c>
      <c r="C45" s="73">
        <f>Assumptions!B55</f>
        <v>9.8127770000000005</v>
      </c>
      <c r="D45" s="73"/>
      <c r="E45" s="73"/>
      <c r="G45" t="s">
        <v>126</v>
      </c>
      <c r="H45" s="73">
        <f>'CHEPCI &amp; Location factors'!B44</f>
        <v>468.2</v>
      </c>
      <c r="I45" s="73">
        <f>'CHEPCI &amp; Location factors'!A44</f>
        <v>2005</v>
      </c>
      <c r="J45" s="73"/>
      <c r="K45" s="123"/>
      <c r="L45" s="235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294"/>
    </row>
    <row r="46" spans="1:28">
      <c r="A46" s="13">
        <f t="shared" si="0"/>
        <v>44</v>
      </c>
      <c r="B46" s="124" t="str">
        <f>Assumptions!A56</f>
        <v>Reaction enthalpy</v>
      </c>
      <c r="C46" s="73">
        <f>Assumptions!B56</f>
        <v>95</v>
      </c>
      <c r="D46" s="73"/>
      <c r="E46" s="73"/>
      <c r="G46" t="s">
        <v>126</v>
      </c>
      <c r="H46" s="73">
        <f>'CHEPCI &amp; Location factors'!B45</f>
        <v>499.6</v>
      </c>
      <c r="I46" s="73">
        <f>'CHEPCI &amp; Location factors'!A45</f>
        <v>2006</v>
      </c>
      <c r="J46" s="73"/>
      <c r="K46" s="123"/>
      <c r="L46" s="235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294"/>
    </row>
    <row r="47" spans="1:28">
      <c r="A47" s="13">
        <f t="shared" si="0"/>
        <v>45</v>
      </c>
      <c r="B47" s="124" t="str">
        <f>Assumptions!A57</f>
        <v>Transport Truck</v>
      </c>
      <c r="C47" s="73">
        <f>Assumptions!B57</f>
        <v>0.04</v>
      </c>
      <c r="D47" s="73"/>
      <c r="E47" s="73"/>
      <c r="G47" t="s">
        <v>126</v>
      </c>
      <c r="H47" s="73">
        <f>'CHEPCI &amp; Location factors'!B46</f>
        <v>525.4</v>
      </c>
      <c r="I47" s="73">
        <f>'CHEPCI &amp; Location factors'!A46</f>
        <v>2007</v>
      </c>
      <c r="J47" s="73"/>
      <c r="K47" s="123"/>
      <c r="L47" s="235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294"/>
    </row>
    <row r="48" spans="1:28">
      <c r="A48" s="13">
        <f t="shared" si="0"/>
        <v>46</v>
      </c>
      <c r="B48" s="174" t="str">
        <f>Assumptions!A58</f>
        <v>Transport Train</v>
      </c>
      <c r="C48" s="73">
        <f>Assumptions!B58</f>
        <v>3.2000000000000001E-2</v>
      </c>
      <c r="D48" s="73"/>
      <c r="E48" s="73"/>
      <c r="G48" t="s">
        <v>126</v>
      </c>
      <c r="H48" s="73">
        <f>'CHEPCI &amp; Location factors'!B47</f>
        <v>575.4</v>
      </c>
      <c r="I48" s="73">
        <f>'CHEPCI &amp; Location factors'!A47</f>
        <v>2008</v>
      </c>
      <c r="J48" s="73"/>
      <c r="K48" s="123"/>
      <c r="L48" s="235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294"/>
    </row>
    <row r="49" spans="1:23">
      <c r="A49" s="13">
        <f t="shared" si="0"/>
        <v>47</v>
      </c>
      <c r="B49" s="174" t="str">
        <f>Assumptions!A59</f>
        <v>Transport Ship</v>
      </c>
      <c r="C49" s="73">
        <f>Assumptions!B59</f>
        <v>3.2000000000000002E-3</v>
      </c>
      <c r="D49" s="73"/>
      <c r="E49" s="73"/>
      <c r="G49" t="s">
        <v>126</v>
      </c>
      <c r="H49" s="73">
        <f>'CHEPCI &amp; Location factors'!B48</f>
        <v>521.9</v>
      </c>
      <c r="I49" s="73">
        <f>'CHEPCI &amp; Location factors'!A48</f>
        <v>2009</v>
      </c>
      <c r="J49" s="73"/>
      <c r="K49" s="123"/>
      <c r="L49" s="235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294"/>
    </row>
    <row r="50" spans="1:23">
      <c r="A50" s="13">
        <f t="shared" si="0"/>
        <v>48</v>
      </c>
      <c r="B50" s="174" t="str">
        <f>Assumptions!A60</f>
        <v>Distance Mineral</v>
      </c>
      <c r="C50" s="73">
        <f>Assumptions!B60</f>
        <v>1200</v>
      </c>
      <c r="D50" s="73"/>
      <c r="E50" s="73"/>
      <c r="G50" t="s">
        <v>126</v>
      </c>
      <c r="H50" s="73">
        <f>'CHEPCI &amp; Location factors'!B49</f>
        <v>550.79999999999995</v>
      </c>
      <c r="I50" s="73">
        <f>'CHEPCI &amp; Location factors'!A49</f>
        <v>2010</v>
      </c>
      <c r="J50" s="73"/>
      <c r="K50" s="123"/>
      <c r="L50" s="235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294"/>
    </row>
    <row r="51" spans="1:23">
      <c r="A51" s="13">
        <f t="shared" si="0"/>
        <v>49</v>
      </c>
      <c r="B51" s="212" t="str">
        <f>Assumptions!A61</f>
        <v>Cement replacement produced</v>
      </c>
      <c r="C51" s="73">
        <f>Assumptions!B61</f>
        <v>372000</v>
      </c>
      <c r="D51" s="73"/>
      <c r="E51" s="73"/>
      <c r="G51" t="s">
        <v>126</v>
      </c>
      <c r="H51" s="73">
        <f>'CHEPCI &amp; Location factors'!B50</f>
        <v>585.70000000000005</v>
      </c>
      <c r="I51" s="73">
        <f>'CHEPCI &amp; Location factors'!A50</f>
        <v>2011</v>
      </c>
      <c r="J51" s="73"/>
      <c r="K51" s="123"/>
      <c r="L51" s="235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294"/>
    </row>
    <row r="52" spans="1:23">
      <c r="A52" s="13">
        <f t="shared" si="0"/>
        <v>50</v>
      </c>
      <c r="B52" s="212" t="str">
        <f>Assumptions!A62</f>
        <v>construction time</v>
      </c>
      <c r="C52" s="73">
        <f>Assumptions!B62</f>
        <v>1</v>
      </c>
      <c r="D52" s="73"/>
      <c r="E52" s="73"/>
      <c r="G52" t="s">
        <v>126</v>
      </c>
      <c r="H52" s="73">
        <f>'CHEPCI &amp; Location factors'!B51</f>
        <v>584.6</v>
      </c>
      <c r="I52" s="73">
        <f>'CHEPCI &amp; Location factors'!A51</f>
        <v>2012</v>
      </c>
      <c r="J52" s="73"/>
      <c r="K52" s="123"/>
      <c r="L52" s="83" t="str">
        <f>'[1]Input Hesam'!C1</f>
        <v>Function from Hesam (Aspen simulation)</v>
      </c>
      <c r="M52" s="73">
        <f>'[1]Input Hesam'!E24</f>
        <v>17.507000000000001</v>
      </c>
      <c r="N52" s="73">
        <f>'[1]Input Hesam'!F24</f>
        <v>12.875999999999999</v>
      </c>
      <c r="O52" s="73"/>
      <c r="P52" s="73"/>
      <c r="Q52" s="73"/>
      <c r="R52" s="73"/>
      <c r="S52" s="73"/>
      <c r="T52" s="73"/>
      <c r="U52" s="73"/>
      <c r="V52" s="73"/>
    </row>
    <row r="53" spans="1:23">
      <c r="A53" s="13">
        <f t="shared" si="0"/>
        <v>51</v>
      </c>
      <c r="B53" s="212" t="str">
        <f>Assumptions!A63</f>
        <v>learning rate</v>
      </c>
      <c r="C53" s="73">
        <f>Assumptions!B63</f>
        <v>0.1055</v>
      </c>
      <c r="D53" s="73"/>
      <c r="E53" s="73"/>
      <c r="G53" t="s">
        <v>126</v>
      </c>
      <c r="H53" s="73">
        <f>'CHEPCI &amp; Location factors'!B52</f>
        <v>576.1</v>
      </c>
      <c r="I53" s="73">
        <f>'CHEPCI &amp; Location factors'!A52</f>
        <v>2013</v>
      </c>
      <c r="J53" s="73"/>
      <c r="K53" s="123"/>
      <c r="L53" s="8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295" t="s">
        <v>505</v>
      </c>
    </row>
    <row r="54" spans="1:23">
      <c r="A54" s="13">
        <f t="shared" si="0"/>
        <v>52</v>
      </c>
      <c r="B54" s="212" t="str">
        <f>Assumptions!A64</f>
        <v>Number of plants to NOAK</v>
      </c>
      <c r="C54" s="73">
        <f>Assumptions!B64</f>
        <v>20</v>
      </c>
      <c r="D54" s="73"/>
      <c r="E54" s="73"/>
      <c r="G54" t="s">
        <v>126</v>
      </c>
      <c r="H54" s="73">
        <f>'CHEPCI &amp; Location factors'!B53</f>
        <v>576.1</v>
      </c>
      <c r="I54" s="73">
        <f>'CHEPCI &amp; Location factors'!A53</f>
        <v>2014</v>
      </c>
      <c r="J54" s="73"/>
      <c r="K54" s="123"/>
      <c r="L54" s="235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295"/>
    </row>
    <row r="55" spans="1:23">
      <c r="A55" s="13">
        <f t="shared" si="0"/>
        <v>53</v>
      </c>
      <c r="B55" s="212" t="str">
        <f>Assumptions!A65</f>
        <v>classification efficiency</v>
      </c>
      <c r="C55" s="73">
        <f>Assumptions!B65</f>
        <v>0.8</v>
      </c>
      <c r="D55" s="73"/>
      <c r="E55" s="73"/>
      <c r="G55" t="s">
        <v>126</v>
      </c>
      <c r="H55" s="73">
        <f>'CHEPCI &amp; Location factors'!B54</f>
        <v>556.79999999999995</v>
      </c>
      <c r="I55" s="73">
        <f>'CHEPCI &amp; Location factors'!A54</f>
        <v>2015</v>
      </c>
      <c r="J55" s="73"/>
      <c r="K55" s="123"/>
      <c r="L55" s="235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295"/>
    </row>
    <row r="56" spans="1:23">
      <c r="A56" s="13">
        <f t="shared" si="0"/>
        <v>54</v>
      </c>
      <c r="B56" s="212">
        <f>Assumptions!A66</f>
        <v>0</v>
      </c>
      <c r="C56" s="73">
        <f>Assumptions!B66</f>
        <v>0</v>
      </c>
      <c r="D56" s="73"/>
      <c r="E56" s="73"/>
      <c r="G56" t="s">
        <v>126</v>
      </c>
      <c r="H56" s="73">
        <f>'CHEPCI &amp; Location factors'!B55</f>
        <v>541.70000000000005</v>
      </c>
      <c r="I56" s="73">
        <f>'CHEPCI &amp; Location factors'!A55</f>
        <v>2016</v>
      </c>
      <c r="J56" s="73"/>
      <c r="K56" s="123"/>
      <c r="L56" s="235"/>
      <c r="M56" s="73"/>
      <c r="N56" s="73"/>
      <c r="O56" s="73"/>
      <c r="P56" s="73"/>
      <c r="Q56" s="73"/>
      <c r="R56" s="73"/>
      <c r="S56" s="73"/>
      <c r="T56" s="73"/>
      <c r="U56" s="73"/>
      <c r="V56" s="73"/>
    </row>
    <row r="57" spans="1:23">
      <c r="A57" s="13">
        <f t="shared" si="0"/>
        <v>55</v>
      </c>
      <c r="B57" s="212">
        <f>Assumptions!A67</f>
        <v>0</v>
      </c>
      <c r="C57" s="73">
        <f>Assumptions!B67</f>
        <v>0</v>
      </c>
      <c r="D57" s="73"/>
      <c r="E57" s="73"/>
      <c r="G57" t="s">
        <v>126</v>
      </c>
      <c r="H57" s="73">
        <f>'CHEPCI &amp; Location factors'!B56</f>
        <v>567.5</v>
      </c>
      <c r="I57" s="73">
        <f>'CHEPCI &amp; Location factors'!A56</f>
        <v>2017</v>
      </c>
      <c r="J57" s="73"/>
      <c r="K57" s="123"/>
      <c r="L57" s="235" t="s">
        <v>558</v>
      </c>
      <c r="M57" s="82">
        <f>'[1]VDI-Wärmeatlas'!B19</f>
        <v>3.9999999999999998E-11</v>
      </c>
      <c r="N57" s="82">
        <f>'[1]VDI-Wärmeatlas'!C19</f>
        <v>-4.9999999999999998E-8</v>
      </c>
      <c r="O57" s="82">
        <f>'[1]VDI-Wärmeatlas'!D19</f>
        <v>2.0000000000000002E-5</v>
      </c>
      <c r="P57" s="82">
        <f>'[1]VDI-Wärmeatlas'!E19</f>
        <v>-5.4999999999999997E-3</v>
      </c>
      <c r="Q57" s="82">
        <f>'[1]VDI-Wärmeatlas'!F19</f>
        <v>0.70620000000000005</v>
      </c>
      <c r="R57" s="82">
        <f>'[1]VDI-Wärmeatlas'!G19</f>
        <v>-48.792000000000002</v>
      </c>
      <c r="S57" s="82">
        <f>'[1]VDI-Wärmeatlas'!H19</f>
        <v>1763.8</v>
      </c>
      <c r="T57" s="82"/>
      <c r="U57" s="73"/>
      <c r="V57" s="73"/>
    </row>
    <row r="58" spans="1:23">
      <c r="A58" s="13">
        <f t="shared" si="0"/>
        <v>56</v>
      </c>
      <c r="B58" s="177" t="str">
        <f>Assumptions!A68</f>
        <v>price cement</v>
      </c>
      <c r="C58" s="73">
        <f>Assumptions!B68</f>
        <v>102</v>
      </c>
      <c r="D58" s="73"/>
      <c r="E58" s="73"/>
      <c r="G58" t="s">
        <v>126</v>
      </c>
      <c r="H58" s="73">
        <f>'CHEPCI &amp; Location factors'!B57</f>
        <v>0</v>
      </c>
      <c r="I58" s="73">
        <f>'CHEPCI &amp; Location factors'!A57</f>
        <v>2018</v>
      </c>
      <c r="J58" s="73"/>
      <c r="K58" s="123"/>
      <c r="L58" s="235"/>
      <c r="M58" s="73"/>
      <c r="N58" s="73"/>
      <c r="O58" s="73"/>
      <c r="P58" s="73"/>
      <c r="Q58" s="73"/>
      <c r="R58" s="73"/>
      <c r="S58" s="73"/>
      <c r="T58" s="73"/>
      <c r="U58" s="73"/>
      <c r="V58" s="73"/>
    </row>
    <row r="59" spans="1:23">
      <c r="A59" s="13">
        <f t="shared" si="0"/>
        <v>57</v>
      </c>
      <c r="B59" s="177" t="str">
        <f>Assumptions!A69</f>
        <v>price ETS</v>
      </c>
      <c r="C59" s="73">
        <f>Assumptions!B69</f>
        <v>32</v>
      </c>
      <c r="D59" s="73"/>
      <c r="E59" s="73"/>
      <c r="G59" t="s">
        <v>127</v>
      </c>
      <c r="H59" s="73">
        <f>'CHEPCI &amp; Location factors'!C60</f>
        <v>1.0165283458115075</v>
      </c>
      <c r="I59" s="73"/>
      <c r="J59" s="73">
        <f>'CHEPCI &amp; Location factors'!E60</f>
        <v>1</v>
      </c>
      <c r="K59" s="123"/>
      <c r="L59" s="235"/>
      <c r="M59" s="73"/>
      <c r="N59" s="73"/>
      <c r="O59" s="73"/>
      <c r="P59" s="73"/>
      <c r="Q59" s="73"/>
      <c r="R59" s="73"/>
      <c r="S59" s="73"/>
      <c r="T59" s="73"/>
      <c r="U59" s="73"/>
      <c r="V59" s="73"/>
    </row>
    <row r="60" spans="1:23">
      <c r="A60" s="13">
        <f t="shared" si="0"/>
        <v>58</v>
      </c>
      <c r="B60" s="177" t="str">
        <f>Assumptions!A70</f>
        <v>Emission reduction per tonne CO2 utilized</v>
      </c>
      <c r="C60" s="73">
        <f>Assumptions!B70</f>
        <v>1.5</v>
      </c>
      <c r="D60" s="73"/>
      <c r="E60" s="73"/>
      <c r="G60" t="s">
        <v>127</v>
      </c>
      <c r="H60" s="73">
        <f>'CHEPCI &amp; Location factors'!C61</f>
        <v>1.1261539517323564</v>
      </c>
      <c r="I60" s="73"/>
      <c r="J60" s="73">
        <f>'CHEPCI &amp; Location factors'!E61</f>
        <v>2</v>
      </c>
      <c r="K60" s="123"/>
      <c r="L60" s="235"/>
      <c r="M60" s="73"/>
      <c r="N60" s="73"/>
      <c r="O60" s="73"/>
      <c r="P60" s="73"/>
      <c r="Q60" s="73"/>
      <c r="R60" s="73"/>
      <c r="S60" s="73"/>
      <c r="T60" s="73"/>
      <c r="U60" s="73"/>
      <c r="V60" s="73"/>
    </row>
    <row r="61" spans="1:23">
      <c r="A61" s="13">
        <f t="shared" si="0"/>
        <v>59</v>
      </c>
      <c r="B61" s="177" t="s">
        <v>617</v>
      </c>
      <c r="C61" s="73">
        <f>Assumptions!B71</f>
        <v>0.08</v>
      </c>
      <c r="D61" s="73"/>
      <c r="E61" s="73"/>
      <c r="G61" t="s">
        <v>127</v>
      </c>
      <c r="H61" s="73">
        <f>'CHEPCI &amp; Location factors'!C62</f>
        <v>1.1062220233831115</v>
      </c>
      <c r="I61" s="73"/>
      <c r="J61" s="73">
        <f>'CHEPCI &amp; Location factors'!E62</f>
        <v>3</v>
      </c>
      <c r="K61" s="123"/>
      <c r="L61" s="235"/>
      <c r="M61" s="73"/>
      <c r="N61" s="73"/>
      <c r="O61" s="73"/>
      <c r="P61" s="73"/>
      <c r="Q61" s="73"/>
      <c r="R61" s="73"/>
      <c r="S61" s="73"/>
      <c r="T61" s="73"/>
      <c r="U61" s="73"/>
      <c r="V61" s="73"/>
    </row>
    <row r="62" spans="1:23">
      <c r="A62" s="13">
        <f t="shared" si="0"/>
        <v>60</v>
      </c>
      <c r="B62" s="177" t="str">
        <f>Assumptions!A72</f>
        <v>blending ratio cement with inert</v>
      </c>
      <c r="C62" s="73">
        <f>Assumptions!B72</f>
        <v>0.12</v>
      </c>
      <c r="D62" s="73"/>
      <c r="E62" s="73"/>
      <c r="G62" t="s">
        <v>127</v>
      </c>
      <c r="H62" s="73">
        <f>'CHEPCI &amp; Location factors'!C63</f>
        <v>1.136119915906979</v>
      </c>
      <c r="I62" s="73"/>
      <c r="J62" s="73">
        <f>'CHEPCI &amp; Location factors'!E63</f>
        <v>4</v>
      </c>
      <c r="K62" s="123"/>
      <c r="L62" s="235"/>
      <c r="M62" s="73"/>
      <c r="N62" s="73"/>
      <c r="O62" s="73"/>
      <c r="P62" s="73"/>
      <c r="Q62" s="73"/>
      <c r="R62" s="73"/>
      <c r="S62" s="73"/>
      <c r="T62" s="73"/>
      <c r="U62" s="73"/>
      <c r="V62" s="73"/>
    </row>
    <row r="63" spans="1:23">
      <c r="A63" s="13">
        <f t="shared" si="0"/>
        <v>61</v>
      </c>
      <c r="B63" s="177" t="str">
        <f>Assumptions!A73</f>
        <v>distance Truck to storage</v>
      </c>
      <c r="C63" s="73">
        <f>Assumptions!B73</f>
        <v>10</v>
      </c>
      <c r="D63" s="73"/>
      <c r="E63" s="73"/>
      <c r="G63" t="s">
        <v>127</v>
      </c>
      <c r="H63" s="73">
        <f>'CHEPCI &amp; Location factors'!C64</f>
        <v>1.1859497367800922</v>
      </c>
      <c r="I63" s="73"/>
      <c r="J63" s="73">
        <f>'CHEPCI &amp; Location factors'!E64</f>
        <v>5</v>
      </c>
      <c r="K63" s="123"/>
      <c r="L63" s="235"/>
      <c r="M63" s="73"/>
      <c r="N63" s="73"/>
      <c r="O63" s="73"/>
      <c r="P63" s="73"/>
      <c r="Q63" s="73"/>
      <c r="R63" s="73"/>
      <c r="S63" s="73"/>
      <c r="T63" s="73"/>
      <c r="U63" s="73"/>
      <c r="V63" s="73"/>
    </row>
    <row r="64" spans="1:23">
      <c r="A64" s="13">
        <f t="shared" si="0"/>
        <v>62</v>
      </c>
      <c r="B64" s="197" t="str">
        <f>Assumptions!A74</f>
        <v>Heat transfer coefficient</v>
      </c>
      <c r="C64" s="73">
        <f>Assumptions!B74</f>
        <v>455</v>
      </c>
      <c r="D64" s="73"/>
      <c r="E64" s="73"/>
      <c r="G64" t="s">
        <v>127</v>
      </c>
      <c r="H64" s="73">
        <f>'CHEPCI &amp; Location factors'!C65</f>
        <v>1.5247925187172615</v>
      </c>
      <c r="I64" s="73"/>
      <c r="J64" s="73">
        <f>'CHEPCI &amp; Location factors'!E65</f>
        <v>6</v>
      </c>
      <c r="K64" s="123"/>
      <c r="L64" s="235"/>
      <c r="M64" s="73"/>
      <c r="N64" s="73"/>
      <c r="O64" s="73"/>
      <c r="P64" s="73"/>
      <c r="Q64" s="73"/>
      <c r="R64" s="73"/>
      <c r="S64" s="73"/>
      <c r="T64" s="73"/>
      <c r="U64" s="73"/>
      <c r="V64" s="73"/>
    </row>
    <row r="65" spans="1:22">
      <c r="A65" s="13">
        <f t="shared" si="0"/>
        <v>63</v>
      </c>
      <c r="B65" s="197" t="str">
        <f>Assumptions!A75</f>
        <v>RPM Dewater Centrifuge</v>
      </c>
      <c r="C65" s="73">
        <f>Assumptions!B75</f>
        <v>3000</v>
      </c>
      <c r="D65" s="73"/>
      <c r="E65" s="73"/>
      <c r="G65" t="s">
        <v>127</v>
      </c>
      <c r="H65" s="73">
        <f>'CHEPCI &amp; Location factors'!C66</f>
        <v>1.0165283458115075</v>
      </c>
      <c r="I65" s="73"/>
      <c r="J65" s="73">
        <f>'CHEPCI &amp; Location factors'!E66</f>
        <v>7</v>
      </c>
      <c r="K65" s="123"/>
      <c r="L65" s="235"/>
      <c r="M65" s="73"/>
      <c r="N65" s="73"/>
      <c r="O65" s="73"/>
      <c r="P65" s="73"/>
      <c r="Q65" s="73"/>
      <c r="R65" s="73"/>
      <c r="S65" s="73"/>
      <c r="T65" s="73"/>
      <c r="U65" s="73"/>
      <c r="V65" s="73"/>
    </row>
    <row r="66" spans="1:22">
      <c r="A66" s="13">
        <f t="shared" si="0"/>
        <v>64</v>
      </c>
      <c r="B66" s="197" t="str">
        <f>Assumptions!A76</f>
        <v>Wall thickness centrifuge</v>
      </c>
      <c r="C66" s="73">
        <f>Assumptions!B76</f>
        <v>0.02</v>
      </c>
      <c r="D66" s="73"/>
      <c r="E66" s="73"/>
      <c r="G66" t="s">
        <v>127</v>
      </c>
      <c r="H66" s="73">
        <f>'CHEPCI &amp; Location factors'!C67</f>
        <v>1.0663581666846209</v>
      </c>
      <c r="I66" s="73"/>
      <c r="J66" s="73">
        <f>'CHEPCI &amp; Location factors'!E67</f>
        <v>8</v>
      </c>
      <c r="K66" s="123"/>
      <c r="L66" s="235"/>
      <c r="M66" s="73"/>
      <c r="N66" s="73"/>
      <c r="O66" s="73"/>
      <c r="P66" s="73"/>
      <c r="Q66" s="73"/>
      <c r="R66" s="73"/>
      <c r="S66" s="73"/>
      <c r="T66" s="73"/>
      <c r="U66" s="73"/>
      <c r="V66" s="73"/>
    </row>
    <row r="67" spans="1:22">
      <c r="A67" s="13">
        <f t="shared" si="0"/>
        <v>65</v>
      </c>
      <c r="B67" s="197" t="str">
        <f>Assumptions!A77</f>
        <v xml:space="preserve">Pressure drop cyclone </v>
      </c>
      <c r="C67" s="73">
        <f>Assumptions!B77</f>
        <v>0.2</v>
      </c>
      <c r="D67" s="73"/>
      <c r="E67" s="73"/>
      <c r="G67" t="s">
        <v>127</v>
      </c>
      <c r="H67" s="73">
        <f>'CHEPCI &amp; Location factors'!C68</f>
        <v>1.1161879875577341</v>
      </c>
      <c r="I67" s="73"/>
      <c r="J67" s="73">
        <f>'CHEPCI &amp; Location factors'!E68</f>
        <v>9</v>
      </c>
      <c r="K67" s="123"/>
      <c r="L67" s="235"/>
      <c r="M67" s="73"/>
      <c r="N67" s="73"/>
      <c r="O67" s="73"/>
      <c r="P67" s="73"/>
      <c r="Q67" s="73"/>
      <c r="R67" s="73"/>
      <c r="S67" s="73"/>
      <c r="T67" s="73"/>
      <c r="U67" s="73"/>
      <c r="V67" s="73"/>
    </row>
    <row r="68" spans="1:22">
      <c r="A68" s="13">
        <f t="shared" si="0"/>
        <v>66</v>
      </c>
      <c r="B68" s="197" t="str">
        <f>Assumptions!A78</f>
        <v>Heat capacity oil light Oil (average 15-150°C)</v>
      </c>
      <c r="C68" s="73">
        <f>Assumptions!B78</f>
        <v>2.0499999999999998</v>
      </c>
      <c r="D68" s="73"/>
      <c r="E68" s="73"/>
      <c r="G68" t="s">
        <v>127</v>
      </c>
      <c r="H68" s="73">
        <f>'CHEPCI &amp; Location factors'!C69</f>
        <v>0.60792381465197998</v>
      </c>
      <c r="I68" s="73"/>
      <c r="J68" s="73">
        <f>'CHEPCI &amp; Location factors'!E69</f>
        <v>10</v>
      </c>
      <c r="K68" s="123"/>
      <c r="L68" s="235"/>
      <c r="M68" s="73"/>
      <c r="N68" s="73"/>
      <c r="O68" s="73"/>
      <c r="P68" s="73"/>
      <c r="Q68" s="73"/>
      <c r="R68" s="73"/>
      <c r="S68" s="73"/>
      <c r="T68" s="73"/>
      <c r="U68" s="73"/>
      <c r="V68" s="73"/>
    </row>
    <row r="69" spans="1:22">
      <c r="A69" s="13">
        <f t="shared" ref="A69:A132" si="1">A68+1</f>
        <v>67</v>
      </c>
      <c r="B69" s="197" t="str">
        <f>Assumptions!A79</f>
        <v>Temparature MEA capture stripper</v>
      </c>
      <c r="C69" s="73">
        <f>Assumptions!B79</f>
        <v>80</v>
      </c>
      <c r="D69" s="73"/>
      <c r="E69" s="73"/>
      <c r="G69" t="s">
        <v>127</v>
      </c>
      <c r="H69" s="73">
        <f>'CHEPCI &amp; Location factors'!C70</f>
        <v>1.2557114860024507</v>
      </c>
      <c r="I69" s="73"/>
      <c r="J69" s="73">
        <f>'CHEPCI &amp; Location factors'!E70</f>
        <v>11</v>
      </c>
      <c r="K69" s="123"/>
      <c r="L69" s="235"/>
      <c r="M69" s="73"/>
      <c r="N69" s="73"/>
      <c r="O69" s="73"/>
      <c r="P69" s="73"/>
      <c r="Q69" s="73"/>
      <c r="R69" s="73"/>
      <c r="S69" s="73"/>
      <c r="T69" s="73"/>
      <c r="U69" s="73"/>
      <c r="V69" s="73"/>
    </row>
    <row r="70" spans="1:22">
      <c r="A70" s="13">
        <f t="shared" si="1"/>
        <v>68</v>
      </c>
      <c r="B70" s="213" t="str">
        <f>Assumptions!A80</f>
        <v>Reaction Constant</v>
      </c>
      <c r="C70" s="73">
        <f>Assumptions!B80</f>
        <v>1.4717</v>
      </c>
      <c r="D70" s="73"/>
      <c r="E70" s="73"/>
      <c r="G70" t="s">
        <v>127</v>
      </c>
      <c r="H70" s="73">
        <f>'CHEPCI &amp; Location factors'!C71</f>
        <v>1.1161879875577341</v>
      </c>
      <c r="I70" s="73"/>
      <c r="J70" s="73">
        <f>'CHEPCI &amp; Location factors'!E71</f>
        <v>12</v>
      </c>
      <c r="K70" s="123"/>
      <c r="L70" s="235"/>
      <c r="M70" s="73"/>
      <c r="N70" s="73"/>
      <c r="O70" s="73"/>
      <c r="P70" s="73"/>
      <c r="Q70" s="73"/>
      <c r="R70" s="73"/>
      <c r="S70" s="73"/>
      <c r="T70" s="73"/>
      <c r="U70" s="73"/>
      <c r="V70" s="73"/>
    </row>
    <row r="71" spans="1:22">
      <c r="A71" s="13">
        <f t="shared" si="1"/>
        <v>69</v>
      </c>
      <c r="B71" s="213" t="str">
        <f>Assumptions!A81</f>
        <v xml:space="preserve">Grain size </v>
      </c>
      <c r="C71" s="73">
        <f>Assumptions!B81</f>
        <v>10</v>
      </c>
      <c r="D71" s="73"/>
      <c r="E71" s="73"/>
      <c r="G71" t="s">
        <v>127</v>
      </c>
      <c r="H71" s="73">
        <f>'CHEPCI &amp; Location factors'!C72</f>
        <v>1.2058816651293374</v>
      </c>
      <c r="I71" s="73"/>
      <c r="J71" s="73">
        <f>'CHEPCI &amp; Location factors'!E72</f>
        <v>13</v>
      </c>
      <c r="K71" s="123"/>
      <c r="L71" s="235"/>
      <c r="M71" s="73"/>
      <c r="N71" s="73"/>
      <c r="O71" s="73"/>
      <c r="P71" s="73"/>
      <c r="Q71" s="73"/>
      <c r="R71" s="73"/>
      <c r="S71" s="73"/>
      <c r="T71" s="73"/>
      <c r="U71" s="73"/>
      <c r="V71" s="73"/>
    </row>
    <row r="72" spans="1:22">
      <c r="A72" s="13">
        <f t="shared" si="1"/>
        <v>70</v>
      </c>
      <c r="B72" s="213" t="str">
        <f>Assumptions!A82</f>
        <v>Electricity grid emission [kgCO2/MWh]</v>
      </c>
      <c r="C72" s="73">
        <f>Assumptions!B82</f>
        <v>417</v>
      </c>
      <c r="D72" s="73"/>
      <c r="E72" s="73"/>
      <c r="G72" t="s">
        <v>127</v>
      </c>
      <c r="H72" s="73">
        <f>'CHEPCI &amp; Location factors'!C73</f>
        <v>0.99659641746226235</v>
      </c>
      <c r="I72" s="73"/>
      <c r="J72" s="73">
        <f>'CHEPCI &amp; Location factors'!E73</f>
        <v>14</v>
      </c>
      <c r="K72" s="123"/>
      <c r="L72" s="235"/>
      <c r="M72" s="73"/>
      <c r="N72" s="73"/>
      <c r="O72" s="73"/>
      <c r="P72" s="73"/>
      <c r="Q72" s="73"/>
      <c r="R72" s="73"/>
      <c r="S72" s="73"/>
      <c r="T72" s="73"/>
      <c r="U72" s="73"/>
      <c r="V72" s="73"/>
    </row>
    <row r="73" spans="1:22">
      <c r="A73" s="13">
        <f t="shared" si="1"/>
        <v>71</v>
      </c>
      <c r="B73" s="213" t="str">
        <f>Assumptions!A83</f>
        <v>Natural gas emission [kgCO2/MWh]</v>
      </c>
      <c r="C73" s="73">
        <f>Assumptions!B83</f>
        <v>241</v>
      </c>
      <c r="D73" s="73"/>
      <c r="E73" s="73"/>
      <c r="G73" t="s">
        <v>127</v>
      </c>
      <c r="H73" s="73">
        <f>'CHEPCI &amp; Location factors'!C74</f>
        <v>1.0364602741607529</v>
      </c>
      <c r="I73" s="73"/>
      <c r="J73" s="73">
        <f>'CHEPCI &amp; Location factors'!E74</f>
        <v>15</v>
      </c>
      <c r="K73" s="123"/>
      <c r="L73" s="235"/>
      <c r="M73" s="73"/>
      <c r="N73" s="73"/>
      <c r="O73" s="73"/>
      <c r="P73" s="73"/>
      <c r="Q73" s="73"/>
      <c r="R73" s="73"/>
      <c r="S73" s="73"/>
      <c r="T73" s="73"/>
      <c r="U73" s="73"/>
      <c r="V73" s="73"/>
    </row>
    <row r="74" spans="1:22">
      <c r="A74" s="13">
        <f t="shared" si="1"/>
        <v>72</v>
      </c>
      <c r="B74" s="213" t="str">
        <f>Assumptions!A84</f>
        <v>Transport Emission (Train kgCO2/km*t)</v>
      </c>
      <c r="C74" s="73">
        <f>Assumptions!B84</f>
        <v>2.58E-2</v>
      </c>
      <c r="D74" s="73"/>
      <c r="E74" s="73"/>
      <c r="G74" t="s">
        <v>127</v>
      </c>
      <c r="H74" s="73">
        <f>'CHEPCI &amp; Location factors'!C75</f>
        <v>1.0663581666846209</v>
      </c>
      <c r="I74" s="73"/>
      <c r="J74" s="73">
        <f>'CHEPCI &amp; Location factors'!E75</f>
        <v>16</v>
      </c>
      <c r="K74" s="123"/>
      <c r="L74" s="235"/>
      <c r="M74" s="73"/>
      <c r="N74" s="73"/>
      <c r="O74" s="73"/>
      <c r="P74" s="73"/>
      <c r="Q74" s="73"/>
      <c r="R74" s="73"/>
      <c r="S74" s="73"/>
      <c r="T74" s="73"/>
      <c r="U74" s="73"/>
      <c r="V74" s="73"/>
    </row>
    <row r="75" spans="1:22">
      <c r="A75" s="13">
        <f t="shared" si="1"/>
        <v>73</v>
      </c>
      <c r="B75" s="213" t="str">
        <f>Assumptions!A85</f>
        <v>Transport Emissions (Truck kgCO2/km*t)</v>
      </c>
      <c r="C75" s="73">
        <f>Assumptions!B85</f>
        <v>7.909999999999999E-2</v>
      </c>
      <c r="D75" s="73"/>
      <c r="E75" s="73"/>
      <c r="G75" t="s">
        <v>127</v>
      </c>
      <c r="H75" s="73">
        <f>'CHEPCI &amp; Location factors'!C76</f>
        <v>1.0165283458115075</v>
      </c>
      <c r="I75" s="73"/>
      <c r="J75" s="73">
        <f>'CHEPCI &amp; Location factors'!E76</f>
        <v>17</v>
      </c>
      <c r="K75" s="123"/>
      <c r="L75" s="235"/>
      <c r="M75" s="73"/>
      <c r="N75" s="73"/>
      <c r="O75" s="73"/>
      <c r="P75" s="73"/>
      <c r="Q75" s="73"/>
      <c r="R75" s="73"/>
      <c r="S75" s="73"/>
      <c r="T75" s="73"/>
      <c r="U75" s="73"/>
      <c r="V75" s="73"/>
    </row>
    <row r="76" spans="1:22">
      <c r="A76" s="13">
        <f t="shared" si="1"/>
        <v>74</v>
      </c>
      <c r="B76" s="213" t="str">
        <f>Assumptions!A86</f>
        <v xml:space="preserve"> Mining Mineral (kWh / tmineral)</v>
      </c>
      <c r="C76" s="73">
        <f>Assumptions!B86</f>
        <v>5.23</v>
      </c>
      <c r="D76" s="73"/>
      <c r="E76" s="73"/>
      <c r="G76" t="s">
        <v>127</v>
      </c>
      <c r="H76" s="73">
        <f>'CHEPCI &amp; Location factors'!C77</f>
        <v>0.99659641746226235</v>
      </c>
      <c r="I76" s="73"/>
      <c r="J76" s="73">
        <f>'CHEPCI &amp; Location factors'!E77</f>
        <v>18</v>
      </c>
      <c r="K76" s="123"/>
      <c r="L76" s="235"/>
      <c r="M76" s="73"/>
      <c r="N76" s="73"/>
      <c r="O76" s="73"/>
      <c r="P76" s="73"/>
      <c r="Q76" s="73"/>
      <c r="R76" s="73"/>
      <c r="S76" s="73"/>
      <c r="T76" s="73"/>
      <c r="U76" s="73"/>
      <c r="V76" s="73"/>
    </row>
    <row r="77" spans="1:22">
      <c r="A77" s="13">
        <f t="shared" si="1"/>
        <v>75</v>
      </c>
      <c r="B77" s="220" t="str">
        <f>Assumptions!A87</f>
        <v>Water kgCO2/ t</v>
      </c>
      <c r="C77" s="73">
        <f>Assumptions!B87</f>
        <v>0</v>
      </c>
      <c r="D77" s="73"/>
      <c r="E77" s="73"/>
      <c r="G77" t="s">
        <v>127</v>
      </c>
      <c r="H77" s="73">
        <f>'CHEPCI &amp; Location factors'!C78</f>
        <v>1.5945542679396199</v>
      </c>
      <c r="I77" s="73"/>
      <c r="J77" s="73">
        <f>'CHEPCI &amp; Location factors'!E78</f>
        <v>19</v>
      </c>
      <c r="K77" s="123"/>
      <c r="L77" s="235"/>
      <c r="M77" s="73"/>
      <c r="N77" s="73"/>
      <c r="O77" s="73"/>
      <c r="P77" s="73"/>
      <c r="Q77" s="73"/>
      <c r="R77" s="73"/>
      <c r="S77" s="73"/>
      <c r="T77" s="73"/>
      <c r="U77" s="73"/>
      <c r="V77" s="73"/>
    </row>
    <row r="78" spans="1:22">
      <c r="A78" s="13">
        <f t="shared" si="1"/>
        <v>76</v>
      </c>
      <c r="B78" s="220" t="str">
        <f>Assumptions!A88</f>
        <v>Construction kgCO2/1000tCO2caputred</v>
      </c>
      <c r="C78" s="73">
        <f>Assumptions!B88</f>
        <v>0</v>
      </c>
      <c r="D78" s="73"/>
      <c r="E78" s="73"/>
      <c r="G78" t="s">
        <v>127</v>
      </c>
      <c r="H78" s="73">
        <f>'CHEPCI &amp; Location factors'!C79</f>
        <v>1.0264943099861303</v>
      </c>
      <c r="I78" s="73"/>
      <c r="J78" s="73">
        <f>'CHEPCI &amp; Location factors'!E79</f>
        <v>20</v>
      </c>
      <c r="K78" s="123"/>
      <c r="L78" s="235"/>
      <c r="M78" s="73"/>
      <c r="N78" s="73"/>
      <c r="O78" s="73"/>
      <c r="P78" s="73"/>
      <c r="Q78" s="73"/>
      <c r="R78" s="73"/>
      <c r="S78" s="73"/>
      <c r="T78" s="73"/>
      <c r="U78" s="73"/>
      <c r="V78" s="73"/>
    </row>
    <row r="79" spans="1:22">
      <c r="A79" s="13">
        <f t="shared" si="1"/>
        <v>77</v>
      </c>
      <c r="B79" s="220" t="str">
        <f>Assumptions!A89</f>
        <v>Cement production kgCO2/t</v>
      </c>
      <c r="C79" s="73">
        <f>Assumptions!B89</f>
        <v>852</v>
      </c>
      <c r="D79" s="73"/>
      <c r="E79" s="73"/>
      <c r="G79" t="s">
        <v>127</v>
      </c>
      <c r="H79" s="73">
        <f>'CHEPCI &amp; Location factors'!C80</f>
        <v>1.136119915906979</v>
      </c>
      <c r="I79" s="73"/>
      <c r="J79" s="73">
        <f>'CHEPCI &amp; Location factors'!E80</f>
        <v>21</v>
      </c>
      <c r="K79" s="123"/>
      <c r="L79" s="235"/>
      <c r="M79" s="73"/>
      <c r="N79" s="73"/>
      <c r="O79" s="73"/>
      <c r="P79" s="73"/>
      <c r="Q79" s="73"/>
      <c r="R79" s="73"/>
      <c r="S79" s="73"/>
      <c r="T79" s="73"/>
      <c r="U79" s="73"/>
      <c r="V79" s="73"/>
    </row>
    <row r="80" spans="1:22" ht="31.5">
      <c r="A80" s="13">
        <f t="shared" si="1"/>
        <v>78</v>
      </c>
      <c r="B80" s="220" t="str">
        <f>Assumptions!A90</f>
        <v>NaHCO3 kgCO2/t</v>
      </c>
      <c r="C80" s="73">
        <f>Assumptions!B90</f>
        <v>0</v>
      </c>
      <c r="D80" s="73"/>
      <c r="E80" s="73"/>
      <c r="G80" s="7" t="str">
        <f>'CHEPCI &amp; Location factors'!B83</f>
        <v>Solid processing plants</v>
      </c>
      <c r="H80" s="73">
        <f>'CHEPCI &amp; Location factors'!C83</f>
        <v>3.1</v>
      </c>
      <c r="I80" s="73"/>
      <c r="J80" s="73"/>
      <c r="K80" s="294" t="s">
        <v>156</v>
      </c>
      <c r="L80" s="235"/>
      <c r="M80" s="73"/>
      <c r="N80" s="73"/>
      <c r="O80" s="73"/>
      <c r="P80" s="73"/>
      <c r="Q80" s="73"/>
      <c r="R80" s="73"/>
      <c r="S80" s="73"/>
      <c r="T80" s="73"/>
      <c r="U80" s="73"/>
      <c r="V80" s="73"/>
    </row>
    <row r="81" spans="1:23" ht="31.5">
      <c r="A81" s="13">
        <f t="shared" si="1"/>
        <v>79</v>
      </c>
      <c r="B81" s="220" t="str">
        <f>Assumptions!A91</f>
        <v>NaCl kgCO2/t</v>
      </c>
      <c r="C81" s="73">
        <f>Assumptions!B91</f>
        <v>0</v>
      </c>
      <c r="D81" s="73"/>
      <c r="E81" s="73"/>
      <c r="G81" s="7" t="str">
        <f>'CHEPCI &amp; Location factors'!B84</f>
        <v>Fluid processing plant</v>
      </c>
      <c r="H81" s="73">
        <f>'CHEPCI &amp; Location factors'!C84</f>
        <v>4.74</v>
      </c>
      <c r="I81" s="73"/>
      <c r="J81" s="73"/>
      <c r="K81" s="294"/>
      <c r="L81" s="235"/>
      <c r="M81" s="73"/>
      <c r="N81" s="73"/>
      <c r="O81" s="73"/>
      <c r="P81" s="73"/>
      <c r="Q81" s="73"/>
      <c r="R81" s="73"/>
      <c r="S81" s="73"/>
      <c r="T81" s="73"/>
      <c r="U81" s="73"/>
      <c r="V81" s="73"/>
    </row>
    <row r="82" spans="1:23" ht="31.5">
      <c r="A82" s="13">
        <f t="shared" si="1"/>
        <v>80</v>
      </c>
      <c r="B82" s="220" t="str">
        <f>Assumptions!A92</f>
        <v>MEA kCO2/t</v>
      </c>
      <c r="C82" s="73">
        <f>Assumptions!B92</f>
        <v>0</v>
      </c>
      <c r="D82" s="73"/>
      <c r="E82" s="73"/>
      <c r="G82" s="7" t="str">
        <f>'CHEPCI &amp; Location factors'!B85</f>
        <v>Mixed fluid-solids processing plant</v>
      </c>
      <c r="H82" s="73">
        <f>'CHEPCI &amp; Location factors'!C85</f>
        <v>3.63</v>
      </c>
      <c r="I82" s="73"/>
      <c r="J82" s="73"/>
      <c r="K82" s="294"/>
      <c r="L82" s="235"/>
      <c r="M82" s="73"/>
      <c r="N82" s="73"/>
      <c r="O82" s="73"/>
      <c r="P82" s="73"/>
      <c r="Q82" s="73"/>
      <c r="R82" s="73"/>
      <c r="S82" s="73"/>
      <c r="T82" s="73"/>
      <c r="U82" s="73"/>
      <c r="V82" s="73"/>
    </row>
    <row r="83" spans="1:23">
      <c r="A83" s="13">
        <f t="shared" si="1"/>
        <v>81</v>
      </c>
      <c r="B83" s="220" t="str">
        <f>Assumptions!A93</f>
        <v>Transport Emissions (ship kgCO2/km*t</v>
      </c>
      <c r="C83" s="73">
        <f>Assumptions!B93</f>
        <v>3.3000000000000002E-2</v>
      </c>
      <c r="D83" s="73"/>
      <c r="E83" s="73"/>
      <c r="G83" s="7" t="str">
        <f>'CHEPCI &amp; Location factors'!B86</f>
        <v>Compressor</v>
      </c>
      <c r="H83" s="73">
        <f>'CHEPCI &amp; Location factors'!C86</f>
        <v>2.5</v>
      </c>
      <c r="I83" s="73"/>
      <c r="J83" s="73"/>
      <c r="K83" s="294" t="s">
        <v>157</v>
      </c>
      <c r="L83" s="235"/>
      <c r="M83" s="73"/>
      <c r="N83" s="73"/>
      <c r="O83" s="73"/>
      <c r="P83" s="73"/>
      <c r="Q83" s="73"/>
      <c r="R83" s="73"/>
      <c r="S83" s="73"/>
      <c r="T83" s="73"/>
      <c r="U83" s="73"/>
      <c r="V83" s="73"/>
    </row>
    <row r="84" spans="1:23">
      <c r="A84" s="13">
        <f t="shared" si="1"/>
        <v>82</v>
      </c>
      <c r="B84" s="220">
        <f>Assumptions!A94</f>
        <v>0</v>
      </c>
      <c r="C84" s="73">
        <f>Assumptions!B94</f>
        <v>0</v>
      </c>
      <c r="D84" s="73"/>
      <c r="E84" s="73"/>
      <c r="G84" s="7" t="str">
        <f>'CHEPCI &amp; Location factors'!B87</f>
        <v>Distillation Columns</v>
      </c>
      <c r="H84" s="73">
        <f>'CHEPCI &amp; Location factors'!C87</f>
        <v>4</v>
      </c>
      <c r="I84" s="73"/>
      <c r="J84" s="73"/>
      <c r="K84" s="294"/>
      <c r="L84" s="235"/>
      <c r="M84" s="73"/>
      <c r="N84" s="73"/>
      <c r="O84" s="73"/>
      <c r="P84" s="73"/>
      <c r="Q84" s="73"/>
      <c r="R84" s="73"/>
      <c r="S84" s="73"/>
      <c r="T84" s="73"/>
      <c r="U84" s="73"/>
      <c r="V84" s="73"/>
    </row>
    <row r="85" spans="1:23">
      <c r="A85" s="13">
        <f t="shared" si="1"/>
        <v>83</v>
      </c>
      <c r="C85" s="73"/>
      <c r="D85" s="73"/>
      <c r="E85" s="73"/>
      <c r="G85" s="7" t="str">
        <f>'CHEPCI &amp; Location factors'!B88</f>
        <v>Fired heaters</v>
      </c>
      <c r="H85" s="73">
        <f>'CHEPCI &amp; Location factors'!C88</f>
        <v>2</v>
      </c>
      <c r="I85" s="73"/>
      <c r="J85" s="73"/>
      <c r="K85" s="294"/>
      <c r="L85" s="235"/>
      <c r="M85" s="73"/>
      <c r="N85" s="73"/>
      <c r="O85" s="73"/>
      <c r="P85" s="73"/>
      <c r="Q85" s="73"/>
      <c r="R85" s="73"/>
      <c r="S85" s="73"/>
      <c r="T85" s="73"/>
      <c r="U85" s="73"/>
      <c r="V85" s="73"/>
    </row>
    <row r="86" spans="1:23">
      <c r="A86" s="13">
        <f t="shared" si="1"/>
        <v>84</v>
      </c>
      <c r="C86" s="73"/>
      <c r="D86" s="73"/>
      <c r="E86" s="73"/>
      <c r="G86" s="7" t="str">
        <f>'CHEPCI &amp; Location factors'!B89</f>
        <v>Heat exchangers</v>
      </c>
      <c r="H86" s="73">
        <f>'CHEPCI &amp; Location factors'!C89</f>
        <v>3.5</v>
      </c>
      <c r="I86" s="73"/>
      <c r="J86" s="73"/>
      <c r="K86" s="294"/>
      <c r="L86" s="235"/>
      <c r="M86" s="73"/>
      <c r="N86" s="73"/>
      <c r="O86" s="73"/>
      <c r="P86" s="73"/>
      <c r="Q86" s="73"/>
      <c r="R86" s="73"/>
      <c r="S86" s="73"/>
      <c r="T86" s="73"/>
      <c r="U86" s="73"/>
      <c r="V86" s="73"/>
    </row>
    <row r="87" spans="1:23">
      <c r="A87" s="13">
        <f t="shared" si="1"/>
        <v>85</v>
      </c>
      <c r="C87" s="73"/>
      <c r="D87" s="73"/>
      <c r="E87" s="73"/>
      <c r="G87" s="7" t="str">
        <f>'CHEPCI &amp; Location factors'!B90</f>
        <v>Instruments</v>
      </c>
      <c r="H87" s="73">
        <f>'CHEPCI &amp; Location factors'!C90</f>
        <v>4</v>
      </c>
      <c r="I87" s="73"/>
      <c r="J87" s="73"/>
      <c r="K87" s="294"/>
      <c r="L87" s="235"/>
      <c r="M87" s="73"/>
      <c r="N87" s="73"/>
      <c r="O87" s="73"/>
      <c r="P87" s="73"/>
      <c r="Q87" s="73"/>
      <c r="R87" s="73"/>
      <c r="S87" s="73"/>
      <c r="T87" s="73"/>
      <c r="U87" s="73"/>
      <c r="V87" s="73"/>
    </row>
    <row r="88" spans="1:23" ht="31.5">
      <c r="A88" s="13">
        <f t="shared" si="1"/>
        <v>86</v>
      </c>
      <c r="C88" s="73"/>
      <c r="D88" s="73"/>
      <c r="E88" s="73"/>
      <c r="G88" s="7" t="str">
        <f>'CHEPCI &amp; Location factors'!B91</f>
        <v>Miscellaneous Equipment</v>
      </c>
      <c r="H88" s="73">
        <f>'CHEPCI &amp; Location factors'!C91</f>
        <v>2.5</v>
      </c>
      <c r="I88" s="73"/>
      <c r="J88" s="73"/>
      <c r="K88" s="294"/>
      <c r="L88" s="235"/>
      <c r="M88" s="73"/>
      <c r="N88" s="73"/>
      <c r="O88" s="73"/>
      <c r="P88" s="73"/>
      <c r="Q88" s="73"/>
      <c r="R88" s="73"/>
      <c r="S88" s="73"/>
      <c r="T88" s="73"/>
      <c r="U88" s="73"/>
      <c r="V88" s="73"/>
    </row>
    <row r="89" spans="1:23">
      <c r="A89" s="13">
        <f t="shared" si="1"/>
        <v>87</v>
      </c>
      <c r="C89" s="73"/>
      <c r="D89" s="73"/>
      <c r="E89" s="73"/>
      <c r="G89" s="7" t="str">
        <f>'CHEPCI &amp; Location factors'!B92</f>
        <v>pressure Vessels</v>
      </c>
      <c r="H89" s="73">
        <f>'CHEPCI &amp; Location factors'!C92</f>
        <v>4</v>
      </c>
      <c r="I89" s="73"/>
      <c r="J89" s="73"/>
      <c r="K89" s="294"/>
      <c r="L89" s="235"/>
      <c r="M89" s="73"/>
      <c r="N89" s="73"/>
      <c r="O89" s="73"/>
      <c r="P89" s="73"/>
      <c r="Q89" s="73"/>
      <c r="R89" s="73"/>
      <c r="S89" s="73"/>
      <c r="T89" s="73"/>
      <c r="U89" s="73"/>
      <c r="V89" s="73"/>
    </row>
    <row r="90" spans="1:23">
      <c r="A90" s="13">
        <f t="shared" si="1"/>
        <v>88</v>
      </c>
      <c r="C90" s="73"/>
      <c r="D90" s="73"/>
      <c r="E90" s="73"/>
      <c r="G90" s="7" t="str">
        <f>'CHEPCI &amp; Location factors'!B93</f>
        <v>Pumps</v>
      </c>
      <c r="H90" s="73">
        <f>'CHEPCI &amp; Location factors'!C93</f>
        <v>4</v>
      </c>
      <c r="I90" s="73"/>
      <c r="J90" s="73"/>
      <c r="K90" s="294"/>
      <c r="L90" s="235"/>
      <c r="M90" s="73"/>
      <c r="N90" s="73"/>
      <c r="O90" s="73"/>
      <c r="P90" s="73"/>
      <c r="Q90" s="73"/>
      <c r="R90" s="73"/>
      <c r="S90" s="73"/>
      <c r="T90" s="73"/>
      <c r="U90" s="73"/>
      <c r="V90" s="73"/>
    </row>
    <row r="91" spans="1:23" ht="31.5">
      <c r="A91" s="13">
        <f t="shared" si="1"/>
        <v>89</v>
      </c>
      <c r="C91" s="73"/>
      <c r="D91" s="73"/>
      <c r="E91" s="73"/>
      <c r="G91" s="5" t="s">
        <v>448</v>
      </c>
      <c r="H91" s="73">
        <f>'Capex-Sinott et al.'!E31</f>
        <v>2.5</v>
      </c>
      <c r="I91" s="73"/>
      <c r="J91" s="73"/>
      <c r="K91" s="295" t="s">
        <v>427</v>
      </c>
      <c r="L91" s="235"/>
      <c r="M91" s="73"/>
      <c r="N91" s="73"/>
      <c r="O91" s="73"/>
      <c r="P91" s="73"/>
      <c r="Q91" s="73"/>
      <c r="R91" s="73"/>
      <c r="S91" s="73"/>
      <c r="T91" s="73"/>
      <c r="U91" s="73"/>
      <c r="V91" s="73"/>
    </row>
    <row r="92" spans="1:23" ht="67.5" customHeight="1">
      <c r="A92" s="13">
        <f t="shared" si="1"/>
        <v>90</v>
      </c>
      <c r="C92" s="73"/>
      <c r="D92" s="73"/>
      <c r="E92" s="73"/>
      <c r="G92" s="5" t="s">
        <v>449</v>
      </c>
      <c r="H92" s="73">
        <f>'Capex-Sinott et al.'!E32</f>
        <v>0.4</v>
      </c>
      <c r="I92" s="73"/>
      <c r="J92" s="73"/>
      <c r="K92" s="295"/>
      <c r="L92" s="235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124"/>
    </row>
    <row r="93" spans="1:23" ht="31.5">
      <c r="A93" s="13">
        <f t="shared" si="1"/>
        <v>91</v>
      </c>
      <c r="C93" s="73"/>
      <c r="D93" s="73"/>
      <c r="E93" s="73"/>
      <c r="G93" s="5" t="s">
        <v>447</v>
      </c>
      <c r="H93" s="73">
        <f>'Capex-Sinott et al.'!E35</f>
        <v>4.55</v>
      </c>
      <c r="I93" s="73"/>
      <c r="J93" s="73"/>
      <c r="K93" s="295"/>
      <c r="L93" s="235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124"/>
    </row>
    <row r="94" spans="1:23">
      <c r="A94" s="13">
        <f t="shared" si="1"/>
        <v>92</v>
      </c>
      <c r="C94" s="73"/>
      <c r="D94" s="73"/>
      <c r="E94" s="73"/>
      <c r="G94" s="5"/>
      <c r="H94" s="73"/>
      <c r="I94" s="73"/>
      <c r="J94" s="73"/>
      <c r="K94" s="123"/>
      <c r="L94" s="235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124"/>
    </row>
    <row r="95" spans="1:23" ht="15.75" customHeight="1">
      <c r="A95" s="13">
        <f t="shared" si="1"/>
        <v>93</v>
      </c>
      <c r="C95" s="73"/>
      <c r="D95" s="73"/>
      <c r="E95" s="73"/>
      <c r="G95" s="5" t="str">
        <f>'Opex CemCap'!F3</f>
        <v>Insur- and loc tax</v>
      </c>
      <c r="H95" s="113">
        <f>'Opex CemCap'!G3</f>
        <v>0.02</v>
      </c>
      <c r="I95" s="113"/>
      <c r="J95" s="73"/>
      <c r="K95" s="294" t="s">
        <v>608</v>
      </c>
      <c r="L95" s="235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124"/>
    </row>
    <row r="96" spans="1:23" ht="71.25" customHeight="1">
      <c r="A96" s="13">
        <f t="shared" si="1"/>
        <v>94</v>
      </c>
      <c r="C96" s="73"/>
      <c r="D96" s="73"/>
      <c r="E96" s="73"/>
      <c r="G96" s="5" t="str">
        <f>'Opex CemCap'!F4</f>
        <v>Maintenance Costs (M)</v>
      </c>
      <c r="H96" s="113">
        <f>'Opex CemCap'!G4</f>
        <v>2.5000000000000001E-2</v>
      </c>
      <c r="I96" s="113"/>
      <c r="J96" s="73"/>
      <c r="K96" s="294"/>
      <c r="L96" s="235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124"/>
    </row>
    <row r="97" spans="1:23">
      <c r="A97" s="13">
        <f t="shared" si="1"/>
        <v>95</v>
      </c>
      <c r="C97" s="73"/>
      <c r="D97" s="73"/>
      <c r="E97" s="73"/>
      <c r="G97" s="5" t="str">
        <f>'Opex CemCap'!F5</f>
        <v>Labour (O)</v>
      </c>
      <c r="H97" s="113">
        <f>'Opex CemCap'!G5</f>
        <v>0.3</v>
      </c>
      <c r="I97" s="113"/>
      <c r="J97" s="73"/>
      <c r="K97" s="294"/>
      <c r="L97" s="235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124"/>
    </row>
    <row r="98" spans="1:23">
      <c r="A98" s="13">
        <f t="shared" si="1"/>
        <v>96</v>
      </c>
      <c r="C98" s="73"/>
      <c r="D98" s="73"/>
      <c r="E98" s="73"/>
      <c r="G98" s="5">
        <f>'Opex CemCap'!F6</f>
        <v>0</v>
      </c>
      <c r="H98" s="113">
        <f>'Opex CemCap'!G6</f>
        <v>0.12</v>
      </c>
      <c r="I98" s="113"/>
      <c r="J98" s="73"/>
      <c r="K98" s="294"/>
      <c r="L98" s="235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124"/>
    </row>
    <row r="99" spans="1:23" ht="45" customHeight="1">
      <c r="A99" s="13">
        <f t="shared" si="1"/>
        <v>97</v>
      </c>
      <c r="C99" s="73"/>
      <c r="D99" s="73"/>
      <c r="E99" s="73"/>
      <c r="G99" s="5" t="str">
        <f>'Capex-Cemcap'!B4</f>
        <v>Process contingencies</v>
      </c>
      <c r="H99" s="113">
        <v>0</v>
      </c>
      <c r="I99" s="113"/>
      <c r="J99" s="73"/>
      <c r="K99" s="294" t="s">
        <v>609</v>
      </c>
      <c r="L99" s="235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124"/>
    </row>
    <row r="100" spans="1:23">
      <c r="A100" s="13">
        <f t="shared" si="1"/>
        <v>98</v>
      </c>
      <c r="C100" s="73"/>
      <c r="D100" s="73"/>
      <c r="E100" s="73"/>
      <c r="G100" s="5" t="str">
        <f>'Capex-Cemcap'!B5</f>
        <v>indirect coststs</v>
      </c>
      <c r="H100" s="113">
        <f>'Capex-Cemcap'!C5</f>
        <v>0.14000000000000001</v>
      </c>
      <c r="I100" s="113"/>
      <c r="J100" s="73"/>
      <c r="K100" s="294"/>
      <c r="L100" s="235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124"/>
    </row>
    <row r="101" spans="1:23">
      <c r="A101" s="13">
        <f t="shared" si="1"/>
        <v>99</v>
      </c>
      <c r="C101" s="73"/>
      <c r="D101" s="73"/>
      <c r="E101" s="73"/>
      <c r="G101" s="5" t="str">
        <f>'Capex-Cemcap'!B6</f>
        <v>Owners costs</v>
      </c>
      <c r="H101" s="113">
        <f>'Capex-Cemcap'!C6</f>
        <v>7.0000000000000007E-2</v>
      </c>
      <c r="I101" s="113"/>
      <c r="J101" s="73"/>
      <c r="K101" s="294"/>
      <c r="L101" s="235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124"/>
    </row>
    <row r="102" spans="1:23" ht="31.5">
      <c r="A102" s="13">
        <f t="shared" si="1"/>
        <v>100</v>
      </c>
      <c r="C102" s="73"/>
      <c r="D102" s="73"/>
      <c r="E102" s="73"/>
      <c r="G102" s="5" t="str">
        <f>'Capex-Cemcap'!B7</f>
        <v>Project contingencies</v>
      </c>
      <c r="H102" s="113">
        <v>0.85</v>
      </c>
      <c r="I102" s="113"/>
      <c r="J102" s="73"/>
      <c r="K102" s="87" t="s">
        <v>696</v>
      </c>
      <c r="L102" s="235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124"/>
    </row>
    <row r="103" spans="1:23">
      <c r="A103" s="13">
        <f t="shared" si="1"/>
        <v>101</v>
      </c>
      <c r="C103" s="73"/>
      <c r="D103" s="73"/>
      <c r="E103" s="73"/>
      <c r="G103" s="5">
        <f>'Opex CemCap'!F11</f>
        <v>0</v>
      </c>
      <c r="H103" s="113">
        <f>'Opex CemCap'!G11</f>
        <v>0</v>
      </c>
      <c r="I103" s="113"/>
      <c r="J103" s="73"/>
      <c r="K103" s="87"/>
      <c r="L103" s="235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124"/>
    </row>
    <row r="104" spans="1:23">
      <c r="A104" s="13">
        <f t="shared" si="1"/>
        <v>102</v>
      </c>
      <c r="C104" s="73"/>
      <c r="D104" s="73"/>
      <c r="E104" s="73"/>
      <c r="G104" s="5">
        <f>'Opex CemCap'!F12</f>
        <v>0</v>
      </c>
      <c r="H104" s="113">
        <f>'Opex CemCap'!G12</f>
        <v>0</v>
      </c>
      <c r="I104" s="113"/>
      <c r="J104" s="73"/>
      <c r="K104" s="87"/>
      <c r="L104" s="235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124"/>
    </row>
    <row r="105" spans="1:23">
      <c r="A105" s="13">
        <f t="shared" si="1"/>
        <v>103</v>
      </c>
      <c r="G105" s="5"/>
      <c r="H105" s="120"/>
      <c r="I105" s="120"/>
      <c r="J105" s="120"/>
    </row>
    <row r="106" spans="1:23">
      <c r="A106" s="13">
        <f t="shared" si="1"/>
        <v>104</v>
      </c>
      <c r="G106" s="5"/>
    </row>
    <row r="107" spans="1:23">
      <c r="A107" s="13">
        <f t="shared" si="1"/>
        <v>105</v>
      </c>
      <c r="G107" s="5"/>
    </row>
    <row r="108" spans="1:23">
      <c r="A108" s="13">
        <f t="shared" si="1"/>
        <v>106</v>
      </c>
      <c r="G108" s="5"/>
    </row>
    <row r="109" spans="1:23">
      <c r="A109" s="13">
        <f t="shared" si="1"/>
        <v>107</v>
      </c>
      <c r="G109" s="5"/>
    </row>
    <row r="110" spans="1:23">
      <c r="A110" s="13">
        <f t="shared" si="1"/>
        <v>108</v>
      </c>
      <c r="G110" s="5"/>
    </row>
    <row r="111" spans="1:23">
      <c r="A111" s="13">
        <f t="shared" si="1"/>
        <v>109</v>
      </c>
      <c r="G111" s="5"/>
    </row>
    <row r="112" spans="1:23">
      <c r="A112" s="13">
        <f t="shared" si="1"/>
        <v>110</v>
      </c>
      <c r="G112" s="5"/>
    </row>
    <row r="113" spans="1:7">
      <c r="A113" s="13">
        <f t="shared" si="1"/>
        <v>111</v>
      </c>
      <c r="G113" s="5"/>
    </row>
    <row r="114" spans="1:7">
      <c r="A114" s="13">
        <f t="shared" si="1"/>
        <v>112</v>
      </c>
      <c r="G114" s="5"/>
    </row>
    <row r="115" spans="1:7">
      <c r="A115" s="13">
        <f t="shared" si="1"/>
        <v>113</v>
      </c>
      <c r="G115" s="5"/>
    </row>
    <row r="116" spans="1:7">
      <c r="A116" s="13">
        <f t="shared" si="1"/>
        <v>114</v>
      </c>
    </row>
    <row r="117" spans="1:7">
      <c r="A117" s="13">
        <f t="shared" si="1"/>
        <v>115</v>
      </c>
    </row>
    <row r="118" spans="1:7">
      <c r="A118" s="13">
        <f t="shared" si="1"/>
        <v>116</v>
      </c>
    </row>
    <row r="119" spans="1:7">
      <c r="A119" s="13">
        <f t="shared" si="1"/>
        <v>117</v>
      </c>
    </row>
    <row r="120" spans="1:7">
      <c r="A120" s="13">
        <f t="shared" si="1"/>
        <v>118</v>
      </c>
    </row>
    <row r="121" spans="1:7">
      <c r="A121" s="13">
        <f t="shared" si="1"/>
        <v>119</v>
      </c>
    </row>
    <row r="122" spans="1:7">
      <c r="A122" s="13">
        <f t="shared" si="1"/>
        <v>120</v>
      </c>
    </row>
    <row r="123" spans="1:7">
      <c r="A123" s="13">
        <f t="shared" si="1"/>
        <v>121</v>
      </c>
    </row>
    <row r="124" spans="1:7">
      <c r="A124" s="13">
        <f t="shared" si="1"/>
        <v>122</v>
      </c>
    </row>
    <row r="125" spans="1:7">
      <c r="A125" s="13">
        <f t="shared" si="1"/>
        <v>123</v>
      </c>
    </row>
    <row r="126" spans="1:7">
      <c r="A126" s="13">
        <f t="shared" si="1"/>
        <v>124</v>
      </c>
    </row>
    <row r="127" spans="1:7">
      <c r="A127" s="13">
        <f t="shared" si="1"/>
        <v>125</v>
      </c>
    </row>
    <row r="128" spans="1:7">
      <c r="A128" s="13">
        <f t="shared" si="1"/>
        <v>126</v>
      </c>
    </row>
    <row r="129" spans="1:1">
      <c r="A129" s="13">
        <f t="shared" si="1"/>
        <v>127</v>
      </c>
    </row>
    <row r="130" spans="1:1">
      <c r="A130" s="13">
        <f t="shared" si="1"/>
        <v>128</v>
      </c>
    </row>
    <row r="131" spans="1:1">
      <c r="A131" s="13">
        <f t="shared" si="1"/>
        <v>129</v>
      </c>
    </row>
    <row r="132" spans="1:1">
      <c r="A132" s="13">
        <f t="shared" si="1"/>
        <v>130</v>
      </c>
    </row>
  </sheetData>
  <mergeCells count="15">
    <mergeCell ref="B1:F1"/>
    <mergeCell ref="G1:K1"/>
    <mergeCell ref="L1:U1"/>
    <mergeCell ref="K80:K82"/>
    <mergeCell ref="W29:W37"/>
    <mergeCell ref="W43:W51"/>
    <mergeCell ref="W53:W55"/>
    <mergeCell ref="K95:K98"/>
    <mergeCell ref="K99:K101"/>
    <mergeCell ref="K91:K93"/>
    <mergeCell ref="AK5:AK8"/>
    <mergeCell ref="X1:AJ1"/>
    <mergeCell ref="K83:K90"/>
    <mergeCell ref="W20:W27"/>
    <mergeCell ref="X28:AJ28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>
    <tabColor theme="9" tint="0.79998168889431442"/>
  </sheetPr>
  <dimension ref="A1:U115"/>
  <sheetViews>
    <sheetView zoomScale="80" zoomScaleNormal="80" workbookViewId="0">
      <selection activeCell="E30" sqref="E30"/>
    </sheetView>
  </sheetViews>
  <sheetFormatPr baseColWidth="10" defaultRowHeight="15.75"/>
  <cols>
    <col min="1" max="1" width="11.875" customWidth="1"/>
    <col min="2" max="2" width="12.5" customWidth="1"/>
    <col min="9" max="9" width="12.625" bestFit="1" customWidth="1"/>
    <col min="11" max="11" width="11.875" bestFit="1" customWidth="1"/>
    <col min="12" max="12" width="15.5" customWidth="1"/>
    <col min="14" max="14" width="28.875" bestFit="1" customWidth="1"/>
    <col min="15" max="15" width="11.625" customWidth="1"/>
    <col min="16" max="16" width="22.125" customWidth="1"/>
    <col min="17" max="17" width="25.5" customWidth="1"/>
    <col min="18" max="18" width="17.625" customWidth="1"/>
  </cols>
  <sheetData>
    <row r="1" spans="1:21" ht="16.5" thickBot="1">
      <c r="A1" s="301" t="s">
        <v>12</v>
      </c>
      <c r="B1" s="302"/>
      <c r="C1" s="302"/>
      <c r="D1" s="302"/>
      <c r="E1" s="303"/>
      <c r="F1" s="304" t="s">
        <v>14</v>
      </c>
      <c r="G1" s="305"/>
      <c r="N1" s="296" t="s">
        <v>32</v>
      </c>
      <c r="O1" s="296"/>
      <c r="P1" s="296"/>
      <c r="Q1" s="296"/>
    </row>
    <row r="2" spans="1:21">
      <c r="A2" s="31" t="s">
        <v>11</v>
      </c>
      <c r="B2" s="15" t="s">
        <v>13</v>
      </c>
      <c r="C2" s="15"/>
      <c r="D2" s="15"/>
      <c r="E2" s="32"/>
      <c r="F2" s="33" t="s">
        <v>15</v>
      </c>
      <c r="G2" s="34" t="s">
        <v>16</v>
      </c>
      <c r="N2" s="13"/>
      <c r="O2" s="13" t="s">
        <v>29</v>
      </c>
      <c r="P2" s="13" t="s">
        <v>30</v>
      </c>
      <c r="Q2" s="13" t="s">
        <v>31</v>
      </c>
    </row>
    <row r="3" spans="1:21" ht="16.5" thickBot="1">
      <c r="A3" s="2"/>
      <c r="B3" s="6"/>
      <c r="C3" s="6"/>
      <c r="D3" s="6"/>
      <c r="E3" s="27"/>
      <c r="F3" s="35">
        <f t="array" ref="F3:G3">LINEST(B4:B31,LN(A4:A31), ,TRUE)</f>
        <v>0.21139449433830163</v>
      </c>
      <c r="G3" s="36">
        <v>0.42598438870492261</v>
      </c>
      <c r="N3" s="13" t="s">
        <v>26</v>
      </c>
      <c r="O3">
        <v>185</v>
      </c>
      <c r="P3">
        <v>150</v>
      </c>
      <c r="Q3" t="s">
        <v>33</v>
      </c>
    </row>
    <row r="4" spans="1:21">
      <c r="A4" s="2">
        <v>9.8293268409856305E-2</v>
      </c>
      <c r="B4" s="6">
        <v>8.2221715284844996E-2</v>
      </c>
      <c r="C4" s="6"/>
      <c r="D4" s="6"/>
      <c r="E4" s="27"/>
      <c r="N4" s="13" t="s">
        <v>27</v>
      </c>
      <c r="O4">
        <v>100</v>
      </c>
      <c r="P4">
        <v>40</v>
      </c>
      <c r="Q4" t="s">
        <v>34</v>
      </c>
    </row>
    <row r="5" spans="1:21">
      <c r="A5" s="2">
        <v>0.199175293913056</v>
      </c>
      <c r="B5" s="6">
        <v>0.123188750053195</v>
      </c>
      <c r="C5" s="6"/>
      <c r="D5" s="6"/>
      <c r="E5" s="27"/>
      <c r="N5" s="13" t="s">
        <v>28</v>
      </c>
      <c r="O5">
        <v>155</v>
      </c>
      <c r="P5">
        <v>115</v>
      </c>
      <c r="Q5" t="s">
        <v>33</v>
      </c>
    </row>
    <row r="6" spans="1:21">
      <c r="A6" s="2">
        <v>0.30009607175487202</v>
      </c>
      <c r="B6" s="6">
        <v>0.16591514099473001</v>
      </c>
      <c r="C6" s="6"/>
      <c r="D6" s="6"/>
      <c r="E6" s="27"/>
    </row>
    <row r="7" spans="1:21">
      <c r="A7" s="2">
        <v>0.470722932392384</v>
      </c>
      <c r="B7" s="6">
        <v>0.233769485732679</v>
      </c>
      <c r="C7" s="6"/>
      <c r="D7" s="6"/>
      <c r="E7" s="27"/>
    </row>
    <row r="8" spans="1:21">
      <c r="A8" s="2">
        <v>0.36321394327636902</v>
      </c>
      <c r="B8" s="6">
        <v>0.19454343114761199</v>
      </c>
      <c r="C8" s="6"/>
      <c r="D8" s="6"/>
      <c r="E8" s="27"/>
    </row>
    <row r="9" spans="1:21">
      <c r="A9" s="2">
        <v>0.67783772177999402</v>
      </c>
      <c r="B9" s="6">
        <v>0.29384759059681298</v>
      </c>
      <c r="C9" s="6"/>
      <c r="D9" s="6"/>
      <c r="E9" s="27"/>
      <c r="N9" s="297" t="s">
        <v>35</v>
      </c>
      <c r="O9" s="298"/>
      <c r="P9" s="298"/>
      <c r="Q9" s="299"/>
      <c r="R9" s="296" t="s">
        <v>513</v>
      </c>
      <c r="S9" s="296"/>
      <c r="T9" s="296"/>
      <c r="U9" s="296"/>
    </row>
    <row r="10" spans="1:21">
      <c r="A10" s="2">
        <v>0.82866182367510799</v>
      </c>
      <c r="B10" s="6">
        <v>0.332646432019575</v>
      </c>
      <c r="C10" s="6"/>
      <c r="D10" s="6"/>
      <c r="E10" s="27"/>
      <c r="N10" s="13" t="s">
        <v>514</v>
      </c>
      <c r="O10" s="13"/>
      <c r="P10" s="48">
        <v>49</v>
      </c>
      <c r="Q10" t="s">
        <v>49</v>
      </c>
      <c r="R10" s="13" t="s">
        <v>514</v>
      </c>
      <c r="S10" s="13"/>
    </row>
    <row r="11" spans="1:21" ht="78.75">
      <c r="A11" s="2">
        <v>0.99211709097115397</v>
      </c>
      <c r="B11" s="6">
        <v>0.37751556726008401</v>
      </c>
      <c r="C11" s="6"/>
      <c r="D11" s="6"/>
      <c r="E11" s="27"/>
      <c r="N11" s="13" t="s">
        <v>36</v>
      </c>
      <c r="O11" s="13"/>
      <c r="P11" s="5" t="s">
        <v>37</v>
      </c>
      <c r="R11" s="13" t="s">
        <v>36</v>
      </c>
      <c r="S11" s="13"/>
      <c r="T11" s="5" t="s">
        <v>37</v>
      </c>
    </row>
    <row r="12" spans="1:21">
      <c r="A12" s="2">
        <v>1.2554555380485799</v>
      </c>
      <c r="B12" s="6">
        <v>0.41800414149857401</v>
      </c>
      <c r="C12" s="6"/>
      <c r="D12" s="6"/>
      <c r="E12" s="27"/>
      <c r="N12" s="13" t="s">
        <v>38</v>
      </c>
      <c r="O12" s="13"/>
      <c r="P12" s="5">
        <v>38</v>
      </c>
      <c r="Q12" t="s">
        <v>50</v>
      </c>
      <c r="R12" s="13" t="s">
        <v>38</v>
      </c>
      <c r="S12" s="13"/>
      <c r="T12">
        <v>75</v>
      </c>
      <c r="U12" s="141" t="s">
        <v>50</v>
      </c>
    </row>
    <row r="13" spans="1:21">
      <c r="A13" s="2">
        <v>1.5187276532009499</v>
      </c>
      <c r="B13" s="6">
        <v>0.45548124633932502</v>
      </c>
      <c r="C13" s="6"/>
      <c r="D13" s="6"/>
      <c r="E13" s="27"/>
      <c r="N13" s="13" t="s">
        <v>39</v>
      </c>
      <c r="O13" s="13"/>
      <c r="P13" s="45">
        <v>65</v>
      </c>
      <c r="Q13" t="s">
        <v>49</v>
      </c>
      <c r="R13" s="13" t="s">
        <v>39</v>
      </c>
      <c r="S13" s="13"/>
    </row>
    <row r="14" spans="1:21" ht="47.25">
      <c r="A14" s="2">
        <v>1.7820145647008001</v>
      </c>
      <c r="B14" s="6">
        <v>0.493630105355293</v>
      </c>
      <c r="C14" s="6"/>
      <c r="D14" s="6"/>
      <c r="E14" s="27"/>
      <c r="N14" s="13" t="s">
        <v>40</v>
      </c>
      <c r="O14" s="13"/>
      <c r="P14" s="5">
        <v>60</v>
      </c>
      <c r="Q14" s="5" t="s">
        <v>51</v>
      </c>
      <c r="R14" s="13" t="s">
        <v>40</v>
      </c>
      <c r="S14" s="13"/>
    </row>
    <row r="15" spans="1:21">
      <c r="A15" s="2">
        <v>2.0258055269367099</v>
      </c>
      <c r="B15" s="6">
        <v>0.529261158386932</v>
      </c>
      <c r="C15" s="6"/>
      <c r="D15" s="6"/>
      <c r="E15" s="27"/>
      <c r="N15" s="13" t="s">
        <v>41</v>
      </c>
      <c r="O15" s="13"/>
      <c r="P15" s="5" t="s">
        <v>42</v>
      </c>
      <c r="R15" s="13" t="s">
        <v>41</v>
      </c>
      <c r="S15" s="13"/>
    </row>
    <row r="16" spans="1:21" ht="31.5">
      <c r="A16" s="2">
        <v>2.2960643364476301</v>
      </c>
      <c r="B16" s="6">
        <v>0.56872051189233397</v>
      </c>
      <c r="C16" s="6"/>
      <c r="D16" s="6"/>
      <c r="E16" s="27"/>
      <c r="N16" s="13" t="s">
        <v>43</v>
      </c>
      <c r="O16" s="44" t="s">
        <v>44</v>
      </c>
      <c r="P16" s="5">
        <v>2</v>
      </c>
      <c r="Q16" t="s">
        <v>52</v>
      </c>
      <c r="R16" s="13" t="s">
        <v>43</v>
      </c>
      <c r="S16" s="44" t="s">
        <v>44</v>
      </c>
    </row>
    <row r="17" spans="1:20">
      <c r="A17" s="2">
        <v>2.5593283488382901</v>
      </c>
      <c r="B17" s="6">
        <v>0.60582975135141903</v>
      </c>
      <c r="C17" s="6"/>
      <c r="D17" s="6"/>
      <c r="E17" s="27"/>
      <c r="N17" s="13"/>
      <c r="O17" s="44" t="s">
        <v>45</v>
      </c>
      <c r="P17" s="5">
        <v>185</v>
      </c>
      <c r="Q17" t="s">
        <v>53</v>
      </c>
      <c r="R17" s="13"/>
      <c r="S17" s="44" t="s">
        <v>45</v>
      </c>
    </row>
    <row r="18" spans="1:20">
      <c r="A18" s="2">
        <v>2.7850219689403302</v>
      </c>
      <c r="B18" s="6">
        <v>0.63939702706096302</v>
      </c>
      <c r="C18" s="6"/>
      <c r="D18" s="6"/>
      <c r="E18" s="27"/>
      <c r="N18" s="13"/>
      <c r="O18" s="44" t="s">
        <v>46</v>
      </c>
      <c r="P18" s="5">
        <v>150</v>
      </c>
      <c r="Q18" t="s">
        <v>54</v>
      </c>
      <c r="R18" s="13"/>
      <c r="S18" s="44" t="s">
        <v>46</v>
      </c>
    </row>
    <row r="19" spans="1:20" ht="31.5">
      <c r="A19" s="2">
        <v>3.02319912648667</v>
      </c>
      <c r="B19" s="6">
        <v>0.67233228735707296</v>
      </c>
      <c r="C19" s="6"/>
      <c r="D19" s="6"/>
      <c r="E19" s="27"/>
      <c r="N19" s="13"/>
      <c r="O19" s="44" t="s">
        <v>47</v>
      </c>
      <c r="P19" s="46">
        <v>30</v>
      </c>
      <c r="Q19" t="s">
        <v>49</v>
      </c>
      <c r="R19" s="13"/>
      <c r="S19" s="44" t="s">
        <v>47</v>
      </c>
    </row>
    <row r="20" spans="1:20" ht="31.5">
      <c r="A20" s="2">
        <v>3.2985309694164702</v>
      </c>
      <c r="B20" s="6">
        <v>0.68993641790855098</v>
      </c>
      <c r="C20" s="6"/>
      <c r="D20" s="6"/>
      <c r="E20" s="27"/>
      <c r="G20" s="306" t="s">
        <v>85</v>
      </c>
      <c r="H20" s="306"/>
      <c r="I20" s="20"/>
      <c r="J20" s="20"/>
      <c r="K20" s="20"/>
      <c r="N20" s="13"/>
      <c r="O20" s="44" t="s">
        <v>48</v>
      </c>
      <c r="P20" s="5" t="s">
        <v>33</v>
      </c>
      <c r="R20" s="13"/>
      <c r="S20" s="44" t="s">
        <v>48</v>
      </c>
    </row>
    <row r="21" spans="1:20">
      <c r="A21" s="2">
        <v>3.57382053706778</v>
      </c>
      <c r="B21" s="6">
        <v>0.70562125081655402</v>
      </c>
      <c r="C21" s="6"/>
      <c r="D21" s="6"/>
      <c r="E21" s="27"/>
      <c r="G21" s="20" t="s">
        <v>15</v>
      </c>
      <c r="H21" s="20" t="s">
        <v>16</v>
      </c>
      <c r="I21" s="20" t="s">
        <v>24</v>
      </c>
      <c r="J21" s="20" t="s">
        <v>83</v>
      </c>
      <c r="K21" s="20" t="s">
        <v>84</v>
      </c>
      <c r="N21" s="13"/>
      <c r="O21" s="44"/>
      <c r="R21" s="13"/>
      <c r="S21" s="44"/>
    </row>
    <row r="22" spans="1:20" ht="42" customHeight="1">
      <c r="A22" s="2">
        <v>3.8491277194184699</v>
      </c>
      <c r="B22" s="6">
        <v>0.72210579107600503</v>
      </c>
      <c r="C22" s="6"/>
      <c r="D22" s="6"/>
      <c r="E22" s="27"/>
      <c r="G22" s="50">
        <v>-8.0000000000000007E-5</v>
      </c>
      <c r="H22" s="20">
        <v>1.37E-2</v>
      </c>
      <c r="I22" s="20">
        <v>-9.8299999999999998E-2</v>
      </c>
      <c r="J22" s="20">
        <v>0.3896</v>
      </c>
      <c r="K22" s="20">
        <v>5.8999999999999997E-2</v>
      </c>
      <c r="N22" s="44" t="s">
        <v>59</v>
      </c>
      <c r="O22" s="44" t="s">
        <v>56</v>
      </c>
      <c r="P22" s="5">
        <v>13</v>
      </c>
      <c r="Q22" t="s">
        <v>58</v>
      </c>
      <c r="R22" s="44" t="s">
        <v>59</v>
      </c>
      <c r="S22" s="44" t="s">
        <v>56</v>
      </c>
      <c r="T22">
        <v>11</v>
      </c>
    </row>
    <row r="23" spans="1:20" ht="31.5">
      <c r="A23" s="2">
        <v>4.1244172870697797</v>
      </c>
      <c r="B23" s="6">
        <v>0.73779062398400796</v>
      </c>
      <c r="C23" s="6"/>
      <c r="D23" s="6"/>
      <c r="E23" s="27"/>
      <c r="N23" s="13"/>
      <c r="O23" s="44" t="s">
        <v>57</v>
      </c>
      <c r="P23" s="5">
        <v>83</v>
      </c>
      <c r="Q23" t="s">
        <v>58</v>
      </c>
      <c r="R23" s="13"/>
      <c r="S23" s="44" t="s">
        <v>57</v>
      </c>
      <c r="T23">
        <f>11+70</f>
        <v>81</v>
      </c>
    </row>
    <row r="24" spans="1:20" ht="31.5">
      <c r="A24" s="2">
        <v>4.3997174235407099</v>
      </c>
      <c r="B24" s="6">
        <v>0.75395528130288003</v>
      </c>
      <c r="C24" s="6"/>
      <c r="D24" s="6"/>
      <c r="E24" s="27"/>
      <c r="G24" t="s">
        <v>478</v>
      </c>
      <c r="H24" s="5">
        <f>-0.0008*2^4 + 0.0137*2^3 - 0.0983*2^2 + 0.3896*2 + 0.059</f>
        <v>0.54180000000000006</v>
      </c>
      <c r="N24" s="13"/>
      <c r="O24" s="44" t="s">
        <v>55</v>
      </c>
      <c r="P24" s="5">
        <v>233</v>
      </c>
      <c r="Q24" t="s">
        <v>58</v>
      </c>
      <c r="R24" s="44" t="s">
        <v>515</v>
      </c>
      <c r="S24" s="44"/>
      <c r="T24">
        <v>293</v>
      </c>
    </row>
    <row r="25" spans="1:20">
      <c r="A25" s="2">
        <v>4.6750175600116499</v>
      </c>
      <c r="B25" s="6">
        <v>0.77011993862175099</v>
      </c>
      <c r="C25" s="6"/>
      <c r="D25" s="6"/>
      <c r="E25" s="27"/>
      <c r="N25" s="13"/>
      <c r="O25" s="44"/>
      <c r="R25" s="13"/>
      <c r="S25" s="44"/>
    </row>
    <row r="26" spans="1:20" ht="31.5">
      <c r="A26" s="2">
        <v>4.9503141735427096</v>
      </c>
      <c r="B26" s="6">
        <v>0.78612465447033397</v>
      </c>
      <c r="C26" s="6"/>
      <c r="D26" s="6"/>
      <c r="E26" s="27"/>
      <c r="N26" s="13" t="s">
        <v>60</v>
      </c>
      <c r="O26" s="44" t="s">
        <v>56</v>
      </c>
      <c r="P26" s="47">
        <f>P22/0.15</f>
        <v>86.666666666666671</v>
      </c>
      <c r="Q26" s="47" t="s">
        <v>58</v>
      </c>
      <c r="R26" s="13"/>
      <c r="S26" s="44"/>
      <c r="T26" s="300" t="s">
        <v>61</v>
      </c>
    </row>
    <row r="27" spans="1:20" ht="31.5">
      <c r="A27" s="2">
        <v>5.2256002182541401</v>
      </c>
      <c r="B27" s="6">
        <v>0.80164954590804705</v>
      </c>
      <c r="C27" s="6"/>
      <c r="D27" s="6"/>
      <c r="E27" s="27"/>
      <c r="N27" s="13"/>
      <c r="O27" s="44" t="s">
        <v>57</v>
      </c>
      <c r="P27" s="47">
        <f>P23/0.26</f>
        <v>319.23076923076923</v>
      </c>
      <c r="Q27" s="47" t="s">
        <v>58</v>
      </c>
      <c r="R27" s="13"/>
      <c r="S27" s="44"/>
      <c r="T27" s="300"/>
    </row>
    <row r="28" spans="1:20">
      <c r="A28" s="2">
        <v>5.5009038776649497</v>
      </c>
      <c r="B28" s="6">
        <v>0.81797414469720797</v>
      </c>
      <c r="C28" s="6"/>
      <c r="D28" s="6"/>
      <c r="E28" s="27"/>
      <c r="N28" s="13"/>
      <c r="O28" s="44" t="s">
        <v>55</v>
      </c>
      <c r="P28" s="47">
        <f>P24/0.55</f>
        <v>423.63636363636363</v>
      </c>
      <c r="Q28" s="47" t="s">
        <v>58</v>
      </c>
      <c r="R28" s="13"/>
      <c r="S28" s="44"/>
      <c r="T28" s="300"/>
    </row>
    <row r="29" spans="1:20">
      <c r="A29" s="2">
        <v>5.7762040141358897</v>
      </c>
      <c r="B29" s="6">
        <v>0.83413880201608004</v>
      </c>
      <c r="C29" s="6"/>
      <c r="D29" s="6"/>
      <c r="E29" s="27"/>
    </row>
    <row r="30" spans="1:20">
      <c r="A30" s="2">
        <v>6.0515182423663196</v>
      </c>
      <c r="B30" s="6">
        <v>0.85094322521610999</v>
      </c>
      <c r="C30" s="6"/>
      <c r="D30" s="6"/>
      <c r="E30" s="27"/>
    </row>
    <row r="31" spans="1:20" ht="16.5" thickBot="1">
      <c r="A31" s="28">
        <v>6.2014862698719897</v>
      </c>
      <c r="B31" s="29">
        <v>0.85087628935850002</v>
      </c>
      <c r="C31" s="29"/>
      <c r="D31" s="29"/>
      <c r="E31" s="30"/>
    </row>
    <row r="32" spans="1:20" ht="16.5" thickBot="1"/>
    <row r="33" spans="1:12">
      <c r="A33" s="307" t="s">
        <v>17</v>
      </c>
      <c r="B33" s="308"/>
      <c r="C33" s="308"/>
      <c r="D33" s="308"/>
      <c r="E33" s="308"/>
      <c r="F33" s="304" t="s">
        <v>25</v>
      </c>
      <c r="G33" s="311"/>
      <c r="H33" s="311"/>
      <c r="I33" s="311" t="s">
        <v>129</v>
      </c>
      <c r="J33" s="311"/>
      <c r="K33" s="305"/>
      <c r="L33" s="74" t="s">
        <v>128</v>
      </c>
    </row>
    <row r="34" spans="1:12" ht="31.5">
      <c r="A34" s="41" t="s">
        <v>18</v>
      </c>
      <c r="B34" s="40" t="s">
        <v>23</v>
      </c>
      <c r="C34" s="40"/>
      <c r="D34" s="39"/>
      <c r="E34" s="39"/>
      <c r="F34" s="33" t="s">
        <v>15</v>
      </c>
      <c r="G34" s="20" t="s">
        <v>16</v>
      </c>
      <c r="H34" s="20" t="s">
        <v>24</v>
      </c>
      <c r="I34" s="20" t="s">
        <v>15</v>
      </c>
      <c r="J34" s="20" t="s">
        <v>16</v>
      </c>
      <c r="K34" s="34" t="s">
        <v>24</v>
      </c>
      <c r="L34" s="74"/>
    </row>
    <row r="35" spans="1:12" ht="16.5" thickBot="1">
      <c r="A35" s="2"/>
      <c r="B35" s="6"/>
      <c r="C35" s="6"/>
      <c r="D35" s="6"/>
      <c r="E35" s="6"/>
      <c r="F35" s="42">
        <v>6.9999999999999994E-5</v>
      </c>
      <c r="G35" s="37">
        <v>8.0999999999999996E-3</v>
      </c>
      <c r="H35" s="37">
        <v>0.20119999999999999</v>
      </c>
      <c r="I35" s="43">
        <v>-5.0000000000000002E-5</v>
      </c>
      <c r="J35" s="37">
        <v>1.32E-2</v>
      </c>
      <c r="K35" s="36">
        <v>0.39739999999999998</v>
      </c>
      <c r="L35" s="74"/>
    </row>
    <row r="36" spans="1:12">
      <c r="A36" s="2">
        <v>24.948943221008399</v>
      </c>
      <c r="B36" s="6">
        <v>-5.9225363107186998E-3</v>
      </c>
      <c r="C36" s="6"/>
      <c r="D36" s="6"/>
      <c r="E36" s="27"/>
    </row>
    <row r="37" spans="1:12">
      <c r="A37" s="2">
        <v>31.739494826888599</v>
      </c>
      <c r="B37" s="6">
        <v>3.3800340035288201E-3</v>
      </c>
      <c r="C37" s="6"/>
      <c r="D37" s="6"/>
      <c r="E37" s="27"/>
    </row>
    <row r="38" spans="1:12">
      <c r="A38" s="2">
        <v>38.7862936631794</v>
      </c>
      <c r="B38" s="6">
        <v>4.6159647167529601E-3</v>
      </c>
      <c r="C38" s="6"/>
      <c r="D38" s="6"/>
      <c r="E38" s="27"/>
    </row>
    <row r="39" spans="1:12">
      <c r="A39" s="2">
        <v>45.833092499470098</v>
      </c>
      <c r="B39" s="6">
        <v>9.3000413950636799E-3</v>
      </c>
      <c r="C39" s="6"/>
      <c r="D39" s="6"/>
      <c r="E39" s="27"/>
    </row>
    <row r="40" spans="1:12">
      <c r="A40" s="2">
        <v>52.879891335760902</v>
      </c>
      <c r="B40" s="6">
        <v>8.9445201244018301E-3</v>
      </c>
      <c r="C40" s="6"/>
      <c r="D40" s="6"/>
      <c r="E40" s="27"/>
    </row>
    <row r="41" spans="1:12">
      <c r="A41" s="2">
        <v>59.9266901720517</v>
      </c>
      <c r="B41" s="6">
        <v>1.23023868161407E-2</v>
      </c>
      <c r="C41" s="6"/>
      <c r="D41" s="6"/>
      <c r="E41" s="27"/>
    </row>
    <row r="42" spans="1:12">
      <c r="A42" s="2">
        <v>66.375578804051102</v>
      </c>
      <c r="B42" s="6">
        <v>1.1247213612197399E-2</v>
      </c>
      <c r="C42" s="6"/>
      <c r="D42" s="6"/>
      <c r="E42" s="27"/>
    </row>
    <row r="43" spans="1:12">
      <c r="A43" s="2">
        <v>74.020287844633202</v>
      </c>
      <c r="B43" s="6">
        <v>2.14052981754475E-2</v>
      </c>
      <c r="C43" s="6"/>
      <c r="D43" s="6"/>
      <c r="E43" s="27"/>
    </row>
    <row r="44" spans="1:12">
      <c r="A44" s="2">
        <v>81.067086680924007</v>
      </c>
      <c r="B44" s="6">
        <v>2.9537520818844601E-2</v>
      </c>
      <c r="C44" s="6"/>
      <c r="D44" s="6"/>
      <c r="E44" s="27"/>
    </row>
    <row r="45" spans="1:12">
      <c r="A45" s="2">
        <v>88.113885517214797</v>
      </c>
      <c r="B45" s="6">
        <v>4.0587405432699501E-2</v>
      </c>
      <c r="C45" s="6"/>
      <c r="D45" s="6"/>
      <c r="E45" s="27"/>
    </row>
    <row r="46" spans="1:12">
      <c r="A46" s="2">
        <v>94.904437123094993</v>
      </c>
      <c r="B46" s="6">
        <v>5.4421880865504299E-2</v>
      </c>
      <c r="C46" s="6"/>
      <c r="D46" s="6"/>
      <c r="E46" s="27"/>
    </row>
    <row r="47" spans="1:12">
      <c r="A47" s="2">
        <v>102.20748318979599</v>
      </c>
      <c r="B47" s="6">
        <v>9.7539973107513694E-2</v>
      </c>
      <c r="C47" s="6"/>
      <c r="D47" s="6"/>
      <c r="E47" s="27"/>
    </row>
    <row r="48" spans="1:12">
      <c r="A48" s="2">
        <v>109.254282026087</v>
      </c>
      <c r="B48" s="6">
        <v>0.13585673504528201</v>
      </c>
      <c r="C48" s="6"/>
      <c r="D48" s="6"/>
      <c r="E48" s="27"/>
    </row>
    <row r="49" spans="1:5">
      <c r="A49" s="2">
        <v>116.30108086237701</v>
      </c>
      <c r="B49" s="6">
        <v>0.18457098327777399</v>
      </c>
      <c r="C49" s="6"/>
      <c r="D49" s="6"/>
      <c r="E49" s="27"/>
    </row>
    <row r="50" spans="1:5">
      <c r="A50" s="2">
        <v>123.080955500324</v>
      </c>
      <c r="B50" s="6">
        <v>0.236781372536012</v>
      </c>
      <c r="C50" s="6"/>
      <c r="D50" s="6"/>
      <c r="E50" s="27"/>
    </row>
    <row r="51" spans="1:5">
      <c r="A51" s="2">
        <v>127.298357834165</v>
      </c>
      <c r="B51" s="6">
        <v>0.28214966540719999</v>
      </c>
      <c r="C51" s="6"/>
      <c r="D51" s="6"/>
      <c r="E51" s="27"/>
    </row>
    <row r="52" spans="1:5">
      <c r="A52" s="2">
        <v>131.996223725025</v>
      </c>
      <c r="B52" s="6">
        <v>0.36344362050123202</v>
      </c>
      <c r="C52" s="6"/>
      <c r="D52" s="6"/>
      <c r="E52" s="27"/>
    </row>
    <row r="53" spans="1:5">
      <c r="A53" s="2">
        <v>136.16024121919699</v>
      </c>
      <c r="B53" s="6">
        <v>0.42605053788057801</v>
      </c>
      <c r="C53" s="6"/>
      <c r="D53" s="6"/>
      <c r="E53" s="27"/>
    </row>
    <row r="54" spans="1:5">
      <c r="A54" s="2">
        <v>139.28325433982599</v>
      </c>
      <c r="B54" s="6">
        <v>0.48926561293795101</v>
      </c>
      <c r="C54" s="6"/>
      <c r="D54" s="6"/>
      <c r="E54" s="27"/>
    </row>
    <row r="55" spans="1:5">
      <c r="A55" s="2">
        <v>143.84765813151401</v>
      </c>
      <c r="B55" s="6">
        <v>0.55011940868618603</v>
      </c>
      <c r="C55" s="6"/>
      <c r="D55" s="6"/>
      <c r="E55" s="27"/>
    </row>
    <row r="56" spans="1:5">
      <c r="A56" s="2">
        <v>147.37105754965901</v>
      </c>
      <c r="B56" s="6">
        <v>0.61513813099072001</v>
      </c>
      <c r="C56" s="6"/>
      <c r="D56" s="6"/>
      <c r="E56" s="27"/>
    </row>
    <row r="57" spans="1:5">
      <c r="A57" s="2">
        <v>152.58335916823799</v>
      </c>
      <c r="B57" s="6">
        <v>0.68834445593091798</v>
      </c>
      <c r="C57" s="6"/>
      <c r="D57" s="6"/>
      <c r="E57" s="27"/>
    </row>
    <row r="58" spans="1:5">
      <c r="A58" s="2">
        <v>156.44648029336699</v>
      </c>
      <c r="B58" s="6">
        <v>0.72978323306759596</v>
      </c>
      <c r="C58" s="6"/>
      <c r="D58" s="6"/>
      <c r="E58" s="27"/>
    </row>
    <row r="59" spans="1:5">
      <c r="A59" s="2">
        <v>161.46465522224099</v>
      </c>
      <c r="B59" s="6">
        <v>0.80997201450515699</v>
      </c>
      <c r="C59" s="6"/>
      <c r="D59" s="6"/>
      <c r="E59" s="27"/>
    </row>
    <row r="60" spans="1:5">
      <c r="A60" s="2">
        <v>166.98998612796899</v>
      </c>
      <c r="B60" s="6">
        <v>0.877476362627713</v>
      </c>
      <c r="C60" s="6"/>
      <c r="D60" s="6"/>
      <c r="E60" s="27"/>
    </row>
    <row r="61" spans="1:5">
      <c r="A61" s="2">
        <v>173.31608962873</v>
      </c>
      <c r="B61" s="6">
        <v>0.94025766982536596</v>
      </c>
      <c r="C61" s="6"/>
      <c r="D61" s="6"/>
      <c r="E61" s="27"/>
    </row>
    <row r="62" spans="1:5">
      <c r="A62" s="2">
        <v>180.362888465021</v>
      </c>
      <c r="B62" s="6">
        <v>0.99003288604711404</v>
      </c>
      <c r="C62" s="6"/>
      <c r="D62" s="6"/>
      <c r="E62" s="27"/>
    </row>
    <row r="63" spans="1:5">
      <c r="A63" s="2">
        <v>186.81177709702001</v>
      </c>
      <c r="B63" s="6">
        <v>0.99237281040879499</v>
      </c>
      <c r="C63" s="6"/>
      <c r="D63" s="6"/>
      <c r="E63" s="27"/>
    </row>
    <row r="64" spans="1:5">
      <c r="A64" s="2">
        <v>194.45648613760201</v>
      </c>
      <c r="B64" s="6">
        <v>0.96854455371616699</v>
      </c>
      <c r="C64" s="6"/>
      <c r="D64" s="6"/>
      <c r="E64" s="27"/>
    </row>
    <row r="65" spans="1:9">
      <c r="A65" s="2">
        <v>201.18297593587999</v>
      </c>
      <c r="B65" s="6">
        <v>0.904756091691159</v>
      </c>
      <c r="C65" s="6"/>
      <c r="D65" s="6"/>
      <c r="E65" s="27"/>
    </row>
    <row r="66" spans="1:9">
      <c r="A66" s="2">
        <v>207.26884765813099</v>
      </c>
      <c r="B66" s="6">
        <v>0.84454186817004595</v>
      </c>
      <c r="C66" s="6"/>
      <c r="D66" s="6"/>
      <c r="E66" s="27"/>
    </row>
    <row r="67" spans="1:9">
      <c r="A67" s="2">
        <v>213.67502841839499</v>
      </c>
      <c r="B67" s="6">
        <v>0.77697044345338395</v>
      </c>
      <c r="C67" s="6"/>
      <c r="D67" s="6"/>
      <c r="E67" s="27"/>
    </row>
    <row r="68" spans="1:9">
      <c r="A68" s="2">
        <v>216.87811879852799</v>
      </c>
      <c r="B68" s="6">
        <v>0.74151606421861505</v>
      </c>
      <c r="C68" s="6"/>
      <c r="D68" s="6"/>
      <c r="E68" s="27"/>
    </row>
    <row r="69" spans="1:9">
      <c r="A69" s="2">
        <v>223.924917634818</v>
      </c>
      <c r="B69" s="6">
        <v>0.69717811495328896</v>
      </c>
      <c r="C69" s="6"/>
      <c r="D69" s="6"/>
      <c r="E69" s="27"/>
    </row>
    <row r="70" spans="1:9">
      <c r="A70" s="2">
        <v>230.971716471109</v>
      </c>
      <c r="B70" s="6">
        <v>0.64165225824124394</v>
      </c>
      <c r="C70" s="6"/>
      <c r="D70" s="6"/>
      <c r="E70" s="27"/>
    </row>
    <row r="71" spans="1:9">
      <c r="A71" s="2">
        <v>238.01851530740001</v>
      </c>
      <c r="B71" s="6">
        <v>0.58426970754799901</v>
      </c>
      <c r="C71" s="6"/>
      <c r="D71" s="6"/>
      <c r="E71" s="27"/>
    </row>
    <row r="72" spans="1:9">
      <c r="A72" s="2">
        <v>244.38198819592901</v>
      </c>
      <c r="B72" s="6">
        <v>0.52374925698039299</v>
      </c>
      <c r="C72" s="6"/>
      <c r="D72" s="6"/>
      <c r="E72" s="27"/>
    </row>
    <row r="73" spans="1:9" ht="16.5" thickBot="1">
      <c r="A73" s="28">
        <v>248.90902259984901</v>
      </c>
      <c r="B73" s="29">
        <v>0.52809044526872995</v>
      </c>
      <c r="C73" s="29"/>
      <c r="D73" s="29"/>
      <c r="E73" s="30"/>
    </row>
    <row r="78" spans="1:9" ht="16.5" thickBot="1"/>
    <row r="79" spans="1:9">
      <c r="A79" s="309" t="s">
        <v>17</v>
      </c>
      <c r="B79" s="292"/>
      <c r="C79" s="292"/>
      <c r="D79" s="292"/>
      <c r="E79" s="310"/>
      <c r="F79" s="304" t="s">
        <v>19</v>
      </c>
      <c r="G79" s="311"/>
      <c r="H79" s="311" t="s">
        <v>20</v>
      </c>
      <c r="I79" s="305"/>
    </row>
    <row r="80" spans="1:9" ht="47.25">
      <c r="A80" s="25" t="s">
        <v>18</v>
      </c>
      <c r="B80" s="38" t="s">
        <v>21</v>
      </c>
      <c r="C80" s="38" t="s">
        <v>22</v>
      </c>
      <c r="D80" s="26"/>
      <c r="E80" s="21"/>
      <c r="F80" s="33" t="s">
        <v>15</v>
      </c>
      <c r="G80" s="20" t="s">
        <v>16</v>
      </c>
      <c r="H80" s="20" t="s">
        <v>15</v>
      </c>
      <c r="I80" s="34" t="s">
        <v>16</v>
      </c>
    </row>
    <row r="81" spans="1:9" ht="16.5" thickBot="1">
      <c r="A81" s="2"/>
      <c r="B81" s="6"/>
      <c r="C81" s="6"/>
      <c r="D81" s="6"/>
      <c r="E81" s="6"/>
      <c r="F81" s="35">
        <f t="array" ref="F81:G81">LINEST(B82:B95,A82:A95,,TRUE)</f>
        <v>1.2966186238686742E-2</v>
      </c>
      <c r="G81" s="37">
        <v>-0.24228496626000784</v>
      </c>
      <c r="H81" s="37">
        <f t="array" ref="H81:I81">LINEST(B95:B115,A95:A115,,TRUE)</f>
        <v>-3.7609114488706009E-4</v>
      </c>
      <c r="I81" s="36">
        <v>1.0460583227977374</v>
      </c>
    </row>
    <row r="82" spans="1:9">
      <c r="A82" s="2">
        <v>27.895786370730001</v>
      </c>
      <c r="B82" s="6">
        <f>IF(C82&lt;1, C82,1)</f>
        <v>0.140692010853708</v>
      </c>
      <c r="C82" s="6">
        <v>0.140692010853708</v>
      </c>
      <c r="D82" s="6"/>
      <c r="E82" s="27"/>
    </row>
    <row r="83" spans="1:9">
      <c r="A83" s="2">
        <v>33.020730978941401</v>
      </c>
      <c r="B83" s="6">
        <f t="shared" ref="B83:B115" si="0">IF(C83&lt;1, C83,1)</f>
        <v>0.18120285291451399</v>
      </c>
      <c r="C83" s="6">
        <v>0.18120285291451399</v>
      </c>
      <c r="D83" s="6"/>
      <c r="E83" s="27"/>
    </row>
    <row r="84" spans="1:9">
      <c r="A84" s="2">
        <v>38.145675587152901</v>
      </c>
      <c r="B84" s="6">
        <f t="shared" si="0"/>
        <v>0.26447291529236999</v>
      </c>
      <c r="C84" s="6">
        <v>0.26447291529236999</v>
      </c>
      <c r="D84" s="6"/>
      <c r="E84" s="27"/>
    </row>
    <row r="85" spans="1:9">
      <c r="A85" s="2">
        <v>43.270620195364401</v>
      </c>
      <c r="B85" s="6">
        <f t="shared" si="0"/>
        <v>0.32012070764633899</v>
      </c>
      <c r="C85" s="6">
        <v>0.32012070764633899</v>
      </c>
      <c r="D85" s="6"/>
      <c r="E85" s="27"/>
    </row>
    <row r="86" spans="1:9">
      <c r="A86" s="2">
        <v>49.1887109929419</v>
      </c>
      <c r="B86" s="6">
        <f t="shared" si="0"/>
        <v>0.38984647792559601</v>
      </c>
      <c r="C86" s="6">
        <v>0.38984647792559601</v>
      </c>
      <c r="D86" s="6"/>
      <c r="E86" s="27"/>
    </row>
    <row r="87" spans="1:9">
      <c r="A87" s="2">
        <v>54.1611274878138</v>
      </c>
      <c r="B87" s="6">
        <f t="shared" si="0"/>
        <v>0.42700843614453798</v>
      </c>
      <c r="C87" s="6">
        <v>0.42700843614453798</v>
      </c>
      <c r="D87" s="6"/>
      <c r="E87" s="27"/>
    </row>
    <row r="88" spans="1:9">
      <c r="A88" s="2">
        <v>58.965763058012001</v>
      </c>
      <c r="B88" s="6">
        <f t="shared" si="0"/>
        <v>0.51393373189709202</v>
      </c>
      <c r="C88" s="6">
        <v>0.51393373189709202</v>
      </c>
      <c r="D88" s="6"/>
      <c r="E88" s="27"/>
    </row>
    <row r="89" spans="1:9">
      <c r="A89" s="2">
        <v>63.770398628210302</v>
      </c>
      <c r="B89" s="6">
        <f t="shared" si="0"/>
        <v>0.57952999240370495</v>
      </c>
      <c r="C89" s="6">
        <v>0.57952999240370495</v>
      </c>
      <c r="D89" s="6"/>
      <c r="E89" s="27"/>
    </row>
    <row r="90" spans="1:9">
      <c r="A90" s="2">
        <v>68.254725160395296</v>
      </c>
      <c r="B90" s="6">
        <f t="shared" si="0"/>
        <v>0.64074344333664202</v>
      </c>
      <c r="C90" s="6">
        <v>0.64074344333664202</v>
      </c>
      <c r="D90" s="6"/>
      <c r="E90" s="27"/>
    </row>
    <row r="91" spans="1:9">
      <c r="A91" s="2">
        <v>74.020287844633202</v>
      </c>
      <c r="B91" s="6">
        <f t="shared" si="0"/>
        <v>0.71854083971673099</v>
      </c>
      <c r="C91" s="6">
        <v>0.71854083971673099</v>
      </c>
      <c r="D91" s="6"/>
      <c r="E91" s="27"/>
    </row>
    <row r="92" spans="1:9">
      <c r="A92" s="2">
        <v>78.870681848833399</v>
      </c>
      <c r="B92" s="6">
        <f t="shared" si="0"/>
        <v>0.76606690292725699</v>
      </c>
      <c r="C92" s="6">
        <v>0.76606690292725699</v>
      </c>
      <c r="D92" s="6"/>
      <c r="E92" s="27"/>
    </row>
    <row r="93" spans="1:9">
      <c r="A93" s="2">
        <v>82.668631870990097</v>
      </c>
      <c r="B93" s="6">
        <f t="shared" si="0"/>
        <v>0.850838847486033</v>
      </c>
      <c r="C93" s="6">
        <v>0.850838847486033</v>
      </c>
      <c r="D93" s="6"/>
      <c r="E93" s="27"/>
    </row>
    <row r="94" spans="1:9">
      <c r="A94" s="2">
        <v>87.473267441188398</v>
      </c>
      <c r="B94" s="6">
        <f t="shared" si="0"/>
        <v>0.914155395127634</v>
      </c>
      <c r="C94" s="6">
        <v>0.914155395127634</v>
      </c>
      <c r="D94" s="6"/>
      <c r="E94" s="27"/>
    </row>
    <row r="95" spans="1:9">
      <c r="A95" s="2">
        <v>94.428549409475295</v>
      </c>
      <c r="B95" s="6">
        <f t="shared" si="0"/>
        <v>0.97573084249753295</v>
      </c>
      <c r="C95" s="6">
        <v>0.97573084249753295</v>
      </c>
      <c r="D95" s="6"/>
      <c r="E95" s="27"/>
    </row>
    <row r="96" spans="1:9">
      <c r="A96" s="2">
        <v>100.637968903531</v>
      </c>
      <c r="B96" s="6">
        <f t="shared" si="0"/>
        <v>0.99109405921653804</v>
      </c>
      <c r="C96" s="6">
        <v>0.99109405921653804</v>
      </c>
      <c r="D96" s="6"/>
      <c r="E96" s="27"/>
    </row>
    <row r="97" spans="1:5">
      <c r="A97" s="2">
        <v>107.973045874034</v>
      </c>
      <c r="B97" s="6">
        <f t="shared" si="0"/>
        <v>1</v>
      </c>
      <c r="C97" s="6">
        <v>1.0172192581347099</v>
      </c>
      <c r="D97" s="6"/>
      <c r="E97" s="27"/>
    </row>
    <row r="98" spans="1:5">
      <c r="A98" s="2">
        <v>115.019844710325</v>
      </c>
      <c r="B98" s="6">
        <f t="shared" si="0"/>
        <v>1</v>
      </c>
      <c r="C98" s="6">
        <v>1.02110760882108</v>
      </c>
      <c r="D98" s="6"/>
      <c r="E98" s="27"/>
    </row>
    <row r="99" spans="1:5">
      <c r="A99" s="2">
        <v>122.066643546615</v>
      </c>
      <c r="B99" s="6">
        <f t="shared" si="0"/>
        <v>1</v>
      </c>
      <c r="C99" s="6">
        <v>1.0210173295477301</v>
      </c>
      <c r="D99" s="6"/>
      <c r="E99" s="27"/>
    </row>
    <row r="100" spans="1:5">
      <c r="A100" s="2">
        <v>129.11344238290599</v>
      </c>
      <c r="B100" s="6">
        <f t="shared" si="0"/>
        <v>1</v>
      </c>
      <c r="C100" s="6">
        <v>1.0164179363200401</v>
      </c>
      <c r="D100" s="6"/>
      <c r="E100" s="27"/>
    </row>
    <row r="101" spans="1:5">
      <c r="A101" s="2">
        <v>136.16024121919699</v>
      </c>
      <c r="B101" s="6">
        <f t="shared" si="0"/>
        <v>1</v>
      </c>
      <c r="C101" s="6">
        <v>1.01208378508966</v>
      </c>
      <c r="D101" s="6"/>
      <c r="E101" s="27"/>
    </row>
    <row r="102" spans="1:5">
      <c r="A102" s="2">
        <v>143.20704005548799</v>
      </c>
      <c r="B102" s="6">
        <f t="shared" si="0"/>
        <v>1</v>
      </c>
      <c r="C102" s="6">
        <v>1.00907584384586</v>
      </c>
      <c r="D102" s="6"/>
      <c r="E102" s="27"/>
    </row>
    <row r="103" spans="1:5">
      <c r="A103" s="2">
        <v>149.38442864574299</v>
      </c>
      <c r="B103" s="6">
        <f t="shared" si="0"/>
        <v>1</v>
      </c>
      <c r="C103" s="6">
        <v>1.0010773347188899</v>
      </c>
      <c r="D103" s="6"/>
      <c r="E103" s="27"/>
    </row>
    <row r="104" spans="1:5">
      <c r="A104" s="2">
        <v>163.70681848833399</v>
      </c>
      <c r="B104" s="6">
        <f t="shared" si="0"/>
        <v>1</v>
      </c>
      <c r="C104" s="6">
        <v>1.0029778892915699</v>
      </c>
      <c r="D104" s="6"/>
      <c r="E104" s="27"/>
    </row>
    <row r="105" spans="1:5">
      <c r="A105" s="2">
        <v>170.753617324624</v>
      </c>
      <c r="B105" s="6">
        <f t="shared" si="0"/>
        <v>1</v>
      </c>
      <c r="C105" s="6">
        <v>1.00288761001822</v>
      </c>
      <c r="D105" s="6"/>
      <c r="E105" s="27"/>
    </row>
    <row r="106" spans="1:5">
      <c r="A106" s="2">
        <v>177.15979808488899</v>
      </c>
      <c r="B106" s="6">
        <f t="shared" si="0"/>
        <v>1</v>
      </c>
      <c r="C106" s="6">
        <v>1.0021571686247699</v>
      </c>
      <c r="D106" s="6"/>
      <c r="E106" s="27"/>
    </row>
    <row r="107" spans="1:5">
      <c r="A107" s="2">
        <v>195.005587345625</v>
      </c>
      <c r="B107" s="6">
        <f t="shared" si="0"/>
        <v>0.98819700319710801</v>
      </c>
      <c r="C107" s="6">
        <v>0.98819700319710801</v>
      </c>
      <c r="D107" s="6"/>
      <c r="E107" s="27"/>
    </row>
    <row r="108" spans="1:5">
      <c r="A108" s="2">
        <v>201.50328497389299</v>
      </c>
      <c r="B108" s="6">
        <f t="shared" si="0"/>
        <v>0.98047857832106999</v>
      </c>
      <c r="C108" s="6">
        <v>0.98047857832106999</v>
      </c>
      <c r="D108" s="6"/>
      <c r="E108" s="27"/>
    </row>
    <row r="109" spans="1:5">
      <c r="A109" s="2">
        <v>208.55008381018399</v>
      </c>
      <c r="B109" s="6">
        <f t="shared" si="0"/>
        <v>0.98197975103160795</v>
      </c>
      <c r="C109" s="6">
        <v>0.98197975103160795</v>
      </c>
      <c r="D109" s="6"/>
      <c r="E109" s="27"/>
    </row>
    <row r="110" spans="1:5">
      <c r="A110" s="2">
        <v>215.596882646475</v>
      </c>
      <c r="B110" s="6">
        <f t="shared" si="0"/>
        <v>0.97525842182540201</v>
      </c>
      <c r="C110" s="6">
        <v>0.97525842182540201</v>
      </c>
      <c r="D110" s="6"/>
      <c r="E110" s="27"/>
    </row>
    <row r="111" spans="1:5">
      <c r="A111" s="2">
        <v>222.643681482765</v>
      </c>
      <c r="B111" s="6">
        <f t="shared" si="0"/>
        <v>0.967210882632625</v>
      </c>
      <c r="C111" s="6">
        <v>0.967210882632625</v>
      </c>
      <c r="D111" s="6"/>
      <c r="E111" s="27"/>
    </row>
    <row r="112" spans="1:5">
      <c r="A112" s="2">
        <v>229.69048031905601</v>
      </c>
      <c r="B112" s="6">
        <f t="shared" si="0"/>
        <v>0.95730664945864696</v>
      </c>
      <c r="C112" s="6">
        <v>0.95730664945864696</v>
      </c>
      <c r="D112" s="6"/>
      <c r="E112" s="27"/>
    </row>
    <row r="113" spans="1:5">
      <c r="A113" s="2">
        <v>236.73727915534701</v>
      </c>
      <c r="B113" s="6">
        <f t="shared" si="0"/>
        <v>0.94660669029272504</v>
      </c>
      <c r="C113" s="6">
        <v>0.94660669029272504</v>
      </c>
      <c r="D113" s="6"/>
      <c r="E113" s="27"/>
    </row>
    <row r="114" spans="1:5">
      <c r="A114" s="2">
        <v>244.33317919966001</v>
      </c>
      <c r="B114" s="6">
        <f t="shared" si="0"/>
        <v>0.92858659559513601</v>
      </c>
      <c r="C114" s="6">
        <v>0.92858659559513601</v>
      </c>
      <c r="D114" s="6"/>
      <c r="E114" s="27"/>
    </row>
    <row r="115" spans="1:5" ht="16.5" thickBot="1">
      <c r="A115" s="28">
        <v>250.83087682792899</v>
      </c>
      <c r="B115" s="29">
        <f t="shared" si="0"/>
        <v>0.91539281806025197</v>
      </c>
      <c r="C115" s="29">
        <v>0.91539281806025197</v>
      </c>
      <c r="D115" s="29"/>
      <c r="E115" s="30"/>
    </row>
  </sheetData>
  <mergeCells count="13">
    <mergeCell ref="A33:E33"/>
    <mergeCell ref="A79:E79"/>
    <mergeCell ref="F79:G79"/>
    <mergeCell ref="H79:I79"/>
    <mergeCell ref="F33:H33"/>
    <mergeCell ref="I33:K33"/>
    <mergeCell ref="N1:Q1"/>
    <mergeCell ref="N9:Q9"/>
    <mergeCell ref="T26:T28"/>
    <mergeCell ref="A1:E1"/>
    <mergeCell ref="F1:G1"/>
    <mergeCell ref="G20:H20"/>
    <mergeCell ref="R9:U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theme="9" tint="0.79998168889431442"/>
  </sheetPr>
  <dimension ref="A1:J17"/>
  <sheetViews>
    <sheetView workbookViewId="0">
      <selection activeCell="E30" sqref="E30"/>
    </sheetView>
  </sheetViews>
  <sheetFormatPr baseColWidth="10" defaultRowHeight="15.75"/>
  <cols>
    <col min="1" max="1" width="14.875" customWidth="1"/>
    <col min="4" max="4" width="28.625" customWidth="1"/>
  </cols>
  <sheetData>
    <row r="1" spans="1:10">
      <c r="A1" s="296" t="s">
        <v>32</v>
      </c>
      <c r="B1" s="296"/>
      <c r="C1" s="296"/>
      <c r="D1" s="296"/>
    </row>
    <row r="2" spans="1:10" ht="31.5">
      <c r="A2" s="13"/>
      <c r="B2" s="13" t="s">
        <v>64</v>
      </c>
      <c r="C2" s="13" t="s">
        <v>65</v>
      </c>
      <c r="D2" s="13" t="s">
        <v>66</v>
      </c>
      <c r="E2" s="13" t="s">
        <v>67</v>
      </c>
      <c r="F2" s="44" t="s">
        <v>62</v>
      </c>
      <c r="G2" s="44" t="s">
        <v>68</v>
      </c>
      <c r="H2" s="44" t="s">
        <v>69</v>
      </c>
      <c r="I2" s="44" t="s">
        <v>70</v>
      </c>
      <c r="J2" s="44" t="s">
        <v>71</v>
      </c>
    </row>
    <row r="3" spans="1:10">
      <c r="A3" s="13" t="s">
        <v>26</v>
      </c>
      <c r="B3">
        <v>150</v>
      </c>
      <c r="C3">
        <v>600</v>
      </c>
      <c r="D3">
        <v>100</v>
      </c>
      <c r="E3">
        <v>150</v>
      </c>
      <c r="F3" s="49" t="s">
        <v>63</v>
      </c>
      <c r="G3">
        <v>2.5</v>
      </c>
      <c r="H3">
        <v>3.6</v>
      </c>
      <c r="I3">
        <v>6</v>
      </c>
      <c r="J3">
        <v>24</v>
      </c>
    </row>
    <row r="4" spans="1:10">
      <c r="A4" s="13"/>
    </row>
    <row r="5" spans="1:10">
      <c r="A5" s="13"/>
    </row>
    <row r="6" spans="1:10">
      <c r="A6" s="312" t="s">
        <v>508</v>
      </c>
      <c r="B6" s="312"/>
      <c r="C6" s="312"/>
      <c r="D6" s="312"/>
    </row>
    <row r="7" spans="1:10">
      <c r="A7" s="13" t="s">
        <v>575</v>
      </c>
      <c r="B7" s="16">
        <f>1/4.6</f>
        <v>0.21739130434782611</v>
      </c>
      <c r="C7" t="s">
        <v>510</v>
      </c>
      <c r="D7" t="s">
        <v>574</v>
      </c>
    </row>
    <row r="8" spans="1:10">
      <c r="A8" s="13" t="s">
        <v>576</v>
      </c>
      <c r="B8" s="16">
        <f>10/4.6</f>
        <v>2.1739130434782612</v>
      </c>
      <c r="C8" t="s">
        <v>510</v>
      </c>
      <c r="D8" t="s">
        <v>574</v>
      </c>
    </row>
    <row r="9" spans="1:10">
      <c r="A9" s="13" t="s">
        <v>577</v>
      </c>
      <c r="B9" s="16">
        <f>8/4.6</f>
        <v>1.7391304347826089</v>
      </c>
      <c r="C9" t="s">
        <v>511</v>
      </c>
      <c r="D9" s="172" t="s">
        <v>574</v>
      </c>
    </row>
    <row r="10" spans="1:10">
      <c r="A10" s="13" t="s">
        <v>578</v>
      </c>
      <c r="B10" s="16">
        <f>1/4.6</f>
        <v>0.21739130434782611</v>
      </c>
      <c r="C10" t="s">
        <v>511</v>
      </c>
      <c r="D10" s="172" t="s">
        <v>574</v>
      </c>
    </row>
    <row r="11" spans="1:10">
      <c r="A11" s="13" t="s">
        <v>579</v>
      </c>
      <c r="B11" s="16"/>
      <c r="C11" s="172" t="s">
        <v>511</v>
      </c>
      <c r="D11" s="172" t="s">
        <v>574</v>
      </c>
    </row>
    <row r="12" spans="1:10">
      <c r="A12" s="13" t="s">
        <v>509</v>
      </c>
      <c r="B12" s="16">
        <f>53/4.1</f>
        <v>12.926829268292684</v>
      </c>
      <c r="C12" s="172" t="s">
        <v>511</v>
      </c>
      <c r="D12" s="172" t="s">
        <v>574</v>
      </c>
    </row>
    <row r="13" spans="1:10">
      <c r="A13" s="13"/>
      <c r="B13" s="16"/>
      <c r="C13" s="172"/>
      <c r="D13" s="172"/>
    </row>
    <row r="14" spans="1:10">
      <c r="A14" s="44"/>
    </row>
    <row r="15" spans="1:10">
      <c r="A15" s="13"/>
      <c r="B15" s="16">
        <f>SUM(B7:B13)</f>
        <v>17.274655355249205</v>
      </c>
      <c r="C15" t="s">
        <v>510</v>
      </c>
    </row>
    <row r="16" spans="1:10">
      <c r="A16" s="13"/>
    </row>
    <row r="17" spans="1:1">
      <c r="A17" s="44"/>
    </row>
  </sheetData>
  <mergeCells count="2">
    <mergeCell ref="A1:D1"/>
    <mergeCell ref="A6:D6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tabColor theme="9" tint="0.79998168889431442"/>
  </sheetPr>
  <dimension ref="A1:H103"/>
  <sheetViews>
    <sheetView workbookViewId="0">
      <selection activeCell="E30" sqref="E30"/>
    </sheetView>
  </sheetViews>
  <sheetFormatPr baseColWidth="10" defaultRowHeight="15.75"/>
  <cols>
    <col min="4" max="4" width="57.625" customWidth="1"/>
    <col min="5" max="5" width="8.875" customWidth="1"/>
  </cols>
  <sheetData>
    <row r="1" spans="1:5" ht="47.25">
      <c r="A1" s="55" t="s">
        <v>86</v>
      </c>
      <c r="B1" s="56" t="s">
        <v>87</v>
      </c>
      <c r="C1" s="56"/>
      <c r="D1" s="57" t="s">
        <v>4</v>
      </c>
      <c r="E1" s="39"/>
    </row>
    <row r="2" spans="1:5" ht="15.75" customHeight="1">
      <c r="A2" s="2">
        <v>1963</v>
      </c>
      <c r="B2" s="6">
        <v>102.4</v>
      </c>
      <c r="C2" s="6"/>
      <c r="D2" s="313" t="s">
        <v>121</v>
      </c>
      <c r="E2" s="70"/>
    </row>
    <row r="3" spans="1:5">
      <c r="A3" s="2">
        <f>A2+1</f>
        <v>1964</v>
      </c>
      <c r="B3" s="6">
        <v>103.3</v>
      </c>
      <c r="C3" s="6"/>
      <c r="D3" s="313"/>
      <c r="E3" s="70"/>
    </row>
    <row r="4" spans="1:5">
      <c r="A4" s="2">
        <f t="shared" ref="A4:A57" si="0">A3+1</f>
        <v>1965</v>
      </c>
      <c r="B4" s="6">
        <v>104.2</v>
      </c>
      <c r="C4" s="6"/>
      <c r="D4" s="313"/>
      <c r="E4" s="70"/>
    </row>
    <row r="5" spans="1:5">
      <c r="A5" s="2">
        <f t="shared" si="0"/>
        <v>1966</v>
      </c>
      <c r="B5" s="6">
        <v>107.9</v>
      </c>
      <c r="C5" s="6"/>
      <c r="D5" s="313"/>
      <c r="E5" s="70"/>
    </row>
    <row r="6" spans="1:5">
      <c r="A6" s="2">
        <f t="shared" si="0"/>
        <v>1967</v>
      </c>
      <c r="B6" s="6">
        <v>109.7</v>
      </c>
      <c r="C6" s="6"/>
      <c r="D6" s="313"/>
      <c r="E6" s="70"/>
    </row>
    <row r="7" spans="1:5">
      <c r="A7" s="2">
        <f t="shared" si="0"/>
        <v>1968</v>
      </c>
      <c r="B7" s="6">
        <v>113.7</v>
      </c>
      <c r="C7" s="6"/>
      <c r="D7" s="313"/>
      <c r="E7" s="70"/>
    </row>
    <row r="8" spans="1:5">
      <c r="A8" s="2">
        <f t="shared" si="0"/>
        <v>1969</v>
      </c>
      <c r="B8" s="6">
        <v>119</v>
      </c>
      <c r="C8" s="6"/>
      <c r="D8" s="313"/>
      <c r="E8" s="70"/>
    </row>
    <row r="9" spans="1:5">
      <c r="A9" s="2">
        <f t="shared" si="0"/>
        <v>1970</v>
      </c>
      <c r="B9" s="6">
        <v>125.7</v>
      </c>
      <c r="C9" s="6"/>
      <c r="D9" s="313"/>
      <c r="E9" s="70"/>
    </row>
    <row r="10" spans="1:5">
      <c r="A10" s="2">
        <f t="shared" si="0"/>
        <v>1971</v>
      </c>
      <c r="B10" s="6">
        <v>132.30000000000001</v>
      </c>
      <c r="C10" s="6"/>
      <c r="D10" s="313"/>
      <c r="E10" s="70"/>
    </row>
    <row r="11" spans="1:5">
      <c r="A11" s="2">
        <f t="shared" si="0"/>
        <v>1972</v>
      </c>
      <c r="B11" s="6">
        <v>137.19999999999999</v>
      </c>
      <c r="C11" s="6"/>
      <c r="D11" s="313"/>
      <c r="E11" s="70"/>
    </row>
    <row r="12" spans="1:5">
      <c r="A12" s="2">
        <f t="shared" si="0"/>
        <v>1973</v>
      </c>
      <c r="B12" s="6">
        <v>144.1</v>
      </c>
      <c r="C12" s="6"/>
      <c r="D12" s="313"/>
      <c r="E12" s="70"/>
    </row>
    <row r="13" spans="1:5">
      <c r="A13" s="2">
        <f t="shared" si="0"/>
        <v>1974</v>
      </c>
      <c r="B13" s="6">
        <v>165.4</v>
      </c>
      <c r="C13" s="6"/>
      <c r="D13" s="313"/>
      <c r="E13" s="70"/>
    </row>
    <row r="14" spans="1:5">
      <c r="A14" s="2">
        <f t="shared" si="0"/>
        <v>1975</v>
      </c>
      <c r="B14" s="6">
        <v>182.4</v>
      </c>
      <c r="C14" s="6"/>
      <c r="D14" s="313"/>
      <c r="E14" s="70"/>
    </row>
    <row r="15" spans="1:5">
      <c r="A15" s="2">
        <f t="shared" si="0"/>
        <v>1976</v>
      </c>
      <c r="B15" s="6">
        <v>192.1</v>
      </c>
      <c r="C15" s="6"/>
      <c r="D15" s="313"/>
      <c r="E15" s="70"/>
    </row>
    <row r="16" spans="1:5">
      <c r="A16" s="2">
        <f t="shared" si="0"/>
        <v>1977</v>
      </c>
      <c r="B16" s="6">
        <v>204.1</v>
      </c>
      <c r="C16" s="6"/>
      <c r="D16" s="313"/>
      <c r="E16" s="70"/>
    </row>
    <row r="17" spans="1:5">
      <c r="A17" s="2">
        <f t="shared" si="0"/>
        <v>1978</v>
      </c>
      <c r="B17" s="6">
        <v>218.8</v>
      </c>
      <c r="C17" s="6"/>
      <c r="D17" s="313"/>
      <c r="E17" s="70"/>
    </row>
    <row r="18" spans="1:5">
      <c r="A18" s="2">
        <f t="shared" si="0"/>
        <v>1979</v>
      </c>
      <c r="B18" s="6">
        <v>238.7</v>
      </c>
      <c r="C18" s="6"/>
      <c r="D18" s="313"/>
      <c r="E18" s="70"/>
    </row>
    <row r="19" spans="1:5">
      <c r="A19" s="2">
        <f>A18+1</f>
        <v>1980</v>
      </c>
      <c r="B19" s="6">
        <v>261.2</v>
      </c>
      <c r="C19" s="6"/>
      <c r="D19" s="313"/>
      <c r="E19" s="70"/>
    </row>
    <row r="20" spans="1:5">
      <c r="A20" s="2">
        <f t="shared" si="0"/>
        <v>1981</v>
      </c>
      <c r="B20" s="6">
        <v>297</v>
      </c>
      <c r="C20" s="6"/>
      <c r="D20" s="313"/>
      <c r="E20" s="70"/>
    </row>
    <row r="21" spans="1:5">
      <c r="A21" s="2">
        <f t="shared" si="0"/>
        <v>1982</v>
      </c>
      <c r="B21" s="6">
        <v>314</v>
      </c>
      <c r="C21" s="6"/>
      <c r="D21" s="313"/>
      <c r="E21" s="70"/>
    </row>
    <row r="22" spans="1:5">
      <c r="A22" s="2">
        <f t="shared" si="0"/>
        <v>1983</v>
      </c>
      <c r="B22" s="6">
        <v>317</v>
      </c>
      <c r="C22" s="6"/>
      <c r="D22" s="313"/>
      <c r="E22" s="70"/>
    </row>
    <row r="23" spans="1:5">
      <c r="A23" s="2">
        <f t="shared" si="0"/>
        <v>1984</v>
      </c>
      <c r="B23" s="6">
        <v>322.7</v>
      </c>
      <c r="C23" s="6"/>
      <c r="D23" s="313"/>
      <c r="E23" s="70"/>
    </row>
    <row r="24" spans="1:5">
      <c r="A24" s="2">
        <f t="shared" si="0"/>
        <v>1985</v>
      </c>
      <c r="B24" s="6">
        <v>325.3</v>
      </c>
      <c r="C24" s="6"/>
      <c r="D24" s="313"/>
      <c r="E24" s="70"/>
    </row>
    <row r="25" spans="1:5">
      <c r="A25" s="2">
        <f t="shared" si="0"/>
        <v>1986</v>
      </c>
      <c r="B25" s="6">
        <v>318.39999999999998</v>
      </c>
      <c r="C25" s="6"/>
      <c r="D25" s="313"/>
      <c r="E25" s="70"/>
    </row>
    <row r="26" spans="1:5">
      <c r="A26" s="2">
        <f t="shared" si="0"/>
        <v>1987</v>
      </c>
      <c r="B26" s="6">
        <v>323.8</v>
      </c>
      <c r="C26" s="6"/>
      <c r="D26" s="313"/>
      <c r="E26" s="70"/>
    </row>
    <row r="27" spans="1:5">
      <c r="A27" s="2">
        <f t="shared" si="0"/>
        <v>1988</v>
      </c>
      <c r="B27" s="6">
        <v>342.5</v>
      </c>
      <c r="C27" s="6"/>
      <c r="D27" s="313"/>
      <c r="E27" s="70"/>
    </row>
    <row r="28" spans="1:5">
      <c r="A28" s="2">
        <f t="shared" si="0"/>
        <v>1989</v>
      </c>
      <c r="B28" s="6">
        <v>355.4</v>
      </c>
      <c r="C28" s="6"/>
      <c r="D28" s="313"/>
      <c r="E28" s="70"/>
    </row>
    <row r="29" spans="1:5">
      <c r="A29" s="2">
        <f t="shared" si="0"/>
        <v>1990</v>
      </c>
      <c r="B29" s="6">
        <v>357.6</v>
      </c>
      <c r="C29" s="6"/>
      <c r="D29" s="313"/>
      <c r="E29" s="70"/>
    </row>
    <row r="30" spans="1:5">
      <c r="A30" s="2">
        <f>A29+1</f>
        <v>1991</v>
      </c>
      <c r="B30" s="6">
        <v>361.3</v>
      </c>
      <c r="C30" s="6"/>
      <c r="D30" s="313"/>
      <c r="E30" s="70"/>
    </row>
    <row r="31" spans="1:5">
      <c r="A31" s="2">
        <f t="shared" si="0"/>
        <v>1992</v>
      </c>
      <c r="B31" s="6">
        <v>358.2</v>
      </c>
      <c r="C31" s="6"/>
      <c r="D31" s="313"/>
      <c r="E31" s="70"/>
    </row>
    <row r="32" spans="1:5">
      <c r="A32" s="2">
        <f t="shared" si="0"/>
        <v>1993</v>
      </c>
      <c r="B32" s="6">
        <v>359.2</v>
      </c>
      <c r="C32" s="6"/>
      <c r="D32" s="313"/>
      <c r="E32" s="70"/>
    </row>
    <row r="33" spans="1:5">
      <c r="A33" s="2">
        <f t="shared" si="0"/>
        <v>1994</v>
      </c>
      <c r="B33" s="6">
        <v>368.1</v>
      </c>
      <c r="C33" s="6"/>
      <c r="D33" s="313"/>
      <c r="E33" s="70"/>
    </row>
    <row r="34" spans="1:5">
      <c r="A34" s="2">
        <f t="shared" si="0"/>
        <v>1995</v>
      </c>
      <c r="B34" s="6">
        <v>381.1</v>
      </c>
      <c r="C34" s="6"/>
      <c r="D34" s="313"/>
      <c r="E34" s="70"/>
    </row>
    <row r="35" spans="1:5">
      <c r="A35" s="2">
        <f t="shared" si="0"/>
        <v>1996</v>
      </c>
      <c r="B35" s="6">
        <v>381.7</v>
      </c>
      <c r="C35" s="6"/>
      <c r="D35" s="313"/>
      <c r="E35" s="70"/>
    </row>
    <row r="36" spans="1:5">
      <c r="A36" s="2">
        <f t="shared" si="0"/>
        <v>1997</v>
      </c>
      <c r="B36" s="6">
        <v>386.5</v>
      </c>
      <c r="C36" s="6"/>
      <c r="D36" s="313"/>
      <c r="E36" s="70"/>
    </row>
    <row r="37" spans="1:5">
      <c r="A37" s="2">
        <f>A36+1</f>
        <v>1998</v>
      </c>
      <c r="B37" s="6">
        <v>389.5</v>
      </c>
      <c r="C37" s="6"/>
      <c r="D37" s="313"/>
      <c r="E37" s="70"/>
    </row>
    <row r="38" spans="1:5">
      <c r="A38" s="2">
        <f t="shared" si="0"/>
        <v>1999</v>
      </c>
      <c r="B38" s="6">
        <v>390.6</v>
      </c>
      <c r="C38" s="6"/>
      <c r="D38" s="313"/>
      <c r="E38" s="70"/>
    </row>
    <row r="39" spans="1:5">
      <c r="A39" s="2">
        <f t="shared" si="0"/>
        <v>2000</v>
      </c>
      <c r="B39" s="6">
        <v>394.1</v>
      </c>
      <c r="C39" s="6"/>
      <c r="D39" s="313"/>
      <c r="E39" s="70"/>
    </row>
    <row r="40" spans="1:5">
      <c r="A40" s="2">
        <f t="shared" si="0"/>
        <v>2001</v>
      </c>
      <c r="B40" s="6">
        <v>394.3</v>
      </c>
      <c r="C40" s="6"/>
      <c r="D40" s="314" t="s">
        <v>88</v>
      </c>
      <c r="E40" s="7"/>
    </row>
    <row r="41" spans="1:5">
      <c r="A41" s="2">
        <f t="shared" si="0"/>
        <v>2002</v>
      </c>
      <c r="B41" s="6">
        <v>395.6</v>
      </c>
      <c r="C41" s="6"/>
      <c r="D41" s="314"/>
      <c r="E41" s="7"/>
    </row>
    <row r="42" spans="1:5">
      <c r="A42" s="2">
        <f t="shared" si="0"/>
        <v>2003</v>
      </c>
      <c r="B42" s="6">
        <v>401.7</v>
      </c>
      <c r="C42" s="6"/>
      <c r="D42" s="314"/>
      <c r="E42" s="7"/>
    </row>
    <row r="43" spans="1:5">
      <c r="A43" s="2">
        <f t="shared" si="0"/>
        <v>2004</v>
      </c>
      <c r="B43" s="6">
        <v>444.2</v>
      </c>
      <c r="C43" s="6"/>
      <c r="D43" s="314"/>
      <c r="E43" s="7"/>
    </row>
    <row r="44" spans="1:5">
      <c r="A44" s="2">
        <f t="shared" si="0"/>
        <v>2005</v>
      </c>
      <c r="B44" s="6">
        <v>468.2</v>
      </c>
      <c r="C44" s="6"/>
      <c r="D44" s="314"/>
      <c r="E44" s="7"/>
    </row>
    <row r="45" spans="1:5">
      <c r="A45" s="2">
        <f t="shared" si="0"/>
        <v>2006</v>
      </c>
      <c r="B45" s="6">
        <v>499.6</v>
      </c>
      <c r="C45" s="6"/>
      <c r="D45" s="314"/>
      <c r="E45" s="7"/>
    </row>
    <row r="46" spans="1:5">
      <c r="A46" s="2">
        <f t="shared" si="0"/>
        <v>2007</v>
      </c>
      <c r="B46" s="6">
        <v>525.4</v>
      </c>
      <c r="C46" s="6"/>
      <c r="D46" s="314"/>
      <c r="E46" s="7"/>
    </row>
    <row r="47" spans="1:5" ht="31.5">
      <c r="A47" s="2">
        <f>A46+1</f>
        <v>2008</v>
      </c>
      <c r="B47" s="6">
        <v>575.4</v>
      </c>
      <c r="C47" s="6"/>
      <c r="D47" s="58" t="s">
        <v>88</v>
      </c>
      <c r="E47" s="52"/>
    </row>
    <row r="48" spans="1:5">
      <c r="A48" s="2">
        <f t="shared" si="0"/>
        <v>2009</v>
      </c>
      <c r="B48" s="6">
        <v>521.9</v>
      </c>
      <c r="C48" s="6"/>
      <c r="D48" s="59" t="s">
        <v>89</v>
      </c>
      <c r="E48" s="53"/>
    </row>
    <row r="49" spans="1:8" ht="47.25">
      <c r="A49" s="2">
        <f t="shared" si="0"/>
        <v>2010</v>
      </c>
      <c r="B49" s="8">
        <v>550.79999999999995</v>
      </c>
      <c r="C49" s="8"/>
      <c r="D49" s="60" t="s">
        <v>92</v>
      </c>
      <c r="E49" s="54"/>
    </row>
    <row r="50" spans="1:8">
      <c r="A50" s="2">
        <f t="shared" si="0"/>
        <v>2011</v>
      </c>
      <c r="B50" s="6">
        <v>585.70000000000005</v>
      </c>
      <c r="C50" s="6"/>
      <c r="D50" s="59" t="s">
        <v>89</v>
      </c>
      <c r="E50" s="53"/>
      <c r="F50" s="6"/>
    </row>
    <row r="51" spans="1:8" ht="47.25">
      <c r="A51" s="2">
        <f t="shared" si="0"/>
        <v>2012</v>
      </c>
      <c r="B51" s="9">
        <v>584.6</v>
      </c>
      <c r="C51" s="9"/>
      <c r="D51" s="60" t="s">
        <v>92</v>
      </c>
      <c r="E51" s="54"/>
      <c r="F51" s="6"/>
    </row>
    <row r="52" spans="1:8">
      <c r="A52" s="2">
        <f t="shared" si="0"/>
        <v>2013</v>
      </c>
      <c r="B52" s="7">
        <v>576.1</v>
      </c>
      <c r="C52" s="7"/>
      <c r="D52" s="58" t="s">
        <v>93</v>
      </c>
      <c r="E52" s="52"/>
      <c r="F52" s="6"/>
    </row>
    <row r="53" spans="1:8" ht="31.5">
      <c r="A53" s="2">
        <f t="shared" si="0"/>
        <v>2014</v>
      </c>
      <c r="B53" s="7">
        <v>576.1</v>
      </c>
      <c r="C53" s="7"/>
      <c r="D53" s="58" t="s">
        <v>9</v>
      </c>
      <c r="E53" s="52"/>
      <c r="F53" s="6"/>
    </row>
    <row r="54" spans="1:8" ht="31.5">
      <c r="A54" s="2">
        <f t="shared" si="0"/>
        <v>2015</v>
      </c>
      <c r="B54" s="6">
        <v>556.79999999999995</v>
      </c>
      <c r="C54" s="6"/>
      <c r="D54" s="58" t="s">
        <v>90</v>
      </c>
      <c r="E54" s="52"/>
      <c r="F54" s="6"/>
    </row>
    <row r="55" spans="1:8" ht="31.5">
      <c r="A55" s="2">
        <f>A54+1</f>
        <v>2016</v>
      </c>
      <c r="B55" s="6">
        <v>541.70000000000005</v>
      </c>
      <c r="C55" s="6"/>
      <c r="D55" s="58" t="s">
        <v>91</v>
      </c>
      <c r="E55" s="52"/>
      <c r="F55" s="6"/>
    </row>
    <row r="56" spans="1:8" ht="63">
      <c r="A56" s="2">
        <f t="shared" si="0"/>
        <v>2017</v>
      </c>
      <c r="B56" s="7">
        <v>567.5</v>
      </c>
      <c r="C56" s="7"/>
      <c r="D56" s="58" t="s">
        <v>94</v>
      </c>
      <c r="E56" s="52"/>
      <c r="F56" s="6"/>
    </row>
    <row r="57" spans="1:8" ht="16.5" thickBot="1">
      <c r="A57" s="28">
        <f t="shared" si="0"/>
        <v>2018</v>
      </c>
      <c r="B57" s="29"/>
      <c r="C57" s="29"/>
      <c r="D57" s="61"/>
      <c r="E57" s="53"/>
      <c r="F57" s="6"/>
    </row>
    <row r="58" spans="1:8" ht="16.5" thickBot="1">
      <c r="D58" s="53"/>
      <c r="E58" s="53"/>
      <c r="F58" s="6"/>
    </row>
    <row r="59" spans="1:8" ht="47.25">
      <c r="A59" s="62" t="s">
        <v>1</v>
      </c>
      <c r="B59" s="63" t="s">
        <v>115</v>
      </c>
      <c r="C59" s="63" t="s">
        <v>116</v>
      </c>
      <c r="D59" s="64"/>
      <c r="E59" s="63" t="s">
        <v>125</v>
      </c>
      <c r="F59" s="63" t="s">
        <v>117</v>
      </c>
      <c r="G59" s="65" t="s">
        <v>118</v>
      </c>
    </row>
    <row r="60" spans="1:8" ht="94.5">
      <c r="A60" s="2" t="s">
        <v>95</v>
      </c>
      <c r="B60" s="6">
        <v>1.02</v>
      </c>
      <c r="C60" s="22">
        <f>B60*$F$60/$G$60</f>
        <v>1.0165283458115075</v>
      </c>
      <c r="D60" s="315" t="s">
        <v>120</v>
      </c>
      <c r="E60" s="71">
        <v>1</v>
      </c>
      <c r="F60" s="66">
        <v>0.83656567209999999</v>
      </c>
      <c r="G60" s="67">
        <v>0.83942271660000001</v>
      </c>
      <c r="H60" s="5" t="s">
        <v>119</v>
      </c>
    </row>
    <row r="61" spans="1:8">
      <c r="A61" s="3" t="s">
        <v>10</v>
      </c>
      <c r="B61" s="6">
        <v>1.1299999999999999</v>
      </c>
      <c r="C61" s="22">
        <f t="shared" ref="C61:C80" si="1">B61*$F$60/$G$60</f>
        <v>1.1261539517323564</v>
      </c>
      <c r="D61" s="316"/>
      <c r="E61" s="71">
        <f>E60+1</f>
        <v>2</v>
      </c>
      <c r="F61" s="6"/>
      <c r="G61" s="27"/>
    </row>
    <row r="62" spans="1:8">
      <c r="A62" s="3" t="s">
        <v>96</v>
      </c>
      <c r="B62" s="6">
        <v>1.1100000000000001</v>
      </c>
      <c r="C62" s="22">
        <f t="shared" si="1"/>
        <v>1.1062220233831115</v>
      </c>
      <c r="D62" s="316"/>
      <c r="E62" s="71">
        <f t="shared" ref="E62:E79" si="2">E61+1</f>
        <v>3</v>
      </c>
      <c r="F62" s="6"/>
      <c r="G62" s="27"/>
    </row>
    <row r="63" spans="1:8">
      <c r="A63" s="3" t="s">
        <v>97</v>
      </c>
      <c r="B63" s="6">
        <v>1.1399999999999999</v>
      </c>
      <c r="C63" s="22">
        <f t="shared" si="1"/>
        <v>1.136119915906979</v>
      </c>
      <c r="D63" s="316"/>
      <c r="E63" s="71">
        <f t="shared" si="2"/>
        <v>4</v>
      </c>
      <c r="F63" s="6"/>
      <c r="G63" s="27"/>
    </row>
    <row r="64" spans="1:8">
      <c r="A64" s="4" t="s">
        <v>98</v>
      </c>
      <c r="B64" s="6">
        <v>1.19</v>
      </c>
      <c r="C64" s="22">
        <f t="shared" si="1"/>
        <v>1.1859497367800922</v>
      </c>
      <c r="D64" s="316"/>
      <c r="E64" s="71">
        <f t="shared" si="2"/>
        <v>5</v>
      </c>
      <c r="F64" s="6"/>
      <c r="G64" s="27"/>
    </row>
    <row r="65" spans="1:7">
      <c r="A65" s="4" t="s">
        <v>99</v>
      </c>
      <c r="B65" s="6">
        <v>1.53</v>
      </c>
      <c r="C65" s="22">
        <f t="shared" si="1"/>
        <v>1.5247925187172615</v>
      </c>
      <c r="D65" s="316"/>
      <c r="E65" s="71">
        <f t="shared" si="2"/>
        <v>6</v>
      </c>
      <c r="F65" s="6"/>
      <c r="G65" s="27"/>
    </row>
    <row r="66" spans="1:7">
      <c r="A66" s="14" t="s">
        <v>100</v>
      </c>
      <c r="B66" s="6">
        <v>1.02</v>
      </c>
      <c r="C66" s="22">
        <f t="shared" si="1"/>
        <v>1.0165283458115075</v>
      </c>
      <c r="D66" s="316"/>
      <c r="E66" s="71">
        <f t="shared" si="2"/>
        <v>7</v>
      </c>
      <c r="F66" s="6"/>
      <c r="G66" s="27"/>
    </row>
    <row r="67" spans="1:7">
      <c r="A67" s="14" t="s">
        <v>101</v>
      </c>
      <c r="B67" s="6">
        <v>1.07</v>
      </c>
      <c r="C67" s="22">
        <f t="shared" si="1"/>
        <v>1.0663581666846209</v>
      </c>
      <c r="D67" s="316"/>
      <c r="E67" s="71">
        <f t="shared" si="2"/>
        <v>8</v>
      </c>
      <c r="F67" s="6"/>
      <c r="G67" s="27"/>
    </row>
    <row r="68" spans="1:7" ht="31.5">
      <c r="A68" s="14" t="s">
        <v>102</v>
      </c>
      <c r="B68" s="6">
        <v>1.1200000000000001</v>
      </c>
      <c r="C68" s="22">
        <f t="shared" si="1"/>
        <v>1.1161879875577341</v>
      </c>
      <c r="D68" s="316"/>
      <c r="E68" s="71">
        <f t="shared" si="2"/>
        <v>9</v>
      </c>
      <c r="F68" s="6"/>
      <c r="G68" s="27"/>
    </row>
    <row r="69" spans="1:7" ht="47.25">
      <c r="A69" s="14" t="s">
        <v>103</v>
      </c>
      <c r="B69" s="6">
        <v>0.61</v>
      </c>
      <c r="C69" s="22">
        <f t="shared" si="1"/>
        <v>0.60792381465197998</v>
      </c>
      <c r="D69" s="316"/>
      <c r="E69" s="71">
        <f t="shared" si="2"/>
        <v>10</v>
      </c>
      <c r="F69" s="6"/>
      <c r="G69" s="27"/>
    </row>
    <row r="70" spans="1:7">
      <c r="A70" s="14" t="s">
        <v>104</v>
      </c>
      <c r="B70" s="6">
        <v>1.26</v>
      </c>
      <c r="C70" s="22">
        <f t="shared" si="1"/>
        <v>1.2557114860024507</v>
      </c>
      <c r="D70" s="316"/>
      <c r="E70" s="71">
        <f t="shared" si="2"/>
        <v>11</v>
      </c>
      <c r="F70" s="6"/>
      <c r="G70" s="27"/>
    </row>
    <row r="71" spans="1:7">
      <c r="A71" s="14" t="s">
        <v>105</v>
      </c>
      <c r="B71" s="6">
        <v>1.1200000000000001</v>
      </c>
      <c r="C71" s="22">
        <f t="shared" si="1"/>
        <v>1.1161879875577341</v>
      </c>
      <c r="D71" s="316"/>
      <c r="E71" s="71">
        <f t="shared" si="2"/>
        <v>12</v>
      </c>
      <c r="F71" s="6"/>
      <c r="G71" s="27"/>
    </row>
    <row r="72" spans="1:7">
      <c r="A72" s="14" t="s">
        <v>106</v>
      </c>
      <c r="B72" s="6">
        <v>1.21</v>
      </c>
      <c r="C72" s="22">
        <f t="shared" si="1"/>
        <v>1.2058816651293374</v>
      </c>
      <c r="D72" s="316"/>
      <c r="E72" s="71">
        <f t="shared" si="2"/>
        <v>13</v>
      </c>
      <c r="F72" s="6"/>
      <c r="G72" s="27"/>
    </row>
    <row r="73" spans="1:7" ht="31.5">
      <c r="A73" s="14" t="s">
        <v>107</v>
      </c>
      <c r="B73" s="6">
        <v>1</v>
      </c>
      <c r="C73" s="22">
        <f t="shared" si="1"/>
        <v>0.99659641746226235</v>
      </c>
      <c r="D73" s="316"/>
      <c r="E73" s="71">
        <f t="shared" si="2"/>
        <v>14</v>
      </c>
      <c r="F73" s="6"/>
      <c r="G73" s="27"/>
    </row>
    <row r="74" spans="1:7" ht="31.5">
      <c r="A74" s="14" t="s">
        <v>108</v>
      </c>
      <c r="B74" s="6">
        <v>1.04</v>
      </c>
      <c r="C74" s="22">
        <f t="shared" si="1"/>
        <v>1.0364602741607529</v>
      </c>
      <c r="D74" s="316"/>
      <c r="E74" s="71">
        <f t="shared" si="2"/>
        <v>15</v>
      </c>
      <c r="F74" s="6"/>
      <c r="G74" s="27"/>
    </row>
    <row r="75" spans="1:7" ht="31.5">
      <c r="A75" s="14" t="s">
        <v>109</v>
      </c>
      <c r="B75" s="6">
        <v>1.07</v>
      </c>
      <c r="C75" s="22">
        <f t="shared" si="1"/>
        <v>1.0663581666846209</v>
      </c>
      <c r="D75" s="316"/>
      <c r="E75" s="71">
        <f t="shared" si="2"/>
        <v>16</v>
      </c>
      <c r="F75" s="6"/>
      <c r="G75" s="27"/>
    </row>
    <row r="76" spans="1:7">
      <c r="A76" s="14" t="s">
        <v>110</v>
      </c>
      <c r="B76" s="6">
        <v>1.02</v>
      </c>
      <c r="C76" s="22">
        <f t="shared" si="1"/>
        <v>1.0165283458115075</v>
      </c>
      <c r="D76" s="316"/>
      <c r="E76" s="71">
        <f t="shared" si="2"/>
        <v>17</v>
      </c>
      <c r="F76" s="6"/>
      <c r="G76" s="27"/>
    </row>
    <row r="77" spans="1:7" ht="31.5">
      <c r="A77" s="14" t="s">
        <v>111</v>
      </c>
      <c r="B77" s="6">
        <v>1</v>
      </c>
      <c r="C77" s="22">
        <f t="shared" si="1"/>
        <v>0.99659641746226235</v>
      </c>
      <c r="D77" s="316"/>
      <c r="E77" s="71">
        <f t="shared" si="2"/>
        <v>18</v>
      </c>
      <c r="F77" s="6"/>
      <c r="G77" s="27"/>
    </row>
    <row r="78" spans="1:7" ht="31.5">
      <c r="A78" s="14" t="s">
        <v>112</v>
      </c>
      <c r="B78" s="6">
        <v>1.6</v>
      </c>
      <c r="C78" s="22">
        <f t="shared" si="1"/>
        <v>1.5945542679396199</v>
      </c>
      <c r="D78" s="316"/>
      <c r="E78" s="71">
        <f t="shared" si="2"/>
        <v>19</v>
      </c>
      <c r="F78" s="6"/>
      <c r="G78" s="27"/>
    </row>
    <row r="79" spans="1:7">
      <c r="A79" s="14" t="s">
        <v>113</v>
      </c>
      <c r="B79" s="6">
        <v>1.03</v>
      </c>
      <c r="C79" s="22">
        <f t="shared" si="1"/>
        <v>1.0264943099861303</v>
      </c>
      <c r="D79" s="316"/>
      <c r="E79" s="71">
        <f t="shared" si="2"/>
        <v>20</v>
      </c>
      <c r="F79" s="6"/>
      <c r="G79" s="27"/>
    </row>
    <row r="80" spans="1:7" ht="16.5" thickBot="1">
      <c r="A80" s="68" t="s">
        <v>114</v>
      </c>
      <c r="B80" s="29">
        <v>1.1399999999999999</v>
      </c>
      <c r="C80" s="69">
        <f t="shared" si="1"/>
        <v>1.136119915906979</v>
      </c>
      <c r="D80" s="317"/>
      <c r="E80" s="72">
        <f>E79+1</f>
        <v>21</v>
      </c>
      <c r="F80" s="29"/>
      <c r="G80" s="30"/>
    </row>
    <row r="81" spans="1:7" ht="16.5" thickBot="1">
      <c r="D81" s="51"/>
      <c r="E81" s="51"/>
    </row>
    <row r="82" spans="1:7">
      <c r="A82" s="62" t="s">
        <v>142</v>
      </c>
      <c r="B82" s="63" t="s">
        <v>143</v>
      </c>
      <c r="C82" s="63" t="s">
        <v>2</v>
      </c>
      <c r="D82" s="64"/>
      <c r="E82" s="63"/>
      <c r="F82" s="63"/>
      <c r="G82" s="65"/>
    </row>
    <row r="83" spans="1:7" ht="47.25">
      <c r="A83" s="2" t="s">
        <v>141</v>
      </c>
      <c r="B83" s="7" t="s">
        <v>150</v>
      </c>
      <c r="C83" s="22">
        <v>3.1</v>
      </c>
      <c r="D83" s="315" t="s">
        <v>120</v>
      </c>
      <c r="E83" s="75"/>
      <c r="F83" s="66"/>
      <c r="G83" s="67"/>
    </row>
    <row r="84" spans="1:7" ht="47.25">
      <c r="A84" s="2" t="s">
        <v>141</v>
      </c>
      <c r="B84" s="7" t="s">
        <v>151</v>
      </c>
      <c r="C84" s="22">
        <v>4.74</v>
      </c>
      <c r="D84" s="316"/>
      <c r="E84" s="75"/>
      <c r="F84" s="6"/>
      <c r="G84" s="27"/>
    </row>
    <row r="85" spans="1:7" ht="63">
      <c r="A85" s="2" t="s">
        <v>141</v>
      </c>
      <c r="B85" s="7" t="s">
        <v>152</v>
      </c>
      <c r="C85" s="22">
        <v>3.63</v>
      </c>
      <c r="D85" s="316"/>
      <c r="E85" s="75"/>
      <c r="F85" s="6"/>
      <c r="G85" s="27"/>
    </row>
    <row r="86" spans="1:7">
      <c r="A86" s="3" t="s">
        <v>144</v>
      </c>
      <c r="B86" s="7" t="s">
        <v>145</v>
      </c>
      <c r="C86" s="22">
        <v>2.5</v>
      </c>
      <c r="D86" s="316"/>
      <c r="E86" s="75"/>
      <c r="F86" s="6"/>
      <c r="G86" s="27"/>
    </row>
    <row r="87" spans="1:7" ht="31.5">
      <c r="A87" s="4"/>
      <c r="B87" s="7" t="s">
        <v>146</v>
      </c>
      <c r="C87" s="22">
        <v>4</v>
      </c>
      <c r="D87" s="316"/>
      <c r="E87" s="75"/>
      <c r="F87" s="6"/>
      <c r="G87" s="27"/>
    </row>
    <row r="88" spans="1:7" ht="31.5">
      <c r="A88" s="4"/>
      <c r="B88" s="7" t="s">
        <v>147</v>
      </c>
      <c r="C88" s="22">
        <v>2</v>
      </c>
      <c r="D88" s="316"/>
      <c r="E88" s="75"/>
      <c r="F88" s="6"/>
      <c r="G88" s="27"/>
    </row>
    <row r="89" spans="1:7" ht="31.5">
      <c r="A89" s="14"/>
      <c r="B89" s="7" t="s">
        <v>149</v>
      </c>
      <c r="C89" s="22">
        <v>3.5</v>
      </c>
      <c r="D89" s="316"/>
      <c r="E89" s="75"/>
      <c r="F89" s="6"/>
      <c r="G89" s="27"/>
    </row>
    <row r="90" spans="1:7">
      <c r="A90" s="14"/>
      <c r="B90" s="7" t="s">
        <v>148</v>
      </c>
      <c r="C90" s="22">
        <v>4</v>
      </c>
      <c r="D90" s="316"/>
      <c r="E90" s="75"/>
      <c r="F90" s="6"/>
      <c r="G90" s="27"/>
    </row>
    <row r="91" spans="1:7" ht="47.25">
      <c r="A91" s="14"/>
      <c r="B91" s="7" t="s">
        <v>153</v>
      </c>
      <c r="C91" s="22">
        <v>2.5</v>
      </c>
      <c r="D91" s="316"/>
      <c r="E91" s="75"/>
      <c r="F91" s="6"/>
      <c r="G91" s="27"/>
    </row>
    <row r="92" spans="1:7" ht="31.5">
      <c r="A92" s="14"/>
      <c r="B92" s="7" t="s">
        <v>154</v>
      </c>
      <c r="C92" s="22">
        <v>4</v>
      </c>
      <c r="D92" s="316"/>
      <c r="E92" s="75"/>
      <c r="F92" s="6"/>
      <c r="G92" s="27"/>
    </row>
    <row r="93" spans="1:7">
      <c r="A93" s="14"/>
      <c r="B93" s="7" t="s">
        <v>155</v>
      </c>
      <c r="C93" s="22">
        <v>4</v>
      </c>
      <c r="D93" s="316"/>
      <c r="E93" s="75"/>
      <c r="F93" s="6"/>
      <c r="G93" s="27"/>
    </row>
    <row r="94" spans="1:7">
      <c r="A94" s="14"/>
      <c r="B94" s="7"/>
      <c r="C94" s="22"/>
      <c r="D94" s="316"/>
      <c r="E94" s="75"/>
      <c r="F94" s="6"/>
      <c r="G94" s="27"/>
    </row>
    <row r="95" spans="1:7">
      <c r="A95" s="14"/>
      <c r="B95" s="7"/>
      <c r="C95" s="22"/>
      <c r="D95" s="316"/>
      <c r="E95" s="75"/>
      <c r="F95" s="6"/>
      <c r="G95" s="27"/>
    </row>
    <row r="96" spans="1:7">
      <c r="A96" s="14"/>
      <c r="B96" s="7"/>
      <c r="C96" s="22"/>
      <c r="D96" s="316"/>
      <c r="E96" s="75"/>
      <c r="F96" s="6"/>
      <c r="G96" s="27"/>
    </row>
    <row r="97" spans="1:7">
      <c r="A97" s="14"/>
      <c r="B97" s="7"/>
      <c r="C97" s="22"/>
      <c r="D97" s="316"/>
      <c r="E97" s="75"/>
      <c r="F97" s="6"/>
      <c r="G97" s="27"/>
    </row>
    <row r="98" spans="1:7">
      <c r="A98" s="14"/>
      <c r="B98" s="7"/>
      <c r="C98" s="22"/>
      <c r="D98" s="316"/>
      <c r="E98" s="75"/>
      <c r="F98" s="6"/>
      <c r="G98" s="27"/>
    </row>
    <row r="99" spans="1:7">
      <c r="A99" s="14"/>
      <c r="B99" s="7"/>
      <c r="C99" s="22"/>
      <c r="D99" s="316"/>
      <c r="E99" s="75"/>
      <c r="F99" s="6"/>
      <c r="G99" s="27"/>
    </row>
    <row r="100" spans="1:7">
      <c r="A100" s="14"/>
      <c r="B100" s="7"/>
      <c r="C100" s="22"/>
      <c r="D100" s="316"/>
      <c r="E100" s="75"/>
      <c r="F100" s="6"/>
      <c r="G100" s="27"/>
    </row>
    <row r="101" spans="1:7">
      <c r="A101" s="14"/>
      <c r="B101" s="7"/>
      <c r="C101" s="22"/>
      <c r="D101" s="316"/>
      <c r="E101" s="75"/>
      <c r="F101" s="6"/>
      <c r="G101" s="27"/>
    </row>
    <row r="102" spans="1:7">
      <c r="A102" s="14"/>
      <c r="B102" s="7"/>
      <c r="C102" s="22"/>
      <c r="D102" s="316"/>
      <c r="E102" s="75"/>
      <c r="F102" s="6"/>
      <c r="G102" s="27"/>
    </row>
    <row r="103" spans="1:7" ht="16.5" thickBot="1">
      <c r="A103" s="68"/>
      <c r="B103" s="11"/>
      <c r="C103" s="69"/>
      <c r="D103" s="317"/>
      <c r="E103" s="76"/>
      <c r="F103" s="29"/>
      <c r="G103" s="30"/>
    </row>
  </sheetData>
  <mergeCells count="4">
    <mergeCell ref="D2:D39"/>
    <mergeCell ref="D40:D46"/>
    <mergeCell ref="D60:D80"/>
    <mergeCell ref="D83:D103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J34"/>
  <sheetViews>
    <sheetView zoomScale="90" zoomScaleNormal="90" workbookViewId="0">
      <selection activeCell="I10" sqref="I10"/>
    </sheetView>
  </sheetViews>
  <sheetFormatPr baseColWidth="10" defaultRowHeight="15.75"/>
  <cols>
    <col min="1" max="8" width="11" style="177"/>
    <col min="9" max="9" width="23.875" style="177" customWidth="1"/>
    <col min="10" max="10" width="28" style="177" customWidth="1"/>
    <col min="11" max="16384" width="11" style="177"/>
  </cols>
  <sheetData>
    <row r="1" spans="1:10" ht="31.5" customHeight="1">
      <c r="A1" s="318" t="s">
        <v>428</v>
      </c>
      <c r="B1" s="319"/>
      <c r="C1" s="320"/>
      <c r="F1" s="318" t="s">
        <v>437</v>
      </c>
      <c r="G1" s="319"/>
      <c r="H1" s="319"/>
      <c r="I1" s="320"/>
    </row>
    <row r="2" spans="1:10">
      <c r="A2" s="44"/>
      <c r="B2" s="44" t="s">
        <v>429</v>
      </c>
      <c r="C2" s="13" t="s">
        <v>431</v>
      </c>
      <c r="F2" s="44"/>
      <c r="G2" s="44"/>
      <c r="H2" s="44"/>
      <c r="I2" s="44" t="s">
        <v>438</v>
      </c>
    </row>
    <row r="3" spans="1:10" ht="47.25">
      <c r="A3" s="44" t="s">
        <v>430</v>
      </c>
      <c r="B3" s="5" t="s">
        <v>432</v>
      </c>
      <c r="C3" s="5"/>
      <c r="F3" s="44" t="s">
        <v>590</v>
      </c>
      <c r="G3" s="5">
        <v>0.02</v>
      </c>
      <c r="H3" s="177" t="s">
        <v>591</v>
      </c>
      <c r="I3" s="179" t="s">
        <v>592</v>
      </c>
      <c r="J3" s="123"/>
    </row>
    <row r="4" spans="1:10" ht="47.25">
      <c r="A4" s="44" t="s">
        <v>433</v>
      </c>
      <c r="B4" s="5"/>
      <c r="C4" s="5"/>
      <c r="F4" s="44" t="s">
        <v>593</v>
      </c>
      <c r="G4" s="16">
        <v>2.5000000000000001E-2</v>
      </c>
      <c r="H4" s="121" t="s">
        <v>591</v>
      </c>
      <c r="I4" s="179" t="s">
        <v>592</v>
      </c>
      <c r="J4" s="123"/>
    </row>
    <row r="5" spans="1:10" ht="31.5">
      <c r="A5" s="44" t="s">
        <v>434</v>
      </c>
      <c r="B5" s="5"/>
      <c r="C5" s="5"/>
      <c r="F5" s="321" t="s">
        <v>597</v>
      </c>
      <c r="G5" s="16">
        <v>0.3</v>
      </c>
      <c r="H5" s="121" t="s">
        <v>595</v>
      </c>
      <c r="I5" s="323" t="s">
        <v>592</v>
      </c>
      <c r="J5" s="123"/>
    </row>
    <row r="6" spans="1:10" ht="31.5">
      <c r="A6" s="44" t="s">
        <v>435</v>
      </c>
      <c r="B6" s="5"/>
      <c r="C6" s="5"/>
      <c r="F6" s="322"/>
      <c r="G6" s="177">
        <f>0.3*0.4</f>
        <v>0.12</v>
      </c>
      <c r="H6" s="177" t="s">
        <v>596</v>
      </c>
      <c r="I6" s="323"/>
      <c r="J6" s="122"/>
    </row>
    <row r="7" spans="1:10" ht="31.5">
      <c r="A7" s="44" t="s">
        <v>436</v>
      </c>
      <c r="B7" s="5"/>
      <c r="C7" s="5"/>
      <c r="J7" s="123"/>
    </row>
    <row r="8" spans="1:10" ht="63">
      <c r="A8" s="178" t="s">
        <v>594</v>
      </c>
      <c r="B8" s="5" t="s">
        <v>598</v>
      </c>
      <c r="C8" s="5"/>
      <c r="J8" s="123"/>
    </row>
    <row r="9" spans="1:10">
      <c r="B9" s="5"/>
      <c r="C9" s="5"/>
      <c r="J9" s="123"/>
    </row>
    <row r="10" spans="1:10" ht="80.25" customHeight="1">
      <c r="B10" s="5"/>
      <c r="C10" s="5"/>
      <c r="J10" s="122"/>
    </row>
    <row r="11" spans="1:10">
      <c r="B11" s="5"/>
      <c r="C11" s="5"/>
      <c r="J11" s="122"/>
    </row>
    <row r="12" spans="1:10">
      <c r="J12" s="122"/>
    </row>
    <row r="13" spans="1:10">
      <c r="J13" s="122"/>
    </row>
    <row r="14" spans="1:10">
      <c r="J14" s="123"/>
    </row>
    <row r="15" spans="1:10">
      <c r="J15" s="123"/>
    </row>
    <row r="16" spans="1:10">
      <c r="J16" s="123"/>
    </row>
    <row r="17" spans="10:10">
      <c r="J17" s="123"/>
    </row>
    <row r="18" spans="10:10">
      <c r="J18" s="123"/>
    </row>
    <row r="19" spans="10:10">
      <c r="J19" s="123"/>
    </row>
    <row r="20" spans="10:10">
      <c r="J20" s="123"/>
    </row>
    <row r="21" spans="10:10">
      <c r="J21" s="123"/>
    </row>
    <row r="22" spans="10:10">
      <c r="J22" s="123"/>
    </row>
    <row r="23" spans="10:10">
      <c r="J23" s="123"/>
    </row>
    <row r="24" spans="10:10">
      <c r="J24" s="123"/>
    </row>
    <row r="25" spans="10:10">
      <c r="J25" s="123"/>
    </row>
    <row r="26" spans="10:10">
      <c r="J26" s="123"/>
    </row>
    <row r="27" spans="10:10">
      <c r="J27" s="123"/>
    </row>
    <row r="28" spans="10:10">
      <c r="J28" s="123"/>
    </row>
    <row r="29" spans="10:10">
      <c r="J29" s="123"/>
    </row>
    <row r="30" spans="10:10">
      <c r="J30" s="123"/>
    </row>
    <row r="31" spans="10:10">
      <c r="J31" s="123"/>
    </row>
    <row r="32" spans="10:10">
      <c r="J32" s="123"/>
    </row>
    <row r="33" spans="10:10">
      <c r="J33" s="123"/>
    </row>
    <row r="34" spans="10:10">
      <c r="J34" s="123"/>
    </row>
  </sheetData>
  <mergeCells count="4">
    <mergeCell ref="A1:C1"/>
    <mergeCell ref="F1:I1"/>
    <mergeCell ref="F5:F6"/>
    <mergeCell ref="I5:I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G8"/>
  <sheetViews>
    <sheetView zoomScale="80" zoomScaleNormal="80" workbookViewId="0">
      <selection activeCell="G28" sqref="G28"/>
    </sheetView>
  </sheetViews>
  <sheetFormatPr baseColWidth="10" defaultRowHeight="15.75"/>
  <cols>
    <col min="1" max="1" width="20.625" style="177" customWidth="1"/>
    <col min="2" max="2" width="22.125" style="177" customWidth="1"/>
    <col min="3" max="3" width="13.125" style="177" customWidth="1"/>
    <col min="4" max="14" width="11" style="177"/>
    <col min="15" max="15" width="20.5" style="177" customWidth="1"/>
    <col min="16" max="16384" width="11" style="177"/>
  </cols>
  <sheetData>
    <row r="1" spans="1:7" ht="47.25">
      <c r="A1" s="44" t="s">
        <v>418</v>
      </c>
      <c r="B1" s="13" t="s">
        <v>7</v>
      </c>
      <c r="C1" s="44"/>
      <c r="D1" s="44"/>
      <c r="E1" s="44"/>
    </row>
    <row r="2" spans="1:7" ht="78.75">
      <c r="A2" s="13"/>
      <c r="B2" s="177" t="s">
        <v>599</v>
      </c>
      <c r="C2" s="5" t="s">
        <v>600</v>
      </c>
    </row>
    <row r="3" spans="1:7" ht="31.5">
      <c r="A3" s="13"/>
      <c r="C3" s="177" t="s">
        <v>602</v>
      </c>
      <c r="D3" s="5" t="s">
        <v>603</v>
      </c>
      <c r="E3" s="177" t="s">
        <v>604</v>
      </c>
      <c r="F3" s="17" t="s">
        <v>605</v>
      </c>
      <c r="G3" s="17" t="s">
        <v>606</v>
      </c>
    </row>
    <row r="4" spans="1:7">
      <c r="A4" s="13"/>
      <c r="B4" s="177" t="s">
        <v>601</v>
      </c>
      <c r="C4" s="177">
        <v>0.4</v>
      </c>
      <c r="D4" s="177">
        <v>0.3</v>
      </c>
      <c r="E4" s="177">
        <v>0.2</v>
      </c>
      <c r="F4" s="17">
        <v>0.5</v>
      </c>
      <c r="G4" s="17">
        <v>0</v>
      </c>
    </row>
    <row r="5" spans="1:7">
      <c r="A5" s="13"/>
      <c r="B5" s="177" t="s">
        <v>607</v>
      </c>
      <c r="C5" s="177">
        <v>0.14000000000000001</v>
      </c>
    </row>
    <row r="6" spans="1:7">
      <c r="A6" s="13"/>
      <c r="B6" s="5" t="s">
        <v>692</v>
      </c>
      <c r="C6" s="177">
        <v>7.0000000000000007E-2</v>
      </c>
      <c r="D6" s="177" t="s">
        <v>695</v>
      </c>
    </row>
    <row r="7" spans="1:7">
      <c r="A7" s="13"/>
      <c r="B7" s="177" t="s">
        <v>693</v>
      </c>
      <c r="C7" s="177">
        <v>0.3</v>
      </c>
      <c r="D7" s="177" t="s">
        <v>694</v>
      </c>
    </row>
    <row r="8" spans="1:7">
      <c r="A8" s="1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7">
    <tabColor theme="9" tint="0.79998168889431442"/>
  </sheetPr>
  <dimension ref="A1:K37"/>
  <sheetViews>
    <sheetView topLeftCell="A16" zoomScale="80" zoomScaleNormal="80" workbookViewId="0">
      <selection activeCell="G19" sqref="G19:K19"/>
    </sheetView>
  </sheetViews>
  <sheetFormatPr baseColWidth="10" defaultRowHeight="15.75"/>
  <cols>
    <col min="1" max="1" width="20.625" customWidth="1"/>
    <col min="2" max="2" width="17" customWidth="1"/>
    <col min="15" max="15" width="20.5" customWidth="1"/>
  </cols>
  <sheetData>
    <row r="1" spans="1:6">
      <c r="A1" s="297" t="s">
        <v>158</v>
      </c>
      <c r="B1" s="298"/>
      <c r="C1" s="298"/>
      <c r="D1" s="298"/>
      <c r="E1" s="298"/>
      <c r="F1" s="299"/>
    </row>
    <row r="2" spans="1:6" ht="63">
      <c r="A2" s="324" t="s">
        <v>159</v>
      </c>
      <c r="B2" s="44" t="s">
        <v>160</v>
      </c>
      <c r="C2" s="44" t="s">
        <v>168</v>
      </c>
      <c r="D2" s="13"/>
      <c r="E2" s="13"/>
      <c r="F2" s="13"/>
    </row>
    <row r="3" spans="1:6">
      <c r="A3" s="324"/>
      <c r="B3">
        <v>1</v>
      </c>
      <c r="C3">
        <v>5</v>
      </c>
    </row>
    <row r="4" spans="1:6">
      <c r="A4" s="324"/>
      <c r="B4">
        <v>2</v>
      </c>
      <c r="C4">
        <v>7</v>
      </c>
    </row>
    <row r="5" spans="1:6">
      <c r="A5" s="324"/>
      <c r="B5">
        <v>2.5</v>
      </c>
      <c r="C5">
        <v>9</v>
      </c>
    </row>
    <row r="6" spans="1:6">
      <c r="A6" s="324"/>
      <c r="B6">
        <v>3</v>
      </c>
      <c r="C6">
        <v>10</v>
      </c>
    </row>
    <row r="7" spans="1:6">
      <c r="A7" s="324"/>
      <c r="B7">
        <v>3.5</v>
      </c>
      <c r="C7">
        <v>12</v>
      </c>
    </row>
    <row r="8" spans="1:6">
      <c r="A8" s="44" t="s">
        <v>161</v>
      </c>
      <c r="B8" s="312" t="s">
        <v>162</v>
      </c>
      <c r="C8" s="312"/>
      <c r="D8" s="312"/>
      <c r="E8" s="13"/>
      <c r="F8" s="13"/>
    </row>
    <row r="9" spans="1:6">
      <c r="A9" s="44"/>
      <c r="B9" s="77">
        <v>1</v>
      </c>
      <c r="C9" s="44" t="s">
        <v>163</v>
      </c>
      <c r="D9" s="44" t="s">
        <v>164</v>
      </c>
      <c r="E9" s="13"/>
      <c r="F9" s="13"/>
    </row>
    <row r="10" spans="1:6">
      <c r="A10" s="44" t="s">
        <v>165</v>
      </c>
      <c r="B10">
        <v>1</v>
      </c>
      <c r="C10">
        <v>0.85</v>
      </c>
      <c r="D10">
        <v>0.7</v>
      </c>
    </row>
    <row r="11" spans="1:6">
      <c r="A11" s="44" t="s">
        <v>166</v>
      </c>
      <c r="B11">
        <v>0.9</v>
      </c>
      <c r="C11">
        <v>0.8</v>
      </c>
      <c r="D11">
        <v>0.65</v>
      </c>
    </row>
    <row r="12" spans="1:6" ht="31.5">
      <c r="A12" s="44" t="s">
        <v>167</v>
      </c>
      <c r="B12" s="44" t="s">
        <v>169</v>
      </c>
      <c r="C12" s="13" t="s">
        <v>170</v>
      </c>
      <c r="D12" s="13"/>
      <c r="E12" s="13"/>
      <c r="F12" s="13"/>
    </row>
    <row r="13" spans="1:6">
      <c r="A13" s="13"/>
      <c r="B13">
        <v>2</v>
      </c>
      <c r="C13">
        <v>4</v>
      </c>
    </row>
    <row r="14" spans="1:6" ht="31.5">
      <c r="A14" s="44" t="s">
        <v>171</v>
      </c>
      <c r="B14" s="44" t="s">
        <v>172</v>
      </c>
      <c r="C14" s="44" t="s">
        <v>173</v>
      </c>
      <c r="D14" s="44" t="s">
        <v>174</v>
      </c>
      <c r="E14" s="13"/>
      <c r="F14" s="13"/>
    </row>
    <row r="15" spans="1:6">
      <c r="A15" s="13" t="s">
        <v>175</v>
      </c>
      <c r="B15">
        <v>1.5</v>
      </c>
      <c r="C15">
        <v>1.5</v>
      </c>
      <c r="D15">
        <v>1.5</v>
      </c>
    </row>
    <row r="16" spans="1:6" ht="31.5">
      <c r="A16" s="44" t="s">
        <v>176</v>
      </c>
      <c r="B16">
        <v>2.35</v>
      </c>
      <c r="C16">
        <v>2.5</v>
      </c>
      <c r="D16">
        <v>4</v>
      </c>
    </row>
    <row r="17" spans="1:11">
      <c r="A17" s="13" t="s">
        <v>177</v>
      </c>
      <c r="B17">
        <v>1.5</v>
      </c>
      <c r="C17">
        <v>1.5</v>
      </c>
      <c r="D17">
        <v>1</v>
      </c>
    </row>
    <row r="18" spans="1:11">
      <c r="A18" s="13"/>
    </row>
    <row r="19" spans="1:11" ht="47.25">
      <c r="A19" s="44" t="s">
        <v>180</v>
      </c>
      <c r="B19" s="296" t="s">
        <v>179</v>
      </c>
      <c r="C19" s="296"/>
      <c r="D19" s="296"/>
      <c r="E19" s="296"/>
      <c r="F19" s="296"/>
      <c r="G19" s="296" t="s">
        <v>655</v>
      </c>
      <c r="H19" s="296"/>
      <c r="I19" s="296"/>
      <c r="J19" s="296"/>
      <c r="K19" s="296"/>
    </row>
    <row r="20" spans="1:11">
      <c r="A20" s="13"/>
      <c r="B20">
        <v>100</v>
      </c>
      <c r="C20">
        <v>300</v>
      </c>
      <c r="D20">
        <v>500</v>
      </c>
      <c r="E20">
        <v>700</v>
      </c>
      <c r="F20">
        <v>900</v>
      </c>
      <c r="G20" s="131">
        <v>37.777777780000001</v>
      </c>
      <c r="H20" s="131">
        <v>148.88888890000001</v>
      </c>
      <c r="I20" s="131">
        <v>260</v>
      </c>
      <c r="J20" s="131">
        <v>371.11111110000002</v>
      </c>
      <c r="K20" s="131">
        <v>482.22222219999998</v>
      </c>
    </row>
    <row r="21" spans="1:11">
      <c r="A21" s="13" t="s">
        <v>172</v>
      </c>
      <c r="B21">
        <v>12.9</v>
      </c>
      <c r="C21">
        <v>12.9</v>
      </c>
      <c r="D21">
        <v>12.9</v>
      </c>
      <c r="E21">
        <v>11.5</v>
      </c>
      <c r="F21">
        <v>5.9</v>
      </c>
      <c r="G21" s="131">
        <v>88.942369080000006</v>
      </c>
      <c r="H21" s="131">
        <v>88.942369080000006</v>
      </c>
      <c r="I21" s="131">
        <v>88.942369080000006</v>
      </c>
      <c r="J21" s="131">
        <v>79.289708869999998</v>
      </c>
      <c r="K21" s="131">
        <v>40.679068030000003</v>
      </c>
    </row>
    <row r="22" spans="1:11">
      <c r="A22" s="78" t="s">
        <v>181</v>
      </c>
      <c r="B22">
        <v>17.100000000000001</v>
      </c>
      <c r="C22">
        <v>17.100000000000001</v>
      </c>
      <c r="D22">
        <v>17.100000000000001</v>
      </c>
      <c r="E22">
        <v>14.3</v>
      </c>
      <c r="F22">
        <v>5.9</v>
      </c>
      <c r="G22" s="131">
        <v>117.90034970000001</v>
      </c>
      <c r="H22" s="131">
        <v>117.90034970000001</v>
      </c>
      <c r="I22" s="131">
        <v>117.90034970000001</v>
      </c>
      <c r="J22" s="131">
        <v>98.595029289999999</v>
      </c>
      <c r="K22" s="131">
        <v>40.679068030000003</v>
      </c>
    </row>
    <row r="23" spans="1:11" ht="47.25">
      <c r="A23" s="44" t="s">
        <v>196</v>
      </c>
      <c r="B23" t="s">
        <v>197</v>
      </c>
      <c r="C23" t="s">
        <v>15</v>
      </c>
      <c r="D23" t="s">
        <v>16</v>
      </c>
      <c r="E23" t="s">
        <v>200</v>
      </c>
      <c r="F23" t="s">
        <v>199</v>
      </c>
      <c r="G23" t="s">
        <v>202</v>
      </c>
    </row>
    <row r="24" spans="1:11">
      <c r="A24" s="13" t="s">
        <v>204</v>
      </c>
      <c r="B24" t="s">
        <v>198</v>
      </c>
      <c r="C24">
        <v>17400</v>
      </c>
      <c r="D24">
        <v>79</v>
      </c>
      <c r="E24">
        <v>0.85</v>
      </c>
      <c r="F24">
        <v>120</v>
      </c>
      <c r="G24">
        <v>250000</v>
      </c>
    </row>
    <row r="25" spans="1:11">
      <c r="A25" s="13" t="s">
        <v>205</v>
      </c>
      <c r="B25" t="s">
        <v>201</v>
      </c>
      <c r="C25">
        <v>61500</v>
      </c>
      <c r="D25">
        <v>32500</v>
      </c>
      <c r="E25">
        <v>0.8</v>
      </c>
      <c r="F25">
        <v>0.5</v>
      </c>
      <c r="G25">
        <v>100</v>
      </c>
    </row>
    <row r="26" spans="1:11">
      <c r="A26" s="13" t="s">
        <v>206</v>
      </c>
      <c r="B26" t="s">
        <v>203</v>
      </c>
      <c r="C26">
        <v>113000</v>
      </c>
      <c r="D26">
        <v>3250</v>
      </c>
      <c r="E26">
        <v>0.65</v>
      </c>
      <c r="F26">
        <v>100</v>
      </c>
      <c r="G26">
        <v>10000</v>
      </c>
    </row>
    <row r="27" spans="1:11" ht="31.5">
      <c r="A27" s="44" t="s">
        <v>488</v>
      </c>
      <c r="B27" t="s">
        <v>489</v>
      </c>
      <c r="C27">
        <v>580000</v>
      </c>
      <c r="D27">
        <v>20000</v>
      </c>
      <c r="E27">
        <v>0.6</v>
      </c>
      <c r="F27">
        <v>75</v>
      </c>
      <c r="G27">
        <v>30000</v>
      </c>
    </row>
    <row r="28" spans="1:11">
      <c r="A28" s="13" t="s">
        <v>502</v>
      </c>
      <c r="B28" t="s">
        <v>503</v>
      </c>
      <c r="C28">
        <v>28000</v>
      </c>
      <c r="D28">
        <v>54</v>
      </c>
      <c r="E28">
        <v>1.2</v>
      </c>
      <c r="F28">
        <v>10</v>
      </c>
      <c r="G28">
        <v>1000</v>
      </c>
    </row>
    <row r="29" spans="1:11" s="141" customFormat="1">
      <c r="A29" s="13" t="s">
        <v>517</v>
      </c>
      <c r="B29" s="141" t="s">
        <v>516</v>
      </c>
      <c r="C29" s="141">
        <v>80000</v>
      </c>
      <c r="D29" s="141">
        <v>109000</v>
      </c>
      <c r="E29" s="141">
        <v>0.8</v>
      </c>
      <c r="F29" s="17">
        <v>0.2</v>
      </c>
      <c r="G29" s="17">
        <v>60</v>
      </c>
    </row>
    <row r="30" spans="1:11" ht="47.25">
      <c r="A30" s="44" t="s">
        <v>418</v>
      </c>
      <c r="B30" s="13" t="s">
        <v>7</v>
      </c>
      <c r="C30" s="44" t="s">
        <v>419</v>
      </c>
      <c r="D30" s="44" t="s">
        <v>420</v>
      </c>
      <c r="E30" s="44" t="s">
        <v>421</v>
      </c>
    </row>
    <row r="31" spans="1:11">
      <c r="A31" s="13"/>
      <c r="B31" t="s">
        <v>422</v>
      </c>
      <c r="C31">
        <v>3.3</v>
      </c>
      <c r="D31">
        <v>3.2</v>
      </c>
      <c r="E31">
        <v>2.5</v>
      </c>
    </row>
    <row r="32" spans="1:11">
      <c r="A32" s="13"/>
      <c r="B32" t="s">
        <v>423</v>
      </c>
      <c r="C32">
        <v>0.3</v>
      </c>
      <c r="D32">
        <v>0.4</v>
      </c>
      <c r="E32">
        <v>0.4</v>
      </c>
    </row>
    <row r="33" spans="1:5" ht="31.5">
      <c r="A33" s="13"/>
      <c r="B33" s="5" t="s">
        <v>424</v>
      </c>
      <c r="C33">
        <v>0.3</v>
      </c>
      <c r="D33">
        <v>0.25</v>
      </c>
      <c r="E33">
        <v>0.2</v>
      </c>
    </row>
    <row r="34" spans="1:5">
      <c r="A34" s="13"/>
      <c r="B34" t="s">
        <v>425</v>
      </c>
      <c r="C34">
        <v>0.1</v>
      </c>
      <c r="D34">
        <v>0.1</v>
      </c>
      <c r="E34">
        <v>0.1</v>
      </c>
    </row>
    <row r="35" spans="1:5" ht="31.5">
      <c r="A35" s="13"/>
      <c r="B35" s="5" t="s">
        <v>426</v>
      </c>
      <c r="C35">
        <v>6</v>
      </c>
      <c r="D35">
        <v>6.05</v>
      </c>
      <c r="E35">
        <v>4.55</v>
      </c>
    </row>
    <row r="36" spans="1:5">
      <c r="A36" s="13"/>
    </row>
    <row r="37" spans="1:5">
      <c r="A37" s="13"/>
    </row>
  </sheetData>
  <mergeCells count="5">
    <mergeCell ref="A1:F1"/>
    <mergeCell ref="A2:A7"/>
    <mergeCell ref="B8:D8"/>
    <mergeCell ref="B19:F19"/>
    <mergeCell ref="G19:K19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N22"/>
  <sheetViews>
    <sheetView topLeftCell="I10" zoomScaleNormal="100" workbookViewId="0">
      <selection activeCell="E30" sqref="E30"/>
    </sheetView>
  </sheetViews>
  <sheetFormatPr baseColWidth="10" defaultRowHeight="15.75"/>
  <cols>
    <col min="1" max="1" width="16" style="160" customWidth="1"/>
    <col min="2" max="2" width="9.375" style="160" customWidth="1"/>
    <col min="3" max="3" width="10.875" style="160" customWidth="1"/>
    <col min="4" max="4" width="10.375" style="160" customWidth="1"/>
    <col min="5" max="6" width="8.75" style="160" customWidth="1"/>
    <col min="7" max="7" width="9.25" style="160" customWidth="1"/>
    <col min="8" max="8" width="8.75" style="160" customWidth="1"/>
    <col min="9" max="11" width="5.25" style="160" bestFit="1" customWidth="1"/>
    <col min="12" max="13" width="11" style="160"/>
    <col min="14" max="14" width="35.75" style="160" customWidth="1"/>
    <col min="15" max="16384" width="11" style="160"/>
  </cols>
  <sheetData>
    <row r="1" spans="1:14">
      <c r="B1" s="296" t="s">
        <v>551</v>
      </c>
      <c r="C1" s="296"/>
      <c r="D1" s="296"/>
      <c r="E1" s="296"/>
      <c r="F1" s="296"/>
      <c r="G1" s="296"/>
      <c r="H1" s="296"/>
      <c r="I1" s="296"/>
      <c r="J1" s="296"/>
      <c r="K1" s="296"/>
      <c r="L1" s="296"/>
    </row>
    <row r="2" spans="1:14">
      <c r="B2" s="13"/>
      <c r="C2" s="13">
        <v>0</v>
      </c>
      <c r="D2" s="13">
        <v>25</v>
      </c>
      <c r="E2" s="13">
        <v>50</v>
      </c>
      <c r="F2" s="13">
        <v>75</v>
      </c>
      <c r="G2" s="13">
        <v>100</v>
      </c>
      <c r="H2" s="13">
        <v>150</v>
      </c>
      <c r="I2" s="13">
        <v>200</v>
      </c>
      <c r="J2" s="13">
        <v>250</v>
      </c>
      <c r="K2" s="13">
        <v>300</v>
      </c>
      <c r="L2" s="13">
        <v>350</v>
      </c>
      <c r="N2" s="160" t="s">
        <v>552</v>
      </c>
    </row>
    <row r="3" spans="1:14">
      <c r="A3" s="324" t="s">
        <v>553</v>
      </c>
      <c r="B3" s="13">
        <v>1</v>
      </c>
      <c r="C3" s="160">
        <v>1792</v>
      </c>
      <c r="D3" s="160">
        <v>890.4</v>
      </c>
      <c r="E3" s="160">
        <v>547.1</v>
      </c>
      <c r="F3" s="160">
        <v>377.9</v>
      </c>
      <c r="G3" s="160">
        <v>12.27</v>
      </c>
      <c r="H3" s="160">
        <v>14.18</v>
      </c>
      <c r="I3" s="160">
        <v>16.18</v>
      </c>
      <c r="J3" s="160">
        <v>18.22</v>
      </c>
      <c r="K3" s="160">
        <v>20.29</v>
      </c>
      <c r="L3" s="160">
        <v>22.37</v>
      </c>
      <c r="N3" s="160" t="s">
        <v>554</v>
      </c>
    </row>
    <row r="4" spans="1:14">
      <c r="A4" s="324"/>
      <c r="B4" s="13">
        <v>5</v>
      </c>
      <c r="C4" s="160">
        <v>1791</v>
      </c>
      <c r="D4" s="160">
        <v>890.4</v>
      </c>
      <c r="E4" s="160">
        <v>547.1</v>
      </c>
      <c r="F4" s="160">
        <v>378</v>
      </c>
      <c r="G4" s="160">
        <v>282</v>
      </c>
      <c r="H4" s="160">
        <v>182.5</v>
      </c>
      <c r="I4" s="160">
        <v>16.05</v>
      </c>
      <c r="J4" s="160">
        <v>18.14</v>
      </c>
      <c r="K4" s="160">
        <v>20.239999999999998</v>
      </c>
      <c r="L4" s="160">
        <v>22.34</v>
      </c>
    </row>
    <row r="5" spans="1:14">
      <c r="A5" s="324"/>
      <c r="B5" s="13">
        <v>10</v>
      </c>
      <c r="C5" s="160">
        <v>1790</v>
      </c>
      <c r="D5" s="160">
        <v>890.2</v>
      </c>
      <c r="E5" s="160">
        <v>547.20000000000005</v>
      </c>
      <c r="F5" s="160">
        <v>378.1</v>
      </c>
      <c r="G5" s="160">
        <v>282.10000000000002</v>
      </c>
      <c r="H5" s="160">
        <v>182.7</v>
      </c>
      <c r="I5" s="160">
        <v>15.89</v>
      </c>
      <c r="J5" s="160">
        <v>18.04</v>
      </c>
      <c r="K5" s="160">
        <v>20.18</v>
      </c>
      <c r="L5" s="160">
        <v>22.31</v>
      </c>
    </row>
    <row r="6" spans="1:14">
      <c r="A6" s="324"/>
      <c r="B6" s="13">
        <v>20</v>
      </c>
      <c r="C6" s="160">
        <v>1788</v>
      </c>
      <c r="D6" s="160">
        <v>890</v>
      </c>
      <c r="E6" s="160">
        <v>547.4</v>
      </c>
      <c r="F6" s="160">
        <v>378.4</v>
      </c>
      <c r="G6" s="160">
        <v>282.39999999999998</v>
      </c>
      <c r="H6" s="160">
        <v>182.9</v>
      </c>
      <c r="I6" s="160">
        <v>134.5</v>
      </c>
      <c r="J6" s="160">
        <v>17.850000000000001</v>
      </c>
      <c r="K6" s="160">
        <v>20.07</v>
      </c>
      <c r="L6" s="160">
        <v>22.25</v>
      </c>
    </row>
    <row r="7" spans="1:14">
      <c r="A7" s="324"/>
      <c r="B7" s="13">
        <v>30</v>
      </c>
      <c r="C7" s="160">
        <v>1785</v>
      </c>
      <c r="D7" s="160">
        <v>889.8</v>
      </c>
      <c r="E7" s="160">
        <v>547.6</v>
      </c>
      <c r="F7" s="160">
        <v>378.7</v>
      </c>
      <c r="G7" s="160">
        <v>282.7</v>
      </c>
      <c r="H7" s="160">
        <v>183.2</v>
      </c>
      <c r="I7" s="160">
        <v>134.69999999999999</v>
      </c>
      <c r="J7" s="160">
        <v>17.670000000000002</v>
      </c>
      <c r="K7" s="160">
        <v>19.97</v>
      </c>
      <c r="L7" s="160">
        <v>22.2</v>
      </c>
    </row>
    <row r="8" spans="1:14">
      <c r="A8" s="324"/>
      <c r="B8" s="13">
        <v>40</v>
      </c>
      <c r="C8" s="160">
        <v>1783</v>
      </c>
      <c r="D8" s="160">
        <v>889.6</v>
      </c>
      <c r="E8" s="160">
        <v>547.79999999999995</v>
      </c>
      <c r="F8" s="160">
        <v>378.9</v>
      </c>
      <c r="G8" s="160">
        <v>282.89999999999998</v>
      </c>
      <c r="H8" s="160">
        <v>183.4</v>
      </c>
      <c r="I8" s="160">
        <v>135</v>
      </c>
      <c r="J8" s="160">
        <v>106.2</v>
      </c>
      <c r="K8" s="160">
        <v>19.88</v>
      </c>
      <c r="L8" s="160">
        <v>22.16</v>
      </c>
    </row>
    <row r="9" spans="1:14">
      <c r="A9" s="324"/>
      <c r="B9" s="13">
        <v>50</v>
      </c>
      <c r="C9" s="160">
        <v>1780</v>
      </c>
      <c r="D9" s="160">
        <v>889.4</v>
      </c>
      <c r="E9" s="160">
        <v>547.9</v>
      </c>
      <c r="F9" s="160">
        <v>379.2</v>
      </c>
      <c r="G9" s="160">
        <v>283.2</v>
      </c>
      <c r="H9" s="160">
        <v>183.7</v>
      </c>
      <c r="I9" s="160">
        <v>135.19999999999999</v>
      </c>
      <c r="J9" s="160">
        <v>106.5</v>
      </c>
      <c r="K9" s="160">
        <v>19.8</v>
      </c>
      <c r="L9" s="160">
        <v>22.12</v>
      </c>
    </row>
    <row r="10" spans="1:14">
      <c r="A10" s="324"/>
      <c r="B10" s="13">
        <v>60</v>
      </c>
      <c r="C10" s="160">
        <v>1778</v>
      </c>
      <c r="D10" s="160">
        <v>889.1</v>
      </c>
      <c r="E10" s="160">
        <v>548.1</v>
      </c>
      <c r="F10" s="160">
        <v>379.4</v>
      </c>
      <c r="G10" s="160">
        <v>283.5</v>
      </c>
      <c r="H10" s="160">
        <v>183.9</v>
      </c>
      <c r="I10" s="160">
        <v>135.5</v>
      </c>
      <c r="J10" s="160">
        <v>106.7</v>
      </c>
      <c r="K10" s="160">
        <v>19.73</v>
      </c>
      <c r="L10" s="160">
        <v>22.1</v>
      </c>
    </row>
    <row r="11" spans="1:14">
      <c r="A11" s="324"/>
      <c r="B11" s="13">
        <v>70</v>
      </c>
      <c r="C11" s="160">
        <v>1776</v>
      </c>
      <c r="D11" s="160">
        <v>888.9</v>
      </c>
      <c r="E11" s="160">
        <v>548.29999999999995</v>
      </c>
      <c r="F11" s="160">
        <v>379.7</v>
      </c>
      <c r="G11" s="160">
        <v>283.7</v>
      </c>
      <c r="H11" s="160">
        <v>184.2</v>
      </c>
      <c r="I11" s="160">
        <v>135.69999999999999</v>
      </c>
      <c r="J11" s="160">
        <v>107</v>
      </c>
      <c r="K11" s="160">
        <v>19.68</v>
      </c>
      <c r="L11" s="160">
        <v>22.09</v>
      </c>
    </row>
    <row r="12" spans="1:14">
      <c r="A12" s="324"/>
      <c r="B12" s="13">
        <v>80</v>
      </c>
      <c r="C12" s="160">
        <v>1773</v>
      </c>
      <c r="D12" s="160">
        <v>888.7</v>
      </c>
      <c r="E12" s="160">
        <v>548.5</v>
      </c>
      <c r="F12" s="160">
        <v>380</v>
      </c>
      <c r="G12" s="160">
        <v>284</v>
      </c>
      <c r="H12" s="160">
        <v>184.4</v>
      </c>
      <c r="I12" s="160">
        <v>136</v>
      </c>
      <c r="J12" s="160">
        <v>107.3</v>
      </c>
      <c r="K12" s="160">
        <v>19.649999999999999</v>
      </c>
      <c r="L12" s="160">
        <v>22.09</v>
      </c>
    </row>
    <row r="13" spans="1:14">
      <c r="A13" s="324"/>
      <c r="B13" s="13">
        <v>90</v>
      </c>
      <c r="C13" s="160">
        <v>1771</v>
      </c>
      <c r="D13" s="160">
        <v>888.6</v>
      </c>
      <c r="E13" s="160">
        <v>548.70000000000005</v>
      </c>
      <c r="F13" s="160">
        <v>380.2</v>
      </c>
      <c r="G13" s="160">
        <v>284.3</v>
      </c>
      <c r="H13" s="160">
        <v>184.7</v>
      </c>
      <c r="I13" s="160">
        <v>136.19999999999999</v>
      </c>
      <c r="J13" s="160">
        <v>107.6</v>
      </c>
      <c r="K13" s="160">
        <v>86.12</v>
      </c>
      <c r="L13" s="160">
        <v>22.11</v>
      </c>
    </row>
    <row r="14" spans="1:14">
      <c r="A14" s="324"/>
      <c r="B14" s="13">
        <v>100</v>
      </c>
      <c r="C14" s="160">
        <v>1769</v>
      </c>
      <c r="D14" s="160">
        <v>888.4</v>
      </c>
      <c r="E14" s="160">
        <v>548.9</v>
      </c>
      <c r="F14" s="160">
        <v>380.5</v>
      </c>
      <c r="G14" s="160">
        <v>284.5</v>
      </c>
      <c r="H14" s="160">
        <v>184.9</v>
      </c>
      <c r="I14" s="160">
        <v>136.5</v>
      </c>
      <c r="J14" s="160">
        <v>107.8</v>
      </c>
      <c r="K14" s="160">
        <v>86.52</v>
      </c>
      <c r="L14" s="160">
        <v>22.15</v>
      </c>
    </row>
    <row r="18" spans="1:8">
      <c r="A18" s="325" t="s">
        <v>555</v>
      </c>
      <c r="B18" s="74" t="s">
        <v>15</v>
      </c>
      <c r="C18" s="74" t="s">
        <v>16</v>
      </c>
      <c r="D18" s="74" t="s">
        <v>24</v>
      </c>
      <c r="E18" s="74" t="s">
        <v>83</v>
      </c>
      <c r="F18" s="74" t="s">
        <v>84</v>
      </c>
      <c r="G18" s="74" t="s">
        <v>556</v>
      </c>
      <c r="H18" s="74" t="s">
        <v>557</v>
      </c>
    </row>
    <row r="19" spans="1:8">
      <c r="A19" s="325"/>
      <c r="B19" s="162">
        <v>3.9999999999999998E-11</v>
      </c>
      <c r="C19" s="162">
        <v>-4.9999999999999998E-8</v>
      </c>
      <c r="D19" s="162">
        <v>2.0000000000000002E-5</v>
      </c>
      <c r="E19" s="162">
        <v>-5.4999999999999997E-3</v>
      </c>
      <c r="F19" s="162">
        <v>0.70620000000000005</v>
      </c>
      <c r="G19" s="162">
        <v>-48.792000000000002</v>
      </c>
      <c r="H19" s="162">
        <v>1763.8</v>
      </c>
    </row>
    <row r="21" spans="1:8">
      <c r="A21" s="160" t="s">
        <v>561</v>
      </c>
      <c r="B21" s="160" t="s">
        <v>18</v>
      </c>
      <c r="C21" s="160" t="s">
        <v>562</v>
      </c>
    </row>
    <row r="22" spans="1:8">
      <c r="B22" s="160">
        <v>25</v>
      </c>
      <c r="C22" s="80">
        <f>B19*B22^6+C19*B22^5+D19*B22^4+E19*B22^3+F19*B22^2+G19*B22^1+H19</f>
        <v>906.771484375</v>
      </c>
      <c r="D22" s="160" t="s">
        <v>563</v>
      </c>
    </row>
  </sheetData>
  <mergeCells count="3">
    <mergeCell ref="B1:L1"/>
    <mergeCell ref="A3:A14"/>
    <mergeCell ref="A18:A19"/>
  </mergeCells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8">
    <tabColor theme="9" tint="0.79998168889431442"/>
  </sheetPr>
  <dimension ref="A1:N35"/>
  <sheetViews>
    <sheetView zoomScale="60" zoomScaleNormal="60" workbookViewId="0">
      <selection activeCell="N10" sqref="N10"/>
    </sheetView>
  </sheetViews>
  <sheetFormatPr baseColWidth="10" defaultRowHeight="15.75"/>
  <cols>
    <col min="1" max="1" width="16.625" customWidth="1"/>
    <col min="3" max="3" width="13.625" customWidth="1"/>
    <col min="4" max="4" width="11.5" bestFit="1" customWidth="1"/>
    <col min="5" max="6" width="11.875" bestFit="1" customWidth="1"/>
    <col min="10" max="10" width="15.125" customWidth="1"/>
    <col min="12" max="12" width="21.625" customWidth="1"/>
    <col min="13" max="13" width="18.875" customWidth="1"/>
    <col min="14" max="14" width="46.875" customWidth="1"/>
  </cols>
  <sheetData>
    <row r="1" spans="1:14">
      <c r="A1" t="s">
        <v>220</v>
      </c>
      <c r="B1" t="s">
        <v>211</v>
      </c>
      <c r="I1" s="79"/>
    </row>
    <row r="2" spans="1:14" ht="31.5">
      <c r="A2" t="s">
        <v>223</v>
      </c>
      <c r="B2" t="s">
        <v>224</v>
      </c>
      <c r="M2" s="47"/>
      <c r="N2" s="5" t="s">
        <v>588</v>
      </c>
    </row>
    <row r="4" spans="1:14" ht="31.5">
      <c r="A4" s="44" t="s">
        <v>212</v>
      </c>
      <c r="B4" s="13" t="s">
        <v>15</v>
      </c>
      <c r="C4" s="13" t="s">
        <v>16</v>
      </c>
      <c r="D4" s="13" t="s">
        <v>24</v>
      </c>
      <c r="E4" s="13" t="s">
        <v>83</v>
      </c>
      <c r="F4" s="13" t="s">
        <v>84</v>
      </c>
      <c r="G4" s="13" t="s">
        <v>226</v>
      </c>
      <c r="H4" s="13" t="s">
        <v>225</v>
      </c>
      <c r="I4" s="13" t="s">
        <v>45</v>
      </c>
      <c r="J4" s="44" t="s">
        <v>213</v>
      </c>
      <c r="K4" s="13" t="s">
        <v>214</v>
      </c>
      <c r="L4" s="13" t="s">
        <v>221</v>
      </c>
      <c r="M4" s="44" t="s">
        <v>222</v>
      </c>
    </row>
    <row r="5" spans="1:14" ht="63">
      <c r="A5" t="s">
        <v>216</v>
      </c>
      <c r="B5" s="127">
        <v>24.997350000000001</v>
      </c>
      <c r="C5" s="127">
        <v>55.186959999999999</v>
      </c>
      <c r="D5" s="127">
        <v>-33.691369999999999</v>
      </c>
      <c r="E5" s="127">
        <v>7.9483870000000003</v>
      </c>
      <c r="F5" s="127">
        <v>-0.13663800000000001</v>
      </c>
      <c r="G5" s="127">
        <v>298</v>
      </c>
      <c r="H5" s="127">
        <v>1200</v>
      </c>
      <c r="I5" t="s">
        <v>497</v>
      </c>
      <c r="J5" s="80">
        <v>-393.5</v>
      </c>
      <c r="K5">
        <v>44.1</v>
      </c>
      <c r="L5" s="51" t="s">
        <v>227</v>
      </c>
      <c r="M5" s="81" t="s">
        <v>228</v>
      </c>
    </row>
    <row r="6" spans="1:14" ht="63">
      <c r="A6" t="s">
        <v>215</v>
      </c>
      <c r="B6" s="127">
        <v>47.259950000000003</v>
      </c>
      <c r="C6" s="127">
        <v>5.6816209999999998</v>
      </c>
      <c r="D6" s="127">
        <v>-0.87266500000000002</v>
      </c>
      <c r="E6" s="127">
        <v>0.1043</v>
      </c>
      <c r="F6" s="127">
        <v>-1.053955</v>
      </c>
      <c r="G6" s="127">
        <v>298</v>
      </c>
      <c r="H6" s="127">
        <v>3105</v>
      </c>
      <c r="I6" s="157" t="s">
        <v>497</v>
      </c>
      <c r="J6" s="80">
        <v>-601.79999999999995</v>
      </c>
      <c r="K6">
        <v>40.32</v>
      </c>
      <c r="L6" s="51" t="s">
        <v>227</v>
      </c>
      <c r="M6" s="81" t="s">
        <v>228</v>
      </c>
    </row>
    <row r="7" spans="1:14" ht="63">
      <c r="A7" t="s">
        <v>246</v>
      </c>
      <c r="B7" s="127">
        <v>-6.0765909999999996</v>
      </c>
      <c r="C7" s="127">
        <v>251.6755</v>
      </c>
      <c r="D7" s="127">
        <v>-324.79640000000001</v>
      </c>
      <c r="E7" s="127">
        <v>168.56039999999999</v>
      </c>
      <c r="F7" s="127">
        <v>2.5479999999999999E-3</v>
      </c>
      <c r="G7" s="127">
        <v>298</v>
      </c>
      <c r="H7" s="127">
        <v>847</v>
      </c>
      <c r="I7" s="157" t="s">
        <v>497</v>
      </c>
      <c r="J7">
        <v>-859.4</v>
      </c>
      <c r="K7">
        <v>60.08</v>
      </c>
      <c r="L7" s="51" t="s">
        <v>227</v>
      </c>
      <c r="M7" s="81" t="s">
        <v>228</v>
      </c>
    </row>
    <row r="8" spans="1:14" ht="63">
      <c r="A8" t="s">
        <v>545</v>
      </c>
      <c r="B8" s="157">
        <v>93.438339999999997</v>
      </c>
      <c r="C8" s="157">
        <v>108.35769999999999</v>
      </c>
      <c r="D8" s="157">
        <v>-50.864469999999997</v>
      </c>
      <c r="E8" s="157">
        <v>25.586829999999999</v>
      </c>
      <c r="F8" s="157">
        <v>-1.6113299999999999</v>
      </c>
      <c r="G8" s="157">
        <v>298</v>
      </c>
      <c r="H8" s="19">
        <v>950</v>
      </c>
      <c r="I8" s="157" t="s">
        <v>497</v>
      </c>
      <c r="J8" s="157">
        <v>-865</v>
      </c>
      <c r="K8" s="157">
        <v>159.68799999999999</v>
      </c>
      <c r="L8" s="51" t="s">
        <v>227</v>
      </c>
      <c r="M8" s="81" t="s">
        <v>228</v>
      </c>
    </row>
    <row r="9" spans="1:14" ht="63">
      <c r="A9" t="s">
        <v>219</v>
      </c>
      <c r="B9" s="127">
        <v>44.936999999999998</v>
      </c>
      <c r="C9" s="127">
        <v>149.70849999999999</v>
      </c>
      <c r="D9" s="127">
        <v>-74.182739999999995</v>
      </c>
      <c r="E9" s="127">
        <v>11.976699999999999</v>
      </c>
      <c r="F9" s="127">
        <v>-0.62926099999999996</v>
      </c>
      <c r="G9" s="127">
        <v>298</v>
      </c>
      <c r="H9" s="127">
        <v>1000</v>
      </c>
      <c r="I9" s="157" t="s">
        <v>497</v>
      </c>
      <c r="J9" s="80">
        <v>-1095.8</v>
      </c>
      <c r="K9">
        <f>K5+K6</f>
        <v>84.42</v>
      </c>
      <c r="L9" s="51" t="s">
        <v>227</v>
      </c>
      <c r="M9" s="81" t="s">
        <v>228</v>
      </c>
    </row>
    <row r="10" spans="1:14" ht="63">
      <c r="A10" s="195" t="s">
        <v>218</v>
      </c>
      <c r="B10" s="195">
        <v>-203.60599999999999</v>
      </c>
      <c r="C10" s="195">
        <v>1523.29</v>
      </c>
      <c r="D10" s="195">
        <v>-3196.413</v>
      </c>
      <c r="E10" s="195">
        <v>2474.4549999999999</v>
      </c>
      <c r="F10" s="195">
        <v>3.8553259999999998</v>
      </c>
      <c r="G10" s="195">
        <v>298</v>
      </c>
      <c r="H10" s="195">
        <v>500</v>
      </c>
      <c r="I10" s="195" t="s">
        <v>497</v>
      </c>
      <c r="J10" s="80">
        <v>-285.83999999999997</v>
      </c>
      <c r="K10" s="195">
        <v>18.015999999999998</v>
      </c>
      <c r="L10" s="51" t="s">
        <v>227</v>
      </c>
      <c r="M10" s="81" t="s">
        <v>228</v>
      </c>
    </row>
    <row r="11" spans="1:14" ht="63">
      <c r="A11" t="s">
        <v>477</v>
      </c>
      <c r="B11" s="129"/>
      <c r="C11" s="129"/>
      <c r="D11" s="129"/>
      <c r="E11" s="129"/>
      <c r="F11" s="129"/>
      <c r="G11" s="153"/>
      <c r="H11" s="153"/>
      <c r="I11" s="157" t="s">
        <v>497</v>
      </c>
      <c r="J11" s="80"/>
      <c r="K11" s="156">
        <v>84.007000000000005</v>
      </c>
      <c r="L11" s="154"/>
      <c r="M11" s="81" t="s">
        <v>228</v>
      </c>
    </row>
    <row r="12" spans="1:14" ht="63">
      <c r="A12" t="s">
        <v>217</v>
      </c>
      <c r="B12" s="47"/>
      <c r="C12" s="47"/>
      <c r="D12" s="47"/>
      <c r="E12" s="47"/>
      <c r="F12" s="47"/>
      <c r="G12" s="153"/>
      <c r="H12" s="153"/>
      <c r="I12" s="157" t="s">
        <v>497</v>
      </c>
      <c r="J12" s="80"/>
      <c r="K12" s="156">
        <v>58.45</v>
      </c>
      <c r="L12" s="154"/>
      <c r="M12" s="81" t="s">
        <v>228</v>
      </c>
    </row>
    <row r="13" spans="1:14" ht="63">
      <c r="A13" t="s">
        <v>534</v>
      </c>
      <c r="B13" s="47"/>
      <c r="C13" s="47"/>
      <c r="D13" s="47"/>
      <c r="E13" s="47"/>
      <c r="F13" s="47"/>
      <c r="G13" s="153"/>
      <c r="H13" s="153"/>
      <c r="I13" s="157" t="s">
        <v>497</v>
      </c>
      <c r="J13" s="156"/>
      <c r="K13" s="156">
        <f>K6*2+K7</f>
        <v>140.72</v>
      </c>
      <c r="L13" s="47"/>
      <c r="M13" s="81" t="s">
        <v>228</v>
      </c>
    </row>
    <row r="14" spans="1:14" ht="45">
      <c r="A14" s="152" t="s">
        <v>536</v>
      </c>
      <c r="B14" s="47"/>
      <c r="C14" s="47"/>
      <c r="D14" s="47"/>
      <c r="E14" s="47"/>
      <c r="F14" s="47"/>
      <c r="G14" s="153"/>
      <c r="H14" s="153"/>
      <c r="I14" s="157" t="s">
        <v>497</v>
      </c>
      <c r="J14" s="156"/>
      <c r="K14" s="156">
        <v>90.034000000000006</v>
      </c>
      <c r="L14" s="47"/>
      <c r="M14" s="122" t="s">
        <v>539</v>
      </c>
    </row>
    <row r="15" spans="1:14" ht="45">
      <c r="A15" s="152" t="s">
        <v>537</v>
      </c>
      <c r="B15" s="47"/>
      <c r="C15" s="47"/>
      <c r="D15" s="47"/>
      <c r="E15" s="47"/>
      <c r="F15" s="47"/>
      <c r="G15" s="153"/>
      <c r="H15" s="153"/>
      <c r="I15" s="157" t="s">
        <v>497</v>
      </c>
      <c r="J15" s="156"/>
      <c r="K15" s="156">
        <v>176.12</v>
      </c>
      <c r="L15" s="47"/>
      <c r="M15" s="122" t="s">
        <v>538</v>
      </c>
    </row>
    <row r="16" spans="1:14" ht="63">
      <c r="A16" s="175" t="s">
        <v>589</v>
      </c>
      <c r="B16" s="47"/>
      <c r="C16" s="47"/>
      <c r="D16" s="47"/>
      <c r="E16" s="47"/>
      <c r="F16" s="47"/>
      <c r="G16" s="175"/>
      <c r="H16" s="175"/>
      <c r="I16" s="175" t="s">
        <v>497</v>
      </c>
      <c r="J16" s="80"/>
      <c r="K16" s="176">
        <v>61.08</v>
      </c>
      <c r="L16" s="154"/>
      <c r="M16" s="81" t="s">
        <v>228</v>
      </c>
    </row>
    <row r="17" spans="1:13" s="175" customFormat="1" ht="63">
      <c r="A17" t="s">
        <v>249</v>
      </c>
      <c r="B17" s="47"/>
      <c r="C17" s="47"/>
      <c r="D17" s="47"/>
      <c r="E17" s="47"/>
      <c r="F17" s="47"/>
      <c r="G17" s="153"/>
      <c r="H17" s="153"/>
      <c r="I17" s="157" t="s">
        <v>497</v>
      </c>
      <c r="J17" s="80"/>
      <c r="K17" s="80">
        <v>17.030999999999999</v>
      </c>
      <c r="L17" s="154"/>
      <c r="M17" s="81" t="s">
        <v>228</v>
      </c>
    </row>
    <row r="18" spans="1:13">
      <c r="A18" t="s">
        <v>549</v>
      </c>
      <c r="B18" s="161">
        <v>28.986409999999999</v>
      </c>
      <c r="C18" s="10">
        <v>1.8539779999999999</v>
      </c>
      <c r="D18" s="10">
        <v>-9.6474589999999996</v>
      </c>
      <c r="E18" s="10">
        <v>16.635370000000002</v>
      </c>
      <c r="F18" s="161">
        <v>1.17E-4</v>
      </c>
      <c r="G18">
        <v>100</v>
      </c>
      <c r="H18">
        <v>500</v>
      </c>
      <c r="I18" s="157" t="s">
        <v>497</v>
      </c>
      <c r="J18">
        <v>0</v>
      </c>
      <c r="K18" s="10">
        <v>28.013400000000001</v>
      </c>
      <c r="L18" s="51" t="s">
        <v>227</v>
      </c>
    </row>
    <row r="19" spans="1:13">
      <c r="A19" s="153" t="s">
        <v>550</v>
      </c>
      <c r="B19" s="161">
        <v>31.322340000000001</v>
      </c>
      <c r="C19" s="10">
        <v>-20.235309999999998</v>
      </c>
      <c r="D19" s="10">
        <v>57.866439999999997</v>
      </c>
      <c r="E19" s="10">
        <v>-36.506239999999998</v>
      </c>
      <c r="F19" s="10">
        <v>-7.3740000000000003E-3</v>
      </c>
      <c r="G19" s="140">
        <v>100</v>
      </c>
      <c r="H19" s="140">
        <v>700</v>
      </c>
      <c r="I19" s="157" t="s">
        <v>497</v>
      </c>
      <c r="J19" s="80">
        <v>0</v>
      </c>
      <c r="K19" s="10">
        <v>31.998799999999999</v>
      </c>
      <c r="L19" s="51" t="s">
        <v>227</v>
      </c>
      <c r="M19" s="81"/>
    </row>
    <row r="20" spans="1:13">
      <c r="A20" s="159"/>
      <c r="B20" s="140"/>
      <c r="C20" s="140"/>
      <c r="D20" s="140"/>
      <c r="E20" s="140"/>
      <c r="F20" s="140"/>
      <c r="G20" s="140"/>
      <c r="H20" s="140"/>
      <c r="I20" s="159"/>
      <c r="J20" s="80"/>
      <c r="K20" s="159"/>
      <c r="L20" s="51"/>
      <c r="M20" s="81"/>
    </row>
    <row r="21" spans="1:13">
      <c r="A21" s="159"/>
      <c r="B21" s="159"/>
      <c r="C21" s="159"/>
      <c r="D21" s="159"/>
      <c r="E21" s="159"/>
      <c r="F21" s="159"/>
      <c r="G21" s="159"/>
      <c r="H21" s="159"/>
      <c r="I21" s="159"/>
      <c r="J21" s="80"/>
      <c r="K21" s="159"/>
      <c r="L21" s="51"/>
      <c r="M21" s="81"/>
    </row>
    <row r="22" spans="1:13">
      <c r="A22" s="15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81"/>
    </row>
    <row r="23" spans="1:13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22"/>
    </row>
    <row r="24" spans="1:13">
      <c r="A24" s="159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22"/>
    </row>
    <row r="25" spans="1:13">
      <c r="A25" s="159"/>
      <c r="B25" s="159"/>
      <c r="C25" s="159"/>
      <c r="D25" s="159"/>
      <c r="E25" s="159"/>
      <c r="F25" s="159"/>
      <c r="G25" s="159"/>
      <c r="H25" s="159"/>
      <c r="I25" s="159"/>
      <c r="J25" s="80"/>
      <c r="K25" s="80"/>
      <c r="L25" s="51"/>
      <c r="M25" s="81"/>
    </row>
    <row r="33" spans="1:13">
      <c r="A33" s="296" t="s">
        <v>462</v>
      </c>
      <c r="B33" s="296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</row>
    <row r="34" spans="1:13" ht="47.25">
      <c r="A34" s="5" t="s">
        <v>463</v>
      </c>
      <c r="B34" s="5" t="s">
        <v>464</v>
      </c>
      <c r="C34" s="5" t="s">
        <v>465</v>
      </c>
      <c r="D34" s="5" t="s">
        <v>467</v>
      </c>
      <c r="E34" s="5" t="s">
        <v>474</v>
      </c>
      <c r="G34" s="5" t="s">
        <v>471</v>
      </c>
      <c r="H34" s="5" t="s">
        <v>466</v>
      </c>
      <c r="I34" s="5" t="s">
        <v>473</v>
      </c>
      <c r="J34" s="5"/>
      <c r="K34" s="5"/>
      <c r="L34" s="5"/>
      <c r="M34" s="5"/>
    </row>
    <row r="35" spans="1:13" ht="75">
      <c r="A35" t="s">
        <v>469</v>
      </c>
      <c r="B35">
        <v>304.18</v>
      </c>
      <c r="C35">
        <v>73.8</v>
      </c>
      <c r="D35">
        <v>0.22500000000000001</v>
      </c>
      <c r="E35">
        <v>1.28</v>
      </c>
      <c r="G35" s="81" t="s">
        <v>227</v>
      </c>
      <c r="H35" s="128" t="s">
        <v>468</v>
      </c>
      <c r="I35" t="s">
        <v>472</v>
      </c>
    </row>
  </sheetData>
  <mergeCells count="1">
    <mergeCell ref="A33:M33"/>
  </mergeCells>
  <hyperlinks>
    <hyperlink ref="H35" r:id="rId1" xr:uid="{00000000-0004-0000-0E00-000000000000}"/>
  </hyperlinks>
  <pageMargins left="0.7" right="0.7" top="0.78740157499999996" bottom="0.78740157499999996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9">
    <tabColor theme="9" tint="0.79998168889431442"/>
  </sheetPr>
  <dimension ref="A1:H204"/>
  <sheetViews>
    <sheetView workbookViewId="0">
      <selection activeCell="E30" sqref="E30"/>
    </sheetView>
  </sheetViews>
  <sheetFormatPr baseColWidth="10" defaultRowHeight="15.75"/>
  <cols>
    <col min="1" max="1" width="10.875" style="89"/>
    <col min="2" max="2" width="26.625" style="91" customWidth="1"/>
    <col min="3" max="3" width="10.875" style="89"/>
    <col min="4" max="4" width="19.5" customWidth="1"/>
  </cols>
  <sheetData>
    <row r="1" spans="1:8" ht="16.5">
      <c r="B1" s="94" t="s">
        <v>281</v>
      </c>
      <c r="C1" s="94" t="s">
        <v>282</v>
      </c>
      <c r="D1" s="94" t="s">
        <v>283</v>
      </c>
      <c r="E1" s="94"/>
      <c r="F1" s="94"/>
    </row>
    <row r="2" spans="1:8" ht="20.25">
      <c r="A2" s="89">
        <v>203</v>
      </c>
      <c r="B2" s="93" t="s">
        <v>284</v>
      </c>
      <c r="C2" s="93">
        <v>23.4</v>
      </c>
      <c r="D2" s="93">
        <v>23.4</v>
      </c>
      <c r="E2" s="93"/>
      <c r="F2" s="93"/>
      <c r="G2" t="s">
        <v>406</v>
      </c>
      <c r="H2" t="s">
        <v>407</v>
      </c>
    </row>
    <row r="3" spans="1:8" ht="20.25">
      <c r="A3" s="89">
        <f>A2-1</f>
        <v>202</v>
      </c>
      <c r="B3" s="93" t="s">
        <v>285</v>
      </c>
      <c r="C3" s="93">
        <v>21.88</v>
      </c>
      <c r="D3" s="93">
        <v>21.88</v>
      </c>
      <c r="E3" s="93"/>
      <c r="F3" s="93"/>
    </row>
    <row r="4" spans="1:8" ht="20.25">
      <c r="A4" s="89">
        <f t="shared" ref="A4:A67" si="0">A3-1</f>
        <v>201</v>
      </c>
      <c r="B4" s="92">
        <v>43416</v>
      </c>
      <c r="C4" s="93">
        <v>20.77</v>
      </c>
      <c r="D4" s="93">
        <v>20.77</v>
      </c>
      <c r="E4" s="93"/>
      <c r="F4" s="93"/>
      <c r="G4" s="24" t="s">
        <v>408</v>
      </c>
      <c r="H4" s="24">
        <f>AVERAGE(C2:C204)</f>
        <v>15.478620689655173</v>
      </c>
    </row>
    <row r="5" spans="1:8" ht="20.25">
      <c r="A5" s="89">
        <f t="shared" si="0"/>
        <v>200</v>
      </c>
      <c r="B5" s="92">
        <v>43385</v>
      </c>
      <c r="C5" s="93">
        <v>19.77</v>
      </c>
      <c r="D5" s="93">
        <v>19.77</v>
      </c>
      <c r="E5" s="93"/>
      <c r="F5" s="93"/>
    </row>
    <row r="6" spans="1:8" ht="20.25">
      <c r="A6" s="89">
        <f t="shared" si="0"/>
        <v>199</v>
      </c>
      <c r="B6" s="92">
        <v>43263</v>
      </c>
      <c r="C6" s="93">
        <v>18.55</v>
      </c>
      <c r="D6" s="93">
        <v>18.55</v>
      </c>
      <c r="E6" s="93"/>
      <c r="F6" s="93"/>
    </row>
    <row r="7" spans="1:8" ht="20.25">
      <c r="A7" s="89">
        <f t="shared" si="0"/>
        <v>198</v>
      </c>
      <c r="B7" s="92">
        <v>43232</v>
      </c>
      <c r="C7" s="93">
        <v>20.21</v>
      </c>
      <c r="D7" s="93">
        <v>20.21</v>
      </c>
      <c r="E7" s="93"/>
      <c r="F7" s="93"/>
    </row>
    <row r="8" spans="1:8" ht="20.25">
      <c r="A8" s="89">
        <f t="shared" si="0"/>
        <v>197</v>
      </c>
      <c r="B8" s="92">
        <v>43202</v>
      </c>
      <c r="C8" s="93">
        <v>20.350000000000001</v>
      </c>
      <c r="D8" s="93">
        <v>20.350000000000001</v>
      </c>
      <c r="E8" s="93"/>
      <c r="F8" s="93"/>
    </row>
    <row r="9" spans="1:8" ht="20.25">
      <c r="A9" s="89">
        <f t="shared" si="0"/>
        <v>196</v>
      </c>
      <c r="B9" s="92">
        <v>43171</v>
      </c>
      <c r="C9" s="93">
        <v>20.52</v>
      </c>
      <c r="D9" s="93">
        <v>20.52</v>
      </c>
      <c r="E9" s="93"/>
      <c r="F9" s="93"/>
    </row>
    <row r="10" spans="1:8" ht="20.25">
      <c r="A10" s="89">
        <f t="shared" si="0"/>
        <v>195</v>
      </c>
      <c r="B10" s="93" t="s">
        <v>286</v>
      </c>
      <c r="C10" s="93">
        <v>19.350000000000001</v>
      </c>
      <c r="D10" s="93">
        <v>19.350000000000001</v>
      </c>
      <c r="E10" s="93"/>
      <c r="F10" s="93"/>
    </row>
    <row r="11" spans="1:8" ht="20.25">
      <c r="A11" s="89">
        <f t="shared" si="0"/>
        <v>194</v>
      </c>
      <c r="B11" s="93" t="s">
        <v>287</v>
      </c>
      <c r="C11" s="93">
        <v>19.77</v>
      </c>
      <c r="D11" s="93">
        <v>19.77</v>
      </c>
      <c r="E11" s="93"/>
      <c r="F11" s="93"/>
    </row>
    <row r="12" spans="1:8" ht="20.25">
      <c r="A12" s="89">
        <f t="shared" si="0"/>
        <v>193</v>
      </c>
      <c r="B12" s="93" t="s">
        <v>288</v>
      </c>
      <c r="C12" s="93">
        <v>19.71</v>
      </c>
      <c r="D12" s="93">
        <v>19.71</v>
      </c>
      <c r="E12" s="93"/>
      <c r="F12" s="93"/>
    </row>
    <row r="13" spans="1:8" ht="20.25">
      <c r="A13" s="89">
        <f t="shared" si="0"/>
        <v>192</v>
      </c>
      <c r="B13" s="93" t="s">
        <v>289</v>
      </c>
      <c r="C13" s="93">
        <v>20.3</v>
      </c>
      <c r="D13" s="93">
        <v>20.3</v>
      </c>
      <c r="E13" s="93"/>
      <c r="F13" s="93"/>
    </row>
    <row r="14" spans="1:8" ht="20.25">
      <c r="A14" s="89">
        <f t="shared" si="0"/>
        <v>191</v>
      </c>
      <c r="B14" s="93" t="s">
        <v>290</v>
      </c>
      <c r="C14" s="93">
        <v>19.84</v>
      </c>
      <c r="D14" s="93">
        <v>19.84</v>
      </c>
      <c r="E14" s="93"/>
      <c r="F14" s="93"/>
    </row>
    <row r="15" spans="1:8" ht="20.25">
      <c r="A15" s="89">
        <f t="shared" si="0"/>
        <v>190</v>
      </c>
      <c r="B15" s="93" t="s">
        <v>291</v>
      </c>
      <c r="C15" s="93">
        <v>19.399999999999999</v>
      </c>
      <c r="D15" s="93">
        <v>19.399999999999999</v>
      </c>
      <c r="E15" s="93"/>
      <c r="F15" s="93"/>
    </row>
    <row r="16" spans="1:8" ht="20.25">
      <c r="A16" s="89">
        <f t="shared" si="0"/>
        <v>189</v>
      </c>
      <c r="B16" s="93" t="s">
        <v>292</v>
      </c>
      <c r="C16" s="93">
        <v>18.43</v>
      </c>
      <c r="D16" s="93">
        <v>18.43</v>
      </c>
      <c r="E16" s="93"/>
      <c r="F16" s="93"/>
    </row>
    <row r="17" spans="1:6" ht="20.25">
      <c r="A17" s="89">
        <f t="shared" si="0"/>
        <v>188</v>
      </c>
      <c r="B17" s="93" t="s">
        <v>293</v>
      </c>
      <c r="C17" s="93">
        <v>18.46</v>
      </c>
      <c r="D17" s="93">
        <v>18.46</v>
      </c>
      <c r="E17" s="93"/>
      <c r="F17" s="93"/>
    </row>
    <row r="18" spans="1:6" ht="20.25">
      <c r="A18" s="89">
        <f t="shared" si="0"/>
        <v>187</v>
      </c>
      <c r="B18" s="93" t="s">
        <v>294</v>
      </c>
      <c r="C18" s="93">
        <v>19.760000000000002</v>
      </c>
      <c r="D18" s="93">
        <v>19.760000000000002</v>
      </c>
      <c r="E18" s="93"/>
      <c r="F18" s="93"/>
    </row>
    <row r="19" spans="1:6" ht="20.25">
      <c r="A19" s="89">
        <f t="shared" si="0"/>
        <v>186</v>
      </c>
      <c r="B19" s="92">
        <v>43445</v>
      </c>
      <c r="C19" s="93">
        <v>20.010000000000002</v>
      </c>
      <c r="D19" s="93">
        <v>20.010000000000002</v>
      </c>
      <c r="E19" s="93"/>
      <c r="F19" s="93"/>
    </row>
    <row r="20" spans="1:6" ht="20.25">
      <c r="A20" s="89">
        <f t="shared" si="0"/>
        <v>185</v>
      </c>
      <c r="B20" s="92">
        <v>43354</v>
      </c>
      <c r="C20" s="93">
        <v>19.25</v>
      </c>
      <c r="D20" s="93">
        <v>19.25</v>
      </c>
      <c r="E20" s="93"/>
      <c r="F20" s="93"/>
    </row>
    <row r="21" spans="1:6" ht="20.25">
      <c r="A21" s="89">
        <f t="shared" si="0"/>
        <v>184</v>
      </c>
      <c r="B21" s="92">
        <v>43323</v>
      </c>
      <c r="C21" s="93">
        <v>19.559999999999999</v>
      </c>
      <c r="D21" s="93">
        <v>19.559999999999999</v>
      </c>
      <c r="E21" s="93"/>
      <c r="F21" s="93"/>
    </row>
    <row r="22" spans="1:6" ht="20.25">
      <c r="A22" s="89">
        <f t="shared" si="0"/>
        <v>183</v>
      </c>
      <c r="B22" s="92">
        <v>43292</v>
      </c>
      <c r="C22" s="93">
        <v>18.25</v>
      </c>
      <c r="D22" s="93">
        <v>18.25</v>
      </c>
      <c r="E22" s="93"/>
      <c r="F22" s="93"/>
    </row>
    <row r="23" spans="1:6" ht="20.25">
      <c r="A23" s="89">
        <f t="shared" si="0"/>
        <v>182</v>
      </c>
      <c r="B23" s="92">
        <v>43262</v>
      </c>
      <c r="C23" s="93">
        <v>16.989999999999998</v>
      </c>
      <c r="D23" s="93">
        <v>16.989999999999998</v>
      </c>
      <c r="E23" s="93"/>
      <c r="F23" s="93"/>
    </row>
    <row r="24" spans="1:6" ht="20.25">
      <c r="A24" s="89">
        <f t="shared" si="0"/>
        <v>181</v>
      </c>
      <c r="B24" s="92">
        <v>43231</v>
      </c>
      <c r="C24" s="93">
        <v>16.399999999999999</v>
      </c>
      <c r="D24" s="93">
        <v>16.399999999999999</v>
      </c>
      <c r="E24" s="93"/>
      <c r="F24" s="93"/>
    </row>
    <row r="25" spans="1:6" ht="20.25">
      <c r="A25" s="89">
        <f t="shared" si="0"/>
        <v>180</v>
      </c>
      <c r="B25" s="92">
        <v>43142</v>
      </c>
      <c r="C25" s="93">
        <v>16.149999999999999</v>
      </c>
      <c r="D25" s="93">
        <v>16.149999999999999</v>
      </c>
      <c r="E25" s="93"/>
      <c r="F25" s="93"/>
    </row>
    <row r="26" spans="1:6" ht="20.25">
      <c r="A26" s="89">
        <f t="shared" si="0"/>
        <v>179</v>
      </c>
      <c r="B26" s="92">
        <v>43111</v>
      </c>
      <c r="C26" s="93">
        <v>15.85</v>
      </c>
      <c r="D26" s="93">
        <v>15.85</v>
      </c>
      <c r="E26" s="93"/>
      <c r="F26" s="93"/>
    </row>
    <row r="27" spans="1:6" ht="20.25">
      <c r="A27" s="89">
        <f t="shared" si="0"/>
        <v>178</v>
      </c>
      <c r="B27" s="93" t="s">
        <v>295</v>
      </c>
      <c r="C27" s="93">
        <v>16.87</v>
      </c>
      <c r="D27" s="93">
        <v>16.87</v>
      </c>
      <c r="E27" s="93"/>
      <c r="F27" s="93"/>
    </row>
    <row r="28" spans="1:6" ht="20.25">
      <c r="A28" s="89">
        <f t="shared" si="0"/>
        <v>177</v>
      </c>
      <c r="B28" s="93" t="s">
        <v>296</v>
      </c>
      <c r="C28" s="93">
        <v>17.91</v>
      </c>
      <c r="D28" s="93">
        <v>17.91</v>
      </c>
      <c r="E28" s="93"/>
      <c r="F28" s="93"/>
    </row>
    <row r="29" spans="1:6" ht="20.25">
      <c r="A29" s="89">
        <f t="shared" si="0"/>
        <v>176</v>
      </c>
      <c r="B29" s="93" t="s">
        <v>297</v>
      </c>
      <c r="C29" s="93">
        <v>18.98</v>
      </c>
      <c r="D29" s="93">
        <v>18.98</v>
      </c>
      <c r="E29" s="93"/>
      <c r="F29" s="93"/>
    </row>
    <row r="30" spans="1:6" ht="20.25">
      <c r="A30" s="89">
        <f t="shared" si="0"/>
        <v>175</v>
      </c>
      <c r="B30" s="93" t="s">
        <v>298</v>
      </c>
      <c r="C30" s="93">
        <v>18.72</v>
      </c>
      <c r="D30" s="93">
        <v>18.72</v>
      </c>
      <c r="E30" s="93"/>
      <c r="F30" s="93"/>
    </row>
    <row r="31" spans="1:6" ht="20.25">
      <c r="A31" s="89">
        <f t="shared" si="0"/>
        <v>174</v>
      </c>
      <c r="B31" s="93" t="s">
        <v>299</v>
      </c>
      <c r="C31" s="93">
        <v>19.100000000000001</v>
      </c>
      <c r="D31" s="93">
        <v>19.100000000000001</v>
      </c>
      <c r="E31" s="93"/>
      <c r="F31" s="93"/>
    </row>
    <row r="32" spans="1:6" ht="20.25">
      <c r="A32" s="89">
        <f t="shared" si="0"/>
        <v>173</v>
      </c>
      <c r="B32" s="93" t="s">
        <v>300</v>
      </c>
      <c r="C32" s="93">
        <v>18.5</v>
      </c>
      <c r="D32" s="93">
        <v>18.5</v>
      </c>
      <c r="E32" s="93"/>
      <c r="F32" s="93"/>
    </row>
    <row r="33" spans="1:6" ht="20.25">
      <c r="A33" s="89">
        <f t="shared" si="0"/>
        <v>172</v>
      </c>
      <c r="B33" s="93" t="s">
        <v>301</v>
      </c>
      <c r="C33" s="93">
        <v>19.100000000000001</v>
      </c>
      <c r="D33" s="93">
        <v>19.100000000000001</v>
      </c>
      <c r="E33" s="93"/>
      <c r="F33" s="93"/>
    </row>
    <row r="34" spans="1:6" ht="20.25">
      <c r="A34" s="89">
        <f t="shared" si="0"/>
        <v>171</v>
      </c>
      <c r="B34" s="93" t="s">
        <v>302</v>
      </c>
      <c r="C34" s="93">
        <v>19.170000000000002</v>
      </c>
      <c r="D34" s="93">
        <v>19.170000000000002</v>
      </c>
      <c r="E34" s="93"/>
      <c r="F34" s="93"/>
    </row>
    <row r="35" spans="1:6" ht="20.25">
      <c r="A35" s="89">
        <f t="shared" si="0"/>
        <v>170</v>
      </c>
      <c r="B35" s="93" t="s">
        <v>303</v>
      </c>
      <c r="C35" s="93">
        <v>18.53</v>
      </c>
      <c r="D35" s="93">
        <v>18.53</v>
      </c>
      <c r="E35" s="93"/>
      <c r="F35" s="93"/>
    </row>
    <row r="36" spans="1:6" ht="20.25">
      <c r="A36" s="89">
        <f t="shared" si="0"/>
        <v>169</v>
      </c>
      <c r="B36" s="93" t="s">
        <v>304</v>
      </c>
      <c r="C36" s="93">
        <v>17.899999999999999</v>
      </c>
      <c r="D36" s="93">
        <v>17.899999999999999</v>
      </c>
      <c r="E36" s="93"/>
      <c r="F36" s="93"/>
    </row>
    <row r="37" spans="1:6" ht="20.25">
      <c r="A37" s="89">
        <f t="shared" si="0"/>
        <v>168</v>
      </c>
      <c r="B37" s="93" t="s">
        <v>305</v>
      </c>
      <c r="C37" s="93">
        <v>20.03</v>
      </c>
      <c r="D37" s="93">
        <v>20.03</v>
      </c>
      <c r="E37" s="93"/>
      <c r="F37" s="93"/>
    </row>
    <row r="38" spans="1:6" ht="20.25">
      <c r="A38" s="89">
        <f t="shared" si="0"/>
        <v>167</v>
      </c>
      <c r="B38" s="92">
        <v>43444</v>
      </c>
      <c r="C38" s="93">
        <v>19.95</v>
      </c>
      <c r="D38" s="93">
        <v>19.95</v>
      </c>
      <c r="E38" s="93"/>
      <c r="F38" s="93"/>
    </row>
    <row r="39" spans="1:6" ht="20.25">
      <c r="A39" s="89">
        <f t="shared" si="0"/>
        <v>166</v>
      </c>
      <c r="B39" s="92">
        <v>43414</v>
      </c>
      <c r="C39" s="93">
        <v>18.57</v>
      </c>
      <c r="D39" s="93">
        <v>18.57</v>
      </c>
      <c r="E39" s="93"/>
      <c r="F39" s="93"/>
    </row>
    <row r="40" spans="1:6" ht="20.25">
      <c r="A40" s="89">
        <f t="shared" si="0"/>
        <v>165</v>
      </c>
      <c r="B40" s="92">
        <v>43383</v>
      </c>
      <c r="C40" s="93">
        <v>20.7</v>
      </c>
      <c r="D40" s="93">
        <v>20.7</v>
      </c>
      <c r="E40" s="93"/>
      <c r="F40" s="93"/>
    </row>
    <row r="41" spans="1:6" ht="20.25">
      <c r="A41" s="89">
        <f t="shared" si="0"/>
        <v>164</v>
      </c>
      <c r="B41" s="92">
        <v>43353</v>
      </c>
      <c r="C41" s="93">
        <v>21.32</v>
      </c>
      <c r="D41" s="93">
        <v>21.32</v>
      </c>
      <c r="E41" s="93"/>
      <c r="F41" s="93"/>
    </row>
    <row r="42" spans="1:6" ht="20.25">
      <c r="A42" s="89">
        <f t="shared" si="0"/>
        <v>163</v>
      </c>
      <c r="B42" s="92">
        <v>43322</v>
      </c>
      <c r="C42" s="93">
        <v>22.09</v>
      </c>
      <c r="D42" s="93">
        <v>22.09</v>
      </c>
      <c r="E42" s="93"/>
      <c r="F42" s="93"/>
    </row>
    <row r="43" spans="1:6" ht="20.25">
      <c r="A43" s="89">
        <f t="shared" si="0"/>
        <v>162</v>
      </c>
      <c r="B43" s="92">
        <v>43230</v>
      </c>
      <c r="C43" s="93">
        <v>21.14</v>
      </c>
      <c r="D43" s="93">
        <v>21.14</v>
      </c>
      <c r="E43" s="93"/>
      <c r="F43" s="93"/>
    </row>
    <row r="44" spans="1:6" ht="20.25">
      <c r="A44" s="89">
        <f t="shared" si="0"/>
        <v>161</v>
      </c>
      <c r="B44" s="92">
        <v>43200</v>
      </c>
      <c r="C44" s="93">
        <v>21.15</v>
      </c>
      <c r="D44" s="93">
        <v>21.15</v>
      </c>
      <c r="E44" s="93"/>
      <c r="F44" s="93"/>
    </row>
    <row r="45" spans="1:6" ht="20.25">
      <c r="A45" s="89">
        <f t="shared" si="0"/>
        <v>160</v>
      </c>
      <c r="B45" s="92">
        <v>43141</v>
      </c>
      <c r="C45" s="93">
        <v>21.45</v>
      </c>
      <c r="D45" s="93">
        <v>21.45</v>
      </c>
      <c r="E45" s="93"/>
      <c r="F45" s="93"/>
    </row>
    <row r="46" spans="1:6" ht="20.25">
      <c r="A46" s="89">
        <f t="shared" si="0"/>
        <v>159</v>
      </c>
      <c r="B46" s="92">
        <v>43110</v>
      </c>
      <c r="C46" s="93">
        <v>20.7</v>
      </c>
      <c r="D46" s="93">
        <v>20.7</v>
      </c>
      <c r="E46" s="93"/>
      <c r="F46" s="93"/>
    </row>
    <row r="47" spans="1:6" ht="20.25">
      <c r="A47" s="89">
        <f t="shared" si="0"/>
        <v>158</v>
      </c>
      <c r="B47" s="93" t="s">
        <v>306</v>
      </c>
      <c r="C47" s="93">
        <v>20.3</v>
      </c>
      <c r="D47" s="93">
        <v>20.3</v>
      </c>
      <c r="E47" s="93"/>
      <c r="F47" s="93"/>
    </row>
    <row r="48" spans="1:6" ht="20.25">
      <c r="A48" s="89">
        <f t="shared" si="0"/>
        <v>157</v>
      </c>
      <c r="B48" s="93" t="s">
        <v>307</v>
      </c>
      <c r="C48" s="93">
        <v>19.87</v>
      </c>
      <c r="D48" s="93">
        <v>19.87</v>
      </c>
      <c r="E48" s="93"/>
      <c r="F48" s="93"/>
    </row>
    <row r="49" spans="1:6" ht="20.25">
      <c r="A49" s="89">
        <f t="shared" si="0"/>
        <v>156</v>
      </c>
      <c r="B49" s="93" t="s">
        <v>308</v>
      </c>
      <c r="C49" s="93">
        <v>20.399999999999999</v>
      </c>
      <c r="D49" s="93">
        <v>20.399999999999999</v>
      </c>
      <c r="E49" s="93"/>
      <c r="F49" s="93"/>
    </row>
    <row r="50" spans="1:6" ht="20.25">
      <c r="A50" s="89">
        <f t="shared" si="0"/>
        <v>155</v>
      </c>
      <c r="B50" s="93" t="s">
        <v>309</v>
      </c>
      <c r="C50" s="93">
        <v>21.9</v>
      </c>
      <c r="D50" s="93">
        <v>21.9</v>
      </c>
      <c r="E50" s="93"/>
      <c r="F50" s="93"/>
    </row>
    <row r="51" spans="1:6" ht="20.25">
      <c r="A51" s="89">
        <f t="shared" si="0"/>
        <v>154</v>
      </c>
      <c r="B51" s="93" t="s">
        <v>310</v>
      </c>
      <c r="C51" s="93">
        <v>22.39</v>
      </c>
      <c r="D51" s="93">
        <v>22.39</v>
      </c>
      <c r="E51" s="93"/>
      <c r="F51" s="93"/>
    </row>
    <row r="52" spans="1:6" ht="20.25">
      <c r="A52" s="89">
        <f t="shared" si="0"/>
        <v>153</v>
      </c>
      <c r="B52" s="93" t="s">
        <v>311</v>
      </c>
      <c r="C52" s="93">
        <v>21.8</v>
      </c>
      <c r="D52" s="93">
        <v>21.8</v>
      </c>
      <c r="E52" s="93"/>
      <c r="F52" s="93"/>
    </row>
    <row r="53" spans="1:6" ht="20.25">
      <c r="A53" s="89">
        <f t="shared" si="0"/>
        <v>152</v>
      </c>
      <c r="B53" s="93" t="s">
        <v>312</v>
      </c>
      <c r="C53" s="93">
        <v>20.75</v>
      </c>
      <c r="D53" s="93">
        <v>20.75</v>
      </c>
      <c r="E53" s="93"/>
      <c r="F53" s="93"/>
    </row>
    <row r="54" spans="1:6" ht="20.25">
      <c r="A54" s="89">
        <f t="shared" si="0"/>
        <v>151</v>
      </c>
      <c r="B54" s="93" t="s">
        <v>313</v>
      </c>
      <c r="C54" s="93">
        <v>20.6</v>
      </c>
      <c r="D54" s="93">
        <v>20.6</v>
      </c>
      <c r="E54" s="93"/>
      <c r="F54" s="93"/>
    </row>
    <row r="55" spans="1:6" ht="20.25">
      <c r="A55" s="89">
        <f t="shared" si="0"/>
        <v>150</v>
      </c>
      <c r="B55" s="93" t="s">
        <v>314</v>
      </c>
      <c r="C55" s="93">
        <v>19.510000000000002</v>
      </c>
      <c r="D55" s="93">
        <v>19.510000000000002</v>
      </c>
      <c r="E55" s="93"/>
      <c r="F55" s="93"/>
    </row>
    <row r="56" spans="1:6" ht="20.25">
      <c r="A56" s="89">
        <f t="shared" si="0"/>
        <v>149</v>
      </c>
      <c r="B56" s="93" t="s">
        <v>315</v>
      </c>
      <c r="C56" s="93">
        <v>21.9</v>
      </c>
      <c r="D56" s="93">
        <v>21.9</v>
      </c>
      <c r="E56" s="93"/>
      <c r="F56" s="93"/>
    </row>
    <row r="57" spans="1:6" ht="20.25">
      <c r="A57" s="89">
        <f t="shared" si="0"/>
        <v>148</v>
      </c>
      <c r="B57" s="92">
        <v>43443</v>
      </c>
      <c r="C57" s="93">
        <v>23.55</v>
      </c>
      <c r="D57" s="93">
        <v>23.55</v>
      </c>
      <c r="E57" s="93"/>
      <c r="F57" s="93"/>
    </row>
    <row r="58" spans="1:6" ht="20.25">
      <c r="A58" s="89">
        <f t="shared" si="0"/>
        <v>147</v>
      </c>
      <c r="B58" s="92">
        <v>43413</v>
      </c>
      <c r="C58" s="93">
        <v>24.15</v>
      </c>
      <c r="D58" s="93">
        <v>24.15</v>
      </c>
      <c r="E58" s="93"/>
      <c r="F58" s="93"/>
    </row>
    <row r="59" spans="1:6" ht="20.25">
      <c r="A59" s="89">
        <f t="shared" si="0"/>
        <v>146</v>
      </c>
      <c r="B59" s="92">
        <v>43382</v>
      </c>
      <c r="C59" s="93">
        <v>24.85</v>
      </c>
      <c r="D59" s="93">
        <v>24.85</v>
      </c>
      <c r="E59" s="93"/>
      <c r="F59" s="93"/>
    </row>
    <row r="60" spans="1:6" ht="20.25">
      <c r="A60" s="89">
        <f t="shared" si="0"/>
        <v>145</v>
      </c>
      <c r="B60" s="92">
        <v>43290</v>
      </c>
      <c r="C60" s="93">
        <v>22.51</v>
      </c>
      <c r="D60" s="93">
        <v>22.51</v>
      </c>
      <c r="E60" s="93"/>
      <c r="F60" s="93"/>
    </row>
    <row r="61" spans="1:6" ht="20.25">
      <c r="A61" s="89">
        <f t="shared" si="0"/>
        <v>144</v>
      </c>
      <c r="B61" s="92">
        <v>43199</v>
      </c>
      <c r="C61" s="93">
        <v>20.5</v>
      </c>
      <c r="D61" s="93">
        <v>20.5</v>
      </c>
      <c r="E61" s="93"/>
      <c r="F61" s="93"/>
    </row>
    <row r="62" spans="1:6" ht="20.25">
      <c r="A62" s="89">
        <f t="shared" si="0"/>
        <v>143</v>
      </c>
      <c r="B62" s="92">
        <v>43168</v>
      </c>
      <c r="C62" s="93">
        <v>20.45</v>
      </c>
      <c r="D62" s="93">
        <v>20.45</v>
      </c>
      <c r="E62" s="93"/>
      <c r="F62" s="93"/>
    </row>
    <row r="63" spans="1:6" ht="20.25">
      <c r="A63" s="89">
        <f t="shared" si="0"/>
        <v>142</v>
      </c>
      <c r="B63" s="93" t="s">
        <v>316</v>
      </c>
      <c r="C63" s="93">
        <v>21.11</v>
      </c>
      <c r="D63" s="93">
        <v>21.11</v>
      </c>
      <c r="E63" s="93"/>
      <c r="F63" s="93"/>
    </row>
    <row r="64" spans="1:6" ht="20.25">
      <c r="A64" s="89">
        <f t="shared" si="0"/>
        <v>141</v>
      </c>
      <c r="B64" s="93" t="s">
        <v>317</v>
      </c>
      <c r="C64" s="93">
        <v>21.09</v>
      </c>
      <c r="D64" s="93">
        <v>21.09</v>
      </c>
      <c r="E64" s="93"/>
      <c r="F64" s="93"/>
    </row>
    <row r="65" spans="1:6" ht="20.25">
      <c r="A65" s="89">
        <f t="shared" si="0"/>
        <v>140</v>
      </c>
      <c r="B65" s="93" t="s">
        <v>318</v>
      </c>
      <c r="C65" s="93">
        <v>20.9</v>
      </c>
      <c r="D65" s="93">
        <v>20.9</v>
      </c>
      <c r="E65" s="93"/>
      <c r="F65" s="93"/>
    </row>
    <row r="66" spans="1:6" ht="20.25">
      <c r="A66" s="89">
        <f t="shared" si="0"/>
        <v>139</v>
      </c>
      <c r="B66" s="93" t="s">
        <v>319</v>
      </c>
      <c r="C66" s="93">
        <v>21.3</v>
      </c>
      <c r="D66" s="93">
        <v>21.3</v>
      </c>
      <c r="E66" s="93"/>
      <c r="F66" s="93"/>
    </row>
    <row r="67" spans="1:6" ht="20.25">
      <c r="A67" s="89">
        <f t="shared" si="0"/>
        <v>138</v>
      </c>
      <c r="B67" s="93" t="s">
        <v>320</v>
      </c>
      <c r="C67" s="93">
        <v>20.55</v>
      </c>
      <c r="D67" s="93">
        <v>20.55</v>
      </c>
      <c r="E67" s="93"/>
      <c r="F67" s="93"/>
    </row>
    <row r="68" spans="1:6" ht="20.25">
      <c r="A68" s="89">
        <f t="shared" ref="A68:A131" si="1">A67-1</f>
        <v>137</v>
      </c>
      <c r="B68" s="93" t="s">
        <v>321</v>
      </c>
      <c r="C68" s="93">
        <v>20.05</v>
      </c>
      <c r="D68" s="93">
        <v>20.05</v>
      </c>
      <c r="E68" s="93"/>
      <c r="F68" s="93"/>
    </row>
    <row r="69" spans="1:6" ht="20.25">
      <c r="A69" s="89">
        <f t="shared" si="1"/>
        <v>136</v>
      </c>
      <c r="B69" s="93" t="s">
        <v>322</v>
      </c>
      <c r="C69" s="93">
        <v>18.55</v>
      </c>
      <c r="D69" s="93">
        <v>18.55</v>
      </c>
      <c r="E69" s="93"/>
      <c r="F69" s="93"/>
    </row>
    <row r="70" spans="1:6" ht="20.25">
      <c r="A70" s="89">
        <f t="shared" si="1"/>
        <v>135</v>
      </c>
      <c r="B70" s="93" t="s">
        <v>323</v>
      </c>
      <c r="C70" s="93">
        <v>18.2</v>
      </c>
      <c r="D70" s="93">
        <v>18.2</v>
      </c>
      <c r="E70" s="93"/>
      <c r="F70" s="93"/>
    </row>
    <row r="71" spans="1:6" ht="20.25">
      <c r="A71" s="89">
        <f t="shared" si="1"/>
        <v>134</v>
      </c>
      <c r="B71" s="93" t="s">
        <v>324</v>
      </c>
      <c r="C71" s="93">
        <v>18.100000000000001</v>
      </c>
      <c r="D71" s="93">
        <v>18.100000000000001</v>
      </c>
      <c r="E71" s="93"/>
      <c r="F71" s="93"/>
    </row>
    <row r="72" spans="1:6" ht="20.25">
      <c r="A72" s="89">
        <f t="shared" si="1"/>
        <v>133</v>
      </c>
      <c r="B72" s="93" t="s">
        <v>325</v>
      </c>
      <c r="C72" s="93">
        <v>18</v>
      </c>
      <c r="D72" s="93">
        <v>18</v>
      </c>
      <c r="E72" s="93"/>
      <c r="F72" s="93"/>
    </row>
    <row r="73" spans="1:6" ht="20.25">
      <c r="A73" s="89">
        <f t="shared" si="1"/>
        <v>132</v>
      </c>
      <c r="B73" s="93" t="s">
        <v>326</v>
      </c>
      <c r="C73" s="93">
        <v>18.03</v>
      </c>
      <c r="D73" s="93">
        <v>18.03</v>
      </c>
      <c r="E73" s="93"/>
      <c r="F73" s="93"/>
    </row>
    <row r="74" spans="1:6" ht="20.25">
      <c r="A74" s="89">
        <f t="shared" si="1"/>
        <v>131</v>
      </c>
      <c r="B74" s="93" t="s">
        <v>327</v>
      </c>
      <c r="C74" s="93">
        <v>17.93</v>
      </c>
      <c r="D74" s="93">
        <v>17.93</v>
      </c>
      <c r="E74" s="93"/>
      <c r="F74" s="93"/>
    </row>
    <row r="75" spans="1:6" ht="20.25">
      <c r="A75" s="89">
        <f t="shared" si="1"/>
        <v>130</v>
      </c>
      <c r="B75" s="92">
        <v>43381</v>
      </c>
      <c r="C75" s="93">
        <v>17.72</v>
      </c>
      <c r="D75" s="93">
        <v>17.72</v>
      </c>
      <c r="E75" s="93"/>
      <c r="F75" s="93"/>
    </row>
    <row r="76" spans="1:6" ht="20.25">
      <c r="A76" s="89">
        <f t="shared" si="1"/>
        <v>129</v>
      </c>
      <c r="B76" s="92">
        <v>43351</v>
      </c>
      <c r="C76" s="93">
        <v>17.47</v>
      </c>
      <c r="D76" s="93">
        <v>17.47</v>
      </c>
      <c r="E76" s="93"/>
      <c r="F76" s="93"/>
    </row>
    <row r="77" spans="1:6" ht="20.25">
      <c r="A77" s="89">
        <f t="shared" si="1"/>
        <v>128</v>
      </c>
      <c r="B77" s="92">
        <v>43289</v>
      </c>
      <c r="C77" s="93">
        <v>17.47</v>
      </c>
      <c r="D77" s="93">
        <v>17.47</v>
      </c>
      <c r="E77" s="93"/>
      <c r="F77" s="93"/>
    </row>
    <row r="78" spans="1:6" ht="20.25">
      <c r="A78" s="89">
        <f t="shared" si="1"/>
        <v>127</v>
      </c>
      <c r="B78" s="92">
        <v>43259</v>
      </c>
      <c r="C78" s="93">
        <v>17.62</v>
      </c>
      <c r="D78" s="93">
        <v>17.62</v>
      </c>
      <c r="E78" s="93"/>
      <c r="F78" s="93"/>
    </row>
    <row r="79" spans="1:6" ht="20.25">
      <c r="A79" s="89">
        <f t="shared" si="1"/>
        <v>126</v>
      </c>
      <c r="B79" s="92">
        <v>43167</v>
      </c>
      <c r="C79" s="93">
        <v>17.62</v>
      </c>
      <c r="D79" s="93">
        <v>17.62</v>
      </c>
      <c r="E79" s="93"/>
      <c r="F79" s="93"/>
    </row>
    <row r="80" spans="1:6" ht="20.25">
      <c r="A80" s="89">
        <f t="shared" si="1"/>
        <v>125</v>
      </c>
      <c r="B80" s="92">
        <v>43139</v>
      </c>
      <c r="C80" s="93">
        <v>17.579999999999998</v>
      </c>
      <c r="D80" s="93">
        <v>17.579999999999998</v>
      </c>
      <c r="E80" s="93"/>
      <c r="F80" s="93"/>
    </row>
    <row r="81" spans="1:6" ht="20.25">
      <c r="A81" s="89">
        <f t="shared" si="1"/>
        <v>124</v>
      </c>
      <c r="B81" s="92">
        <v>43108</v>
      </c>
      <c r="C81" s="93">
        <v>17.38</v>
      </c>
      <c r="D81" s="93">
        <v>17.38</v>
      </c>
      <c r="E81" s="93"/>
      <c r="F81" s="93"/>
    </row>
    <row r="82" spans="1:6" ht="20.25">
      <c r="A82" s="89">
        <f t="shared" si="1"/>
        <v>123</v>
      </c>
      <c r="B82" s="93" t="s">
        <v>328</v>
      </c>
      <c r="C82" s="93">
        <v>16.87</v>
      </c>
      <c r="D82" s="93">
        <v>16.87</v>
      </c>
      <c r="E82" s="93"/>
      <c r="F82" s="93"/>
    </row>
    <row r="83" spans="1:6" ht="20.25">
      <c r="A83" s="89">
        <f t="shared" si="1"/>
        <v>122</v>
      </c>
      <c r="B83" s="93" t="s">
        <v>329</v>
      </c>
      <c r="C83" s="93">
        <v>16.899999999999999</v>
      </c>
      <c r="D83" s="93">
        <v>16.899999999999999</v>
      </c>
      <c r="E83" s="93"/>
      <c r="F83" s="93"/>
    </row>
    <row r="84" spans="1:6" ht="20.25">
      <c r="A84" s="89">
        <f t="shared" si="1"/>
        <v>121</v>
      </c>
      <c r="B84" s="93" t="s">
        <v>330</v>
      </c>
      <c r="C84" s="93">
        <v>16.91</v>
      </c>
      <c r="D84" s="93">
        <v>16.91</v>
      </c>
      <c r="E84" s="93"/>
      <c r="F84" s="93"/>
    </row>
    <row r="85" spans="1:6" ht="20.25">
      <c r="A85" s="89">
        <f t="shared" si="1"/>
        <v>120</v>
      </c>
      <c r="B85" s="93" t="s">
        <v>331</v>
      </c>
      <c r="C85" s="93">
        <v>16.989999999999998</v>
      </c>
      <c r="D85" s="93">
        <v>16.989999999999998</v>
      </c>
      <c r="E85" s="93"/>
      <c r="F85" s="93"/>
    </row>
    <row r="86" spans="1:6" ht="20.25">
      <c r="A86" s="89">
        <f t="shared" si="1"/>
        <v>119</v>
      </c>
      <c r="B86" s="93" t="s">
        <v>332</v>
      </c>
      <c r="C86" s="93">
        <v>17.45</v>
      </c>
      <c r="D86" s="93">
        <v>17.45</v>
      </c>
      <c r="E86" s="93"/>
      <c r="F86" s="93"/>
    </row>
    <row r="87" spans="1:6" ht="20.25">
      <c r="A87" s="89">
        <f t="shared" si="1"/>
        <v>118</v>
      </c>
      <c r="B87" s="93" t="s">
        <v>333</v>
      </c>
      <c r="C87" s="93">
        <v>17.2</v>
      </c>
      <c r="D87" s="93">
        <v>17.2</v>
      </c>
      <c r="E87" s="93"/>
      <c r="F87" s="93"/>
    </row>
    <row r="88" spans="1:6" ht="20.25">
      <c r="A88" s="89">
        <f t="shared" si="1"/>
        <v>117</v>
      </c>
      <c r="B88" s="93" t="s">
        <v>334</v>
      </c>
      <c r="C88" s="93">
        <v>16.899999999999999</v>
      </c>
      <c r="D88" s="93">
        <v>16.899999999999999</v>
      </c>
      <c r="E88" s="93"/>
      <c r="F88" s="93"/>
    </row>
    <row r="89" spans="1:6" ht="20.25">
      <c r="A89" s="89">
        <f t="shared" si="1"/>
        <v>116</v>
      </c>
      <c r="B89" s="93" t="s">
        <v>335</v>
      </c>
      <c r="C89" s="93">
        <v>16.46</v>
      </c>
      <c r="D89" s="93">
        <v>16.46</v>
      </c>
      <c r="E89" s="93"/>
      <c r="F89" s="93"/>
    </row>
    <row r="90" spans="1:6" ht="20.25">
      <c r="A90" s="89">
        <f t="shared" si="1"/>
        <v>115</v>
      </c>
      <c r="B90" s="93" t="s">
        <v>336</v>
      </c>
      <c r="C90" s="93">
        <v>16.170000000000002</v>
      </c>
      <c r="D90" s="93">
        <v>16.170000000000002</v>
      </c>
      <c r="E90" s="93"/>
      <c r="F90" s="93"/>
    </row>
    <row r="91" spans="1:6" ht="20.25">
      <c r="A91" s="89">
        <f t="shared" si="1"/>
        <v>114</v>
      </c>
      <c r="B91" s="93" t="s">
        <v>337</v>
      </c>
      <c r="C91" s="93">
        <v>15.87</v>
      </c>
      <c r="D91" s="93">
        <v>15.87</v>
      </c>
      <c r="E91" s="93"/>
      <c r="F91" s="93"/>
    </row>
    <row r="92" spans="1:6" ht="20.25">
      <c r="A92" s="89">
        <f t="shared" si="1"/>
        <v>113</v>
      </c>
      <c r="B92" s="93" t="s">
        <v>338</v>
      </c>
      <c r="C92" s="93">
        <v>16.14</v>
      </c>
      <c r="D92" s="93">
        <v>16.14</v>
      </c>
      <c r="E92" s="93"/>
      <c r="F92" s="93"/>
    </row>
    <row r="93" spans="1:6" ht="20.25">
      <c r="A93" s="89">
        <f t="shared" si="1"/>
        <v>112</v>
      </c>
      <c r="B93" s="93" t="s">
        <v>339</v>
      </c>
      <c r="C93" s="93">
        <v>15.8</v>
      </c>
      <c r="D93" s="93">
        <v>15.8</v>
      </c>
      <c r="E93" s="93"/>
      <c r="F93" s="93"/>
    </row>
    <row r="94" spans="1:6" ht="20.25">
      <c r="A94" s="89">
        <f t="shared" si="1"/>
        <v>111</v>
      </c>
      <c r="B94" s="92">
        <v>43441</v>
      </c>
      <c r="C94" s="93">
        <v>16.22</v>
      </c>
      <c r="D94" s="93">
        <v>16.22</v>
      </c>
      <c r="E94" s="93"/>
      <c r="F94" s="93"/>
    </row>
    <row r="95" spans="1:6" ht="20.25">
      <c r="A95" s="89">
        <f t="shared" si="1"/>
        <v>110</v>
      </c>
      <c r="B95" s="92">
        <v>43380</v>
      </c>
      <c r="C95" s="93">
        <v>16.149999999999999</v>
      </c>
      <c r="D95" s="93">
        <v>16.149999999999999</v>
      </c>
      <c r="E95" s="93"/>
      <c r="F95" s="93"/>
    </row>
    <row r="96" spans="1:6" ht="20.25">
      <c r="A96" s="89">
        <f t="shared" si="1"/>
        <v>109</v>
      </c>
      <c r="B96" s="92">
        <v>43350</v>
      </c>
      <c r="C96" s="93">
        <v>15.85</v>
      </c>
      <c r="D96" s="93">
        <v>15.85</v>
      </c>
      <c r="E96" s="93"/>
      <c r="F96" s="93"/>
    </row>
    <row r="97" spans="1:6" ht="20.25">
      <c r="A97" s="89">
        <f t="shared" si="1"/>
        <v>108</v>
      </c>
      <c r="B97" s="92">
        <v>43258</v>
      </c>
      <c r="C97" s="93">
        <v>15.55</v>
      </c>
      <c r="D97" s="93">
        <v>15.55</v>
      </c>
      <c r="E97" s="93"/>
      <c r="F97" s="93"/>
    </row>
    <row r="98" spans="1:6" ht="20.25">
      <c r="A98" s="89">
        <f t="shared" si="1"/>
        <v>107</v>
      </c>
      <c r="B98" s="92">
        <v>43227</v>
      </c>
      <c r="C98" s="93">
        <v>15.4</v>
      </c>
      <c r="D98" s="93">
        <v>15.4</v>
      </c>
      <c r="E98" s="93"/>
      <c r="F98" s="93"/>
    </row>
    <row r="99" spans="1:6" ht="20.25">
      <c r="A99" s="89">
        <f t="shared" si="1"/>
        <v>106</v>
      </c>
      <c r="B99" s="92">
        <v>43197</v>
      </c>
      <c r="C99" s="93">
        <v>15.35</v>
      </c>
      <c r="D99" s="93">
        <v>15.35</v>
      </c>
      <c r="E99" s="93"/>
      <c r="F99" s="93"/>
    </row>
    <row r="100" spans="1:6" ht="20.25">
      <c r="A100" s="89">
        <f t="shared" si="1"/>
        <v>105</v>
      </c>
      <c r="B100" s="92">
        <v>43166</v>
      </c>
      <c r="C100" s="93">
        <v>15.15</v>
      </c>
      <c r="D100" s="93">
        <v>15.15</v>
      </c>
      <c r="E100" s="93"/>
      <c r="F100" s="93"/>
    </row>
    <row r="101" spans="1:6" ht="20.25">
      <c r="A101" s="89">
        <f t="shared" si="1"/>
        <v>104</v>
      </c>
      <c r="B101" s="92">
        <v>43138</v>
      </c>
      <c r="C101" s="93">
        <v>14.95</v>
      </c>
      <c r="D101" s="93">
        <v>14.95</v>
      </c>
      <c r="E101" s="93"/>
      <c r="F101" s="93"/>
    </row>
    <row r="102" spans="1:6" ht="20.25">
      <c r="A102" s="89">
        <f t="shared" si="1"/>
        <v>103</v>
      </c>
      <c r="B102" s="93" t="s">
        <v>340</v>
      </c>
      <c r="C102" s="93">
        <v>14.85</v>
      </c>
      <c r="D102" s="93">
        <v>14.85</v>
      </c>
      <c r="E102" s="93"/>
      <c r="F102" s="93"/>
    </row>
    <row r="103" spans="1:6" ht="20.25">
      <c r="A103" s="89">
        <f t="shared" si="1"/>
        <v>102</v>
      </c>
      <c r="B103" s="93" t="s">
        <v>341</v>
      </c>
      <c r="C103" s="93">
        <v>15.22</v>
      </c>
      <c r="D103" s="93">
        <v>15.22</v>
      </c>
      <c r="E103" s="93"/>
      <c r="F103" s="93"/>
    </row>
    <row r="104" spans="1:6" ht="20.25">
      <c r="A104" s="89">
        <f t="shared" si="1"/>
        <v>101</v>
      </c>
      <c r="B104" s="93" t="s">
        <v>342</v>
      </c>
      <c r="C104" s="93">
        <v>14.86</v>
      </c>
      <c r="D104" s="93">
        <v>14.86</v>
      </c>
      <c r="E104" s="93"/>
      <c r="F104" s="93"/>
    </row>
    <row r="105" spans="1:6" ht="20.25">
      <c r="A105" s="89">
        <f t="shared" si="1"/>
        <v>100</v>
      </c>
      <c r="B105" s="93" t="s">
        <v>343</v>
      </c>
      <c r="C105" s="93">
        <v>15.03</v>
      </c>
      <c r="D105" s="93">
        <v>15.03</v>
      </c>
      <c r="E105" s="93"/>
      <c r="F105" s="93"/>
    </row>
    <row r="106" spans="1:6" ht="20.25">
      <c r="A106" s="89">
        <f t="shared" si="1"/>
        <v>99</v>
      </c>
      <c r="B106" s="93" t="s">
        <v>344</v>
      </c>
      <c r="C106" s="93">
        <v>14.78</v>
      </c>
      <c r="D106" s="93">
        <v>14.78</v>
      </c>
      <c r="E106" s="93"/>
      <c r="F106" s="93"/>
    </row>
    <row r="107" spans="1:6" ht="20.25">
      <c r="A107" s="89">
        <f t="shared" si="1"/>
        <v>98</v>
      </c>
      <c r="B107" s="93" t="s">
        <v>345</v>
      </c>
      <c r="C107" s="93">
        <v>14.2</v>
      </c>
      <c r="D107" s="93">
        <v>14.2</v>
      </c>
      <c r="E107" s="93"/>
      <c r="F107" s="93"/>
    </row>
    <row r="108" spans="1:6" ht="20.25">
      <c r="A108" s="89">
        <f t="shared" si="1"/>
        <v>97</v>
      </c>
      <c r="B108" s="93" t="s">
        <v>346</v>
      </c>
      <c r="C108" s="93">
        <v>14.43</v>
      </c>
      <c r="D108" s="93">
        <v>14.43</v>
      </c>
      <c r="E108" s="93"/>
      <c r="F108" s="93"/>
    </row>
    <row r="109" spans="1:6" ht="20.25">
      <c r="A109" s="89">
        <f t="shared" si="1"/>
        <v>96</v>
      </c>
      <c r="B109" s="93" t="s">
        <v>347</v>
      </c>
      <c r="C109" s="93">
        <v>14.35</v>
      </c>
      <c r="D109" s="93">
        <v>14.35</v>
      </c>
      <c r="E109" s="93"/>
      <c r="F109" s="93"/>
    </row>
    <row r="110" spans="1:6" ht="20.25">
      <c r="A110" s="89">
        <f t="shared" si="1"/>
        <v>95</v>
      </c>
      <c r="B110" s="93" t="s">
        <v>348</v>
      </c>
      <c r="C110" s="93">
        <v>14.52</v>
      </c>
      <c r="D110" s="93">
        <v>14.52</v>
      </c>
      <c r="E110" s="93"/>
      <c r="F110" s="93"/>
    </row>
    <row r="111" spans="1:6" ht="20.25">
      <c r="A111" s="89">
        <f t="shared" si="1"/>
        <v>94</v>
      </c>
      <c r="B111" s="93" t="s">
        <v>349</v>
      </c>
      <c r="C111" s="93">
        <v>14.62</v>
      </c>
      <c r="D111" s="93">
        <v>14.62</v>
      </c>
      <c r="E111" s="93"/>
      <c r="F111" s="93"/>
    </row>
    <row r="112" spans="1:6" ht="20.25">
      <c r="A112" s="89">
        <f t="shared" si="1"/>
        <v>93</v>
      </c>
      <c r="B112" s="93" t="s">
        <v>350</v>
      </c>
      <c r="C112" s="93">
        <v>15.44</v>
      </c>
      <c r="D112" s="93">
        <v>15.44</v>
      </c>
      <c r="E112" s="93"/>
      <c r="F112" s="93"/>
    </row>
    <row r="113" spans="1:6" ht="20.25">
      <c r="A113" s="89">
        <f t="shared" si="1"/>
        <v>92</v>
      </c>
      <c r="B113" s="92">
        <v>43440</v>
      </c>
      <c r="C113" s="93">
        <v>15.08</v>
      </c>
      <c r="D113" s="93">
        <v>15.08</v>
      </c>
      <c r="E113" s="93"/>
      <c r="F113" s="93"/>
    </row>
    <row r="114" spans="1:6" ht="20.25">
      <c r="A114" s="89">
        <f t="shared" si="1"/>
        <v>91</v>
      </c>
      <c r="B114" s="92">
        <v>43410</v>
      </c>
      <c r="C114" s="93">
        <v>15.7</v>
      </c>
      <c r="D114" s="93">
        <v>15.7</v>
      </c>
      <c r="E114" s="93"/>
      <c r="F114" s="93"/>
    </row>
    <row r="115" spans="1:6" ht="20.25">
      <c r="A115" s="89">
        <f t="shared" si="1"/>
        <v>90</v>
      </c>
      <c r="B115" s="92">
        <v>43318</v>
      </c>
      <c r="C115" s="93">
        <v>15.78</v>
      </c>
      <c r="D115" s="93">
        <v>15.78</v>
      </c>
      <c r="E115" s="93"/>
      <c r="F115" s="93"/>
    </row>
    <row r="116" spans="1:6" ht="20.25">
      <c r="A116" s="89">
        <f t="shared" si="1"/>
        <v>89</v>
      </c>
      <c r="B116" s="92">
        <v>43287</v>
      </c>
      <c r="C116" s="93">
        <v>16.14</v>
      </c>
      <c r="D116" s="93">
        <v>16.14</v>
      </c>
      <c r="E116" s="93"/>
      <c r="F116" s="93"/>
    </row>
    <row r="117" spans="1:6" ht="20.25">
      <c r="A117" s="89">
        <f t="shared" si="1"/>
        <v>88</v>
      </c>
      <c r="B117" s="92">
        <v>43257</v>
      </c>
      <c r="C117" s="93">
        <v>15.7</v>
      </c>
      <c r="D117" s="93">
        <v>15.7</v>
      </c>
      <c r="E117" s="93"/>
      <c r="F117" s="93"/>
    </row>
    <row r="118" spans="1:6" ht="20.25">
      <c r="A118" s="89">
        <f t="shared" si="1"/>
        <v>87</v>
      </c>
      <c r="B118" s="92">
        <v>43226</v>
      </c>
      <c r="C118" s="93">
        <v>16.350000000000001</v>
      </c>
      <c r="D118" s="93">
        <v>16.350000000000001</v>
      </c>
      <c r="E118" s="93"/>
      <c r="F118" s="93"/>
    </row>
    <row r="119" spans="1:6" ht="20.25">
      <c r="A119" s="89">
        <f t="shared" si="1"/>
        <v>86</v>
      </c>
      <c r="B119" s="92">
        <v>43196</v>
      </c>
      <c r="C119" s="93">
        <v>15.28</v>
      </c>
      <c r="D119" s="93">
        <v>15.28</v>
      </c>
      <c r="E119" s="93"/>
      <c r="F119" s="93"/>
    </row>
    <row r="120" spans="1:6" ht="20.25">
      <c r="A120" s="89">
        <f t="shared" si="1"/>
        <v>85</v>
      </c>
      <c r="B120" s="92">
        <v>43106</v>
      </c>
      <c r="C120" s="93">
        <v>14.9</v>
      </c>
      <c r="D120" s="93">
        <v>14.9</v>
      </c>
      <c r="E120" s="93"/>
      <c r="F120" s="93"/>
    </row>
    <row r="121" spans="1:6" ht="20.25">
      <c r="A121" s="89">
        <f t="shared" si="1"/>
        <v>84</v>
      </c>
      <c r="B121" s="93" t="s">
        <v>351</v>
      </c>
      <c r="C121" s="93">
        <v>15.4</v>
      </c>
      <c r="D121" s="93">
        <v>15.4</v>
      </c>
      <c r="E121" s="93"/>
      <c r="F121" s="93"/>
    </row>
    <row r="122" spans="1:6" ht="20.25">
      <c r="A122" s="89">
        <f t="shared" si="1"/>
        <v>83</v>
      </c>
      <c r="B122" s="93" t="s">
        <v>352</v>
      </c>
      <c r="C122" s="93">
        <v>16.25</v>
      </c>
      <c r="D122" s="93">
        <v>16.25</v>
      </c>
      <c r="E122" s="93"/>
      <c r="F122" s="93"/>
    </row>
    <row r="123" spans="1:6" ht="20.25">
      <c r="A123" s="89">
        <f t="shared" si="1"/>
        <v>82</v>
      </c>
      <c r="B123" s="93" t="s">
        <v>353</v>
      </c>
      <c r="C123" s="93">
        <v>15.89</v>
      </c>
      <c r="D123" s="93">
        <v>15.89</v>
      </c>
      <c r="E123" s="93"/>
      <c r="F123" s="93"/>
    </row>
    <row r="124" spans="1:6" ht="20.25">
      <c r="A124" s="89">
        <f t="shared" si="1"/>
        <v>81</v>
      </c>
      <c r="B124" s="93" t="s">
        <v>354</v>
      </c>
      <c r="C124" s="93">
        <v>16.23</v>
      </c>
      <c r="D124" s="93">
        <v>16.23</v>
      </c>
      <c r="E124" s="93"/>
      <c r="F124" s="93"/>
    </row>
    <row r="125" spans="1:6" ht="20.25">
      <c r="A125" s="89">
        <f t="shared" si="1"/>
        <v>80</v>
      </c>
      <c r="B125" s="93" t="s">
        <v>355</v>
      </c>
      <c r="C125" s="93">
        <v>15.81</v>
      </c>
      <c r="D125" s="93">
        <v>15.81</v>
      </c>
      <c r="E125" s="93"/>
      <c r="F125" s="93"/>
    </row>
    <row r="126" spans="1:6" ht="20.25">
      <c r="A126" s="89">
        <f t="shared" si="1"/>
        <v>79</v>
      </c>
      <c r="B126" s="93" t="s">
        <v>356</v>
      </c>
      <c r="C126" s="93">
        <v>15.88</v>
      </c>
      <c r="D126" s="93">
        <v>15.88</v>
      </c>
      <c r="E126" s="93"/>
      <c r="F126" s="93"/>
    </row>
    <row r="127" spans="1:6" ht="20.25">
      <c r="A127" s="89">
        <f t="shared" si="1"/>
        <v>78</v>
      </c>
      <c r="B127" s="93" t="s">
        <v>357</v>
      </c>
      <c r="C127" s="93">
        <v>15.2</v>
      </c>
      <c r="D127" s="93">
        <v>15.2</v>
      </c>
      <c r="E127" s="93"/>
      <c r="F127" s="93"/>
    </row>
    <row r="128" spans="1:6" ht="20.25">
      <c r="A128" s="89">
        <f t="shared" si="1"/>
        <v>77</v>
      </c>
      <c r="B128" s="93" t="s">
        <v>358</v>
      </c>
      <c r="C128" s="93">
        <v>15.05</v>
      </c>
      <c r="D128" s="93">
        <v>15.05</v>
      </c>
      <c r="E128" s="93"/>
      <c r="F128" s="93"/>
    </row>
    <row r="129" spans="1:6" ht="20.25">
      <c r="A129" s="89">
        <f t="shared" si="1"/>
        <v>76</v>
      </c>
      <c r="B129" s="93" t="s">
        <v>359</v>
      </c>
      <c r="C129" s="93">
        <v>14.7</v>
      </c>
      <c r="D129" s="93">
        <v>14.7</v>
      </c>
      <c r="E129" s="93"/>
      <c r="F129" s="93"/>
    </row>
    <row r="130" spans="1:6" ht="20.25">
      <c r="A130" s="89">
        <f t="shared" si="1"/>
        <v>75</v>
      </c>
      <c r="B130" s="93" t="s">
        <v>360</v>
      </c>
      <c r="C130" s="93">
        <v>14.2</v>
      </c>
      <c r="D130" s="93">
        <v>14.2</v>
      </c>
      <c r="E130" s="93"/>
      <c r="F130" s="93"/>
    </row>
    <row r="131" spans="1:6" ht="20.25">
      <c r="A131" s="89">
        <f t="shared" si="1"/>
        <v>74</v>
      </c>
      <c r="B131" s="92">
        <v>43348</v>
      </c>
      <c r="C131" s="93">
        <v>13.92</v>
      </c>
      <c r="D131" s="93">
        <v>13.92</v>
      </c>
      <c r="E131" s="93"/>
      <c r="F131" s="93"/>
    </row>
    <row r="132" spans="1:6" ht="20.25">
      <c r="A132" s="89">
        <f t="shared" ref="A132:A195" si="2">A131-1</f>
        <v>73</v>
      </c>
      <c r="B132" s="92">
        <v>43317</v>
      </c>
      <c r="C132" s="93">
        <v>13.51</v>
      </c>
      <c r="D132" s="93">
        <v>13.51</v>
      </c>
      <c r="E132" s="93"/>
      <c r="F132" s="93"/>
    </row>
    <row r="133" spans="1:6" ht="20.25">
      <c r="A133" s="89">
        <f t="shared" si="2"/>
        <v>72</v>
      </c>
      <c r="B133" s="92">
        <v>43195</v>
      </c>
      <c r="C133" s="93">
        <v>12.78</v>
      </c>
      <c r="D133" s="93">
        <v>12.78</v>
      </c>
      <c r="E133" s="93"/>
      <c r="F133" s="93"/>
    </row>
    <row r="134" spans="1:6" ht="20.25">
      <c r="A134" s="89">
        <f t="shared" si="2"/>
        <v>71</v>
      </c>
      <c r="B134" s="92">
        <v>43164</v>
      </c>
      <c r="C134" s="93">
        <v>12.77</v>
      </c>
      <c r="D134" s="93">
        <v>12.77</v>
      </c>
      <c r="E134" s="93"/>
      <c r="F134" s="93"/>
    </row>
    <row r="135" spans="1:6" ht="20.25">
      <c r="A135" s="89">
        <f t="shared" si="2"/>
        <v>70</v>
      </c>
      <c r="B135" s="93" t="s">
        <v>361</v>
      </c>
      <c r="C135" s="93">
        <v>13.35</v>
      </c>
      <c r="D135" s="93">
        <v>13.35</v>
      </c>
      <c r="E135" s="93"/>
      <c r="F135" s="93"/>
    </row>
    <row r="136" spans="1:6" ht="20.25">
      <c r="A136" s="89">
        <f t="shared" si="2"/>
        <v>69</v>
      </c>
      <c r="B136" s="93" t="s">
        <v>362</v>
      </c>
      <c r="C136" s="93">
        <v>13.28</v>
      </c>
      <c r="D136" s="93">
        <v>13.28</v>
      </c>
      <c r="E136" s="93"/>
      <c r="F136" s="93"/>
    </row>
    <row r="137" spans="1:6" ht="20.25">
      <c r="A137" s="89">
        <f t="shared" si="2"/>
        <v>68</v>
      </c>
      <c r="B137" s="93" t="s">
        <v>363</v>
      </c>
      <c r="C137" s="93">
        <v>13.39</v>
      </c>
      <c r="D137" s="93">
        <v>13.39</v>
      </c>
      <c r="E137" s="93"/>
      <c r="F137" s="93"/>
    </row>
    <row r="138" spans="1:6" ht="20.25">
      <c r="A138" s="89">
        <f t="shared" si="2"/>
        <v>67</v>
      </c>
      <c r="B138" s="93" t="s">
        <v>364</v>
      </c>
      <c r="C138" s="93">
        <v>13.09</v>
      </c>
      <c r="D138" s="93">
        <v>13.09</v>
      </c>
      <c r="E138" s="93"/>
      <c r="F138" s="93"/>
    </row>
    <row r="139" spans="1:6" ht="20.25">
      <c r="A139" s="89">
        <f t="shared" si="2"/>
        <v>66</v>
      </c>
      <c r="B139" s="93" t="s">
        <v>365</v>
      </c>
      <c r="C139" s="93">
        <v>12.73</v>
      </c>
      <c r="D139" s="93">
        <v>12.73</v>
      </c>
      <c r="E139" s="93"/>
      <c r="F139" s="93"/>
    </row>
    <row r="140" spans="1:6" ht="20.25">
      <c r="A140" s="89">
        <f t="shared" si="2"/>
        <v>65</v>
      </c>
      <c r="B140" s="93" t="s">
        <v>366</v>
      </c>
      <c r="C140" s="93">
        <v>12.75</v>
      </c>
      <c r="D140" s="93">
        <v>12.75</v>
      </c>
      <c r="E140" s="93"/>
      <c r="F140" s="93"/>
    </row>
    <row r="141" spans="1:6" ht="20.25">
      <c r="A141" s="89">
        <f t="shared" si="2"/>
        <v>64</v>
      </c>
      <c r="B141" s="93" t="s">
        <v>367</v>
      </c>
      <c r="C141" s="93">
        <v>13.05</v>
      </c>
      <c r="D141" s="93">
        <v>13.05</v>
      </c>
      <c r="E141" s="93"/>
      <c r="F141" s="93"/>
    </row>
    <row r="142" spans="1:6" ht="20.25">
      <c r="A142" s="89">
        <f t="shared" si="2"/>
        <v>63</v>
      </c>
      <c r="B142" s="93" t="s">
        <v>368</v>
      </c>
      <c r="C142" s="93">
        <v>13.99</v>
      </c>
      <c r="D142" s="93">
        <v>13.99</v>
      </c>
      <c r="E142" s="93"/>
      <c r="F142" s="93"/>
    </row>
    <row r="143" spans="1:6" ht="20.25">
      <c r="A143" s="89">
        <f t="shared" si="2"/>
        <v>62</v>
      </c>
      <c r="B143" s="93" t="s">
        <v>369</v>
      </c>
      <c r="C143" s="93">
        <v>13.82</v>
      </c>
      <c r="D143" s="93">
        <v>13.82</v>
      </c>
      <c r="E143" s="93"/>
      <c r="F143" s="93"/>
    </row>
    <row r="144" spans="1:6" ht="20.25">
      <c r="A144" s="89">
        <f t="shared" si="2"/>
        <v>61</v>
      </c>
      <c r="B144" s="93" t="s">
        <v>370</v>
      </c>
      <c r="C144" s="93">
        <v>13.84</v>
      </c>
      <c r="D144" s="93">
        <v>13.84</v>
      </c>
      <c r="E144" s="93"/>
      <c r="F144" s="93"/>
    </row>
    <row r="145" spans="1:6" ht="20.25">
      <c r="A145" s="89">
        <f t="shared" si="2"/>
        <v>60</v>
      </c>
      <c r="B145" s="93" t="s">
        <v>371</v>
      </c>
      <c r="C145" s="93">
        <v>13.8</v>
      </c>
      <c r="D145" s="93">
        <v>13.8</v>
      </c>
      <c r="E145" s="93"/>
      <c r="F145" s="93"/>
    </row>
    <row r="146" spans="1:6" ht="20.25">
      <c r="A146" s="89">
        <f t="shared" si="2"/>
        <v>59</v>
      </c>
      <c r="B146" s="92">
        <v>43438</v>
      </c>
      <c r="C146" s="93">
        <v>13.15</v>
      </c>
      <c r="D146" s="93">
        <v>13.15</v>
      </c>
      <c r="E146" s="93"/>
      <c r="F146" s="93"/>
    </row>
    <row r="147" spans="1:6" ht="20.25">
      <c r="A147" s="89">
        <f t="shared" si="2"/>
        <v>58</v>
      </c>
      <c r="B147" s="92">
        <v>43408</v>
      </c>
      <c r="C147" s="93">
        <v>13.55</v>
      </c>
      <c r="D147" s="93">
        <v>13.55</v>
      </c>
      <c r="E147" s="93"/>
      <c r="F147" s="93"/>
    </row>
    <row r="148" spans="1:6" ht="20.25">
      <c r="A148" s="89">
        <f t="shared" si="2"/>
        <v>57</v>
      </c>
      <c r="B148" s="92">
        <v>43377</v>
      </c>
      <c r="C148" s="93">
        <v>13.1</v>
      </c>
      <c r="D148" s="93">
        <v>13.1</v>
      </c>
      <c r="E148" s="93"/>
      <c r="F148" s="93"/>
    </row>
    <row r="149" spans="1:6" ht="20.25">
      <c r="A149" s="89">
        <f t="shared" si="2"/>
        <v>56</v>
      </c>
      <c r="B149" s="92">
        <v>43347</v>
      </c>
      <c r="C149" s="93">
        <v>12.96</v>
      </c>
      <c r="D149" s="93">
        <v>12.96</v>
      </c>
      <c r="E149" s="93"/>
      <c r="F149" s="93"/>
    </row>
    <row r="150" spans="1:6" ht="20.25">
      <c r="A150" s="89">
        <f t="shared" si="2"/>
        <v>55</v>
      </c>
      <c r="B150" s="92">
        <v>43255</v>
      </c>
      <c r="C150" s="93">
        <v>12.68</v>
      </c>
      <c r="D150" s="93">
        <v>12.68</v>
      </c>
      <c r="E150" s="93"/>
      <c r="F150" s="93"/>
    </row>
    <row r="151" spans="1:6" ht="20.25">
      <c r="A151" s="89">
        <f t="shared" si="2"/>
        <v>54</v>
      </c>
      <c r="B151" s="92">
        <v>43224</v>
      </c>
      <c r="C151" s="93">
        <v>12.65</v>
      </c>
      <c r="D151" s="93">
        <v>12.65</v>
      </c>
      <c r="E151" s="93"/>
      <c r="F151" s="93"/>
    </row>
    <row r="152" spans="1:6" ht="20.25">
      <c r="A152" s="89">
        <f t="shared" si="2"/>
        <v>53</v>
      </c>
      <c r="B152" s="92">
        <v>43163</v>
      </c>
      <c r="C152" s="93">
        <v>12.9</v>
      </c>
      <c r="D152" s="93">
        <v>12.9</v>
      </c>
      <c r="E152" s="93"/>
      <c r="F152" s="93"/>
    </row>
    <row r="153" spans="1:6" ht="20.25">
      <c r="A153" s="89">
        <f t="shared" si="2"/>
        <v>52</v>
      </c>
      <c r="B153" s="93" t="s">
        <v>372</v>
      </c>
      <c r="C153" s="93">
        <v>14.05</v>
      </c>
      <c r="D153" s="93">
        <v>14.05</v>
      </c>
      <c r="E153" s="93"/>
      <c r="F153" s="93"/>
    </row>
    <row r="154" spans="1:6" ht="20.25">
      <c r="A154" s="89">
        <f t="shared" si="2"/>
        <v>51</v>
      </c>
      <c r="B154" s="93" t="s">
        <v>373</v>
      </c>
      <c r="C154" s="93">
        <v>13.26</v>
      </c>
      <c r="D154" s="93">
        <v>13.26</v>
      </c>
      <c r="E154" s="93"/>
      <c r="F154" s="93"/>
    </row>
    <row r="155" spans="1:6" ht="20.25">
      <c r="A155" s="89">
        <f t="shared" si="2"/>
        <v>50</v>
      </c>
      <c r="B155" s="93" t="s">
        <v>374</v>
      </c>
      <c r="C155" s="93">
        <v>12.8</v>
      </c>
      <c r="D155" s="93">
        <v>12.8</v>
      </c>
      <c r="E155" s="93"/>
      <c r="F155" s="93"/>
    </row>
    <row r="156" spans="1:6" ht="20.25">
      <c r="A156" s="89">
        <f t="shared" si="2"/>
        <v>49</v>
      </c>
      <c r="B156" s="93" t="s">
        <v>375</v>
      </c>
      <c r="C156" s="93">
        <v>12.37</v>
      </c>
      <c r="D156" s="93">
        <v>12.37</v>
      </c>
      <c r="E156" s="93"/>
      <c r="F156" s="93"/>
    </row>
    <row r="157" spans="1:6" ht="20.25">
      <c r="A157" s="89">
        <f t="shared" si="2"/>
        <v>48</v>
      </c>
      <c r="B157" s="93" t="s">
        <v>376</v>
      </c>
      <c r="C157" s="93">
        <v>12.54</v>
      </c>
      <c r="D157" s="93">
        <v>12.54</v>
      </c>
      <c r="E157" s="93"/>
      <c r="F157" s="93"/>
    </row>
    <row r="158" spans="1:6" ht="20.25">
      <c r="A158" s="89">
        <f t="shared" si="2"/>
        <v>47</v>
      </c>
      <c r="B158" s="93" t="s">
        <v>377</v>
      </c>
      <c r="C158" s="93">
        <v>11.17</v>
      </c>
      <c r="D158" s="93">
        <v>11.17</v>
      </c>
      <c r="E158" s="93"/>
      <c r="F158" s="93"/>
    </row>
    <row r="159" spans="1:6" ht="20.25">
      <c r="A159" s="89">
        <f t="shared" si="2"/>
        <v>46</v>
      </c>
      <c r="B159" s="93" t="s">
        <v>378</v>
      </c>
      <c r="C159" s="93">
        <v>10.96</v>
      </c>
      <c r="D159" s="93">
        <v>10.96</v>
      </c>
      <c r="E159" s="93"/>
      <c r="F159" s="93"/>
    </row>
    <row r="160" spans="1:6" ht="20.25">
      <c r="A160" s="89">
        <f t="shared" si="2"/>
        <v>45</v>
      </c>
      <c r="B160" s="93" t="s">
        <v>379</v>
      </c>
      <c r="C160" s="93">
        <v>10.97</v>
      </c>
      <c r="D160" s="93">
        <v>10.97</v>
      </c>
      <c r="E160" s="93"/>
      <c r="F160" s="93"/>
    </row>
    <row r="161" spans="1:6" ht="20.25">
      <c r="A161" s="89">
        <f t="shared" si="2"/>
        <v>44</v>
      </c>
      <c r="B161" s="93" t="s">
        <v>380</v>
      </c>
      <c r="C161" s="93">
        <v>11.09</v>
      </c>
      <c r="D161" s="93">
        <v>11.09</v>
      </c>
      <c r="E161" s="93"/>
      <c r="F161" s="93"/>
    </row>
    <row r="162" spans="1:6" ht="20.25">
      <c r="A162" s="89">
        <f t="shared" si="2"/>
        <v>43</v>
      </c>
      <c r="B162" s="93" t="s">
        <v>381</v>
      </c>
      <c r="C162" s="93">
        <v>11.25</v>
      </c>
      <c r="D162" s="93">
        <v>11.25</v>
      </c>
      <c r="E162" s="93"/>
      <c r="F162" s="93"/>
    </row>
    <row r="163" spans="1:6" ht="20.25">
      <c r="A163" s="89">
        <f t="shared" si="2"/>
        <v>42</v>
      </c>
      <c r="B163" s="93" t="s">
        <v>382</v>
      </c>
      <c r="C163" s="93">
        <v>11.03</v>
      </c>
      <c r="D163" s="93">
        <v>11.03</v>
      </c>
      <c r="E163" s="93"/>
      <c r="F163" s="93"/>
    </row>
    <row r="164" spans="1:6" ht="20.25">
      <c r="A164" s="89">
        <f t="shared" si="2"/>
        <v>41</v>
      </c>
      <c r="B164" s="92">
        <v>43437</v>
      </c>
      <c r="C164" s="93">
        <v>11.32</v>
      </c>
      <c r="D164" s="93">
        <v>11.32</v>
      </c>
      <c r="E164" s="93"/>
      <c r="F164" s="93"/>
    </row>
    <row r="165" spans="1:6" ht="20.25">
      <c r="A165" s="89">
        <f t="shared" si="2"/>
        <v>40</v>
      </c>
      <c r="B165" s="92">
        <v>43346</v>
      </c>
      <c r="C165" s="93">
        <v>11.1</v>
      </c>
      <c r="D165" s="93">
        <v>11.1</v>
      </c>
      <c r="E165" s="93"/>
      <c r="F165" s="93"/>
    </row>
    <row r="166" spans="1:6" ht="20.25">
      <c r="A166" s="89">
        <f t="shared" si="2"/>
        <v>39</v>
      </c>
      <c r="B166" s="92">
        <v>43315</v>
      </c>
      <c r="C166" s="93">
        <v>10.77</v>
      </c>
      <c r="D166" s="93">
        <v>10.77</v>
      </c>
      <c r="E166" s="93"/>
      <c r="F166" s="93"/>
    </row>
    <row r="167" spans="1:6" ht="20.25">
      <c r="A167" s="89">
        <f t="shared" si="2"/>
        <v>38</v>
      </c>
      <c r="B167" s="92">
        <v>43254</v>
      </c>
      <c r="C167" s="93">
        <v>10.28</v>
      </c>
      <c r="D167" s="93">
        <v>10.28</v>
      </c>
      <c r="E167" s="93"/>
      <c r="F167" s="93"/>
    </row>
    <row r="168" spans="1:6" ht="20.25">
      <c r="A168" s="89">
        <f t="shared" si="2"/>
        <v>37</v>
      </c>
      <c r="B168" s="92">
        <v>43223</v>
      </c>
      <c r="C168" s="93">
        <v>10.050000000000001</v>
      </c>
      <c r="D168" s="93">
        <v>10.050000000000001</v>
      </c>
      <c r="E168" s="93"/>
      <c r="F168" s="93"/>
    </row>
    <row r="169" spans="1:6" ht="20.25">
      <c r="A169" s="89">
        <f t="shared" si="2"/>
        <v>36</v>
      </c>
      <c r="B169" s="92">
        <v>43134</v>
      </c>
      <c r="C169" s="93">
        <v>9.89</v>
      </c>
      <c r="D169" s="93">
        <v>9.89</v>
      </c>
      <c r="E169" s="93"/>
      <c r="F169" s="93"/>
    </row>
    <row r="170" spans="1:6" ht="20.25">
      <c r="A170" s="89">
        <f t="shared" si="2"/>
        <v>35</v>
      </c>
      <c r="B170" s="92">
        <v>43103</v>
      </c>
      <c r="C170" s="93">
        <v>9.92</v>
      </c>
      <c r="D170" s="93">
        <v>9.92</v>
      </c>
      <c r="E170" s="93"/>
      <c r="F170" s="93"/>
    </row>
    <row r="171" spans="1:6" ht="20.25">
      <c r="A171" s="89">
        <f t="shared" si="2"/>
        <v>34</v>
      </c>
      <c r="B171" s="93" t="s">
        <v>383</v>
      </c>
      <c r="C171" s="93">
        <v>9.99</v>
      </c>
      <c r="D171" s="93">
        <v>9.99</v>
      </c>
      <c r="E171" s="93"/>
      <c r="F171" s="93"/>
    </row>
    <row r="172" spans="1:6" ht="20.25">
      <c r="A172" s="89">
        <f t="shared" si="2"/>
        <v>33</v>
      </c>
      <c r="B172" s="93" t="s">
        <v>384</v>
      </c>
      <c r="C172" s="93">
        <v>9.5399999999999991</v>
      </c>
      <c r="D172" s="93">
        <v>9.5399999999999991</v>
      </c>
      <c r="E172" s="93"/>
      <c r="F172" s="93"/>
    </row>
    <row r="173" spans="1:6" ht="20.25">
      <c r="A173" s="89">
        <f t="shared" si="2"/>
        <v>32</v>
      </c>
      <c r="B173" s="93" t="s">
        <v>385</v>
      </c>
      <c r="C173" s="93">
        <v>9.56</v>
      </c>
      <c r="D173" s="93">
        <v>9.56</v>
      </c>
      <c r="E173" s="93"/>
      <c r="F173" s="93"/>
    </row>
    <row r="174" spans="1:6" ht="20.25">
      <c r="A174" s="89">
        <f t="shared" si="2"/>
        <v>31</v>
      </c>
      <c r="B174" s="93" t="s">
        <v>386</v>
      </c>
      <c r="C174" s="93">
        <v>9.68</v>
      </c>
      <c r="D174" s="93">
        <v>9.68</v>
      </c>
      <c r="E174" s="93"/>
      <c r="F174" s="93"/>
    </row>
    <row r="175" spans="1:6" ht="20.25">
      <c r="A175" s="89">
        <f t="shared" si="2"/>
        <v>30</v>
      </c>
      <c r="B175" s="93" t="s">
        <v>387</v>
      </c>
      <c r="C175" s="93">
        <v>9.56</v>
      </c>
      <c r="D175" s="93">
        <v>9.56</v>
      </c>
      <c r="E175" s="93"/>
      <c r="F175" s="93"/>
    </row>
    <row r="176" spans="1:6" ht="20.25">
      <c r="A176" s="89">
        <f t="shared" si="2"/>
        <v>29</v>
      </c>
      <c r="B176" s="93" t="s">
        <v>388</v>
      </c>
      <c r="C176" s="93">
        <v>9.6999999999999993</v>
      </c>
      <c r="D176" s="93">
        <v>9.6999999999999993</v>
      </c>
      <c r="E176" s="93"/>
      <c r="F176" s="93"/>
    </row>
    <row r="177" spans="1:6" ht="20.25">
      <c r="A177" s="89">
        <f t="shared" si="2"/>
        <v>28</v>
      </c>
      <c r="B177" s="93" t="s">
        <v>389</v>
      </c>
      <c r="C177" s="93">
        <v>9.58</v>
      </c>
      <c r="D177" s="93">
        <v>9.58</v>
      </c>
      <c r="E177" s="93"/>
      <c r="F177" s="93"/>
    </row>
    <row r="178" spans="1:6" ht="20.25">
      <c r="A178" s="89">
        <f t="shared" si="2"/>
        <v>27</v>
      </c>
      <c r="B178" s="93" t="s">
        <v>390</v>
      </c>
      <c r="C178" s="93">
        <v>9.5299999999999994</v>
      </c>
      <c r="D178" s="93">
        <v>9.5299999999999994</v>
      </c>
      <c r="E178" s="93"/>
      <c r="F178" s="93"/>
    </row>
    <row r="179" spans="1:6" ht="20.25">
      <c r="A179" s="89">
        <f t="shared" si="2"/>
        <v>26</v>
      </c>
      <c r="B179" s="93" t="s">
        <v>391</v>
      </c>
      <c r="C179" s="93">
        <v>9.64</v>
      </c>
      <c r="D179" s="93">
        <v>9.64</v>
      </c>
      <c r="E179" s="93"/>
      <c r="F179" s="93"/>
    </row>
    <row r="180" spans="1:6" ht="20.25">
      <c r="A180" s="89">
        <f t="shared" si="2"/>
        <v>25</v>
      </c>
      <c r="B180" s="93" t="s">
        <v>392</v>
      </c>
      <c r="C180" s="93">
        <v>9.8800000000000008</v>
      </c>
      <c r="D180" s="93">
        <v>9.8800000000000008</v>
      </c>
      <c r="E180" s="93"/>
      <c r="F180" s="93"/>
    </row>
    <row r="181" spans="1:6" ht="20.25">
      <c r="A181" s="89">
        <f t="shared" si="2"/>
        <v>24</v>
      </c>
      <c r="B181" s="93" t="s">
        <v>393</v>
      </c>
      <c r="C181" s="93">
        <v>9.5299999999999994</v>
      </c>
      <c r="D181" s="93">
        <v>9.5299999999999994</v>
      </c>
      <c r="E181" s="93"/>
      <c r="F181" s="93"/>
    </row>
    <row r="182" spans="1:6" ht="20.25">
      <c r="A182" s="89">
        <f t="shared" si="2"/>
        <v>23</v>
      </c>
      <c r="B182" s="92">
        <v>43436</v>
      </c>
      <c r="C182" s="93">
        <v>9.08</v>
      </c>
      <c r="D182" s="93">
        <v>9.08</v>
      </c>
      <c r="E182" s="93"/>
      <c r="F182" s="93"/>
    </row>
    <row r="183" spans="1:6" ht="20.25">
      <c r="A183" s="89">
        <f t="shared" si="2"/>
        <v>22</v>
      </c>
      <c r="B183" s="92">
        <v>43345</v>
      </c>
      <c r="C183" s="93">
        <v>8.9700000000000006</v>
      </c>
      <c r="D183" s="93">
        <v>8.9700000000000006</v>
      </c>
      <c r="E183" s="93"/>
      <c r="F183" s="93"/>
    </row>
    <row r="184" spans="1:6" ht="20.25">
      <c r="A184" s="89">
        <f t="shared" si="2"/>
        <v>21</v>
      </c>
      <c r="B184" s="92">
        <v>43314</v>
      </c>
      <c r="C184" s="93">
        <v>8.93</v>
      </c>
      <c r="D184" s="93">
        <v>8.93</v>
      </c>
      <c r="E184" s="93"/>
      <c r="F184" s="93"/>
    </row>
    <row r="185" spans="1:6" ht="20.25">
      <c r="A185" s="89">
        <f t="shared" si="2"/>
        <v>20</v>
      </c>
      <c r="B185" s="92">
        <v>43253</v>
      </c>
      <c r="C185" s="93">
        <v>8.84</v>
      </c>
      <c r="D185" s="93">
        <v>8.84</v>
      </c>
      <c r="E185" s="93"/>
      <c r="F185" s="93"/>
    </row>
    <row r="186" spans="1:6" ht="20.25">
      <c r="A186" s="89">
        <f t="shared" si="2"/>
        <v>19</v>
      </c>
      <c r="B186" s="92">
        <v>43222</v>
      </c>
      <c r="C186" s="93">
        <v>8.66</v>
      </c>
      <c r="D186" s="93">
        <v>8.66</v>
      </c>
      <c r="E186" s="93"/>
      <c r="F186" s="93"/>
    </row>
    <row r="187" spans="1:6" ht="20.25">
      <c r="A187" s="89">
        <f t="shared" si="2"/>
        <v>18</v>
      </c>
      <c r="B187" s="92">
        <v>43133</v>
      </c>
      <c r="C187" s="93">
        <v>9.0399999999999991</v>
      </c>
      <c r="D187" s="93">
        <v>9.0399999999999991</v>
      </c>
      <c r="E187" s="93"/>
      <c r="F187" s="93"/>
    </row>
    <row r="188" spans="1:6" ht="20.25">
      <c r="A188" s="89">
        <f t="shared" si="2"/>
        <v>17</v>
      </c>
      <c r="B188" s="92">
        <v>43102</v>
      </c>
      <c r="C188" s="93">
        <v>9.3699999999999992</v>
      </c>
      <c r="D188" s="93">
        <v>9.3699999999999992</v>
      </c>
      <c r="E188" s="93"/>
      <c r="F188" s="93"/>
    </row>
    <row r="189" spans="1:6" ht="20.25">
      <c r="A189" s="89">
        <f t="shared" si="2"/>
        <v>16</v>
      </c>
      <c r="B189" s="93" t="s">
        <v>394</v>
      </c>
      <c r="C189" s="93">
        <v>8.7799999999999994</v>
      </c>
      <c r="D189" s="93">
        <v>8.7799999999999994</v>
      </c>
      <c r="E189" s="93"/>
      <c r="F189" s="93"/>
    </row>
    <row r="190" spans="1:6" ht="20.25">
      <c r="A190" s="89">
        <f t="shared" si="2"/>
        <v>15</v>
      </c>
      <c r="B190" s="93" t="s">
        <v>395</v>
      </c>
      <c r="C190" s="93">
        <v>8.86</v>
      </c>
      <c r="D190" s="93">
        <v>8.86</v>
      </c>
      <c r="E190" s="93"/>
      <c r="F190" s="93"/>
    </row>
    <row r="191" spans="1:6" ht="20.25">
      <c r="A191" s="89">
        <f t="shared" si="2"/>
        <v>14</v>
      </c>
      <c r="B191" s="93" t="s">
        <v>396</v>
      </c>
      <c r="C191" s="93">
        <v>9.06</v>
      </c>
      <c r="D191" s="93">
        <v>9.06</v>
      </c>
      <c r="E191" s="93"/>
      <c r="F191" s="93"/>
    </row>
    <row r="192" spans="1:6" ht="20.25">
      <c r="A192" s="89">
        <f t="shared" si="2"/>
        <v>13</v>
      </c>
      <c r="B192" s="93" t="s">
        <v>397</v>
      </c>
      <c r="C192" s="93">
        <v>9.02</v>
      </c>
      <c r="D192" s="93">
        <v>9.02</v>
      </c>
      <c r="E192" s="93"/>
      <c r="F192" s="93"/>
    </row>
    <row r="193" spans="1:6" ht="20.25">
      <c r="A193" s="89">
        <f t="shared" si="2"/>
        <v>12</v>
      </c>
      <c r="B193" s="93" t="s">
        <v>398</v>
      </c>
      <c r="C193" s="93">
        <v>9.34</v>
      </c>
      <c r="D193" s="93">
        <v>9.34</v>
      </c>
      <c r="E193" s="93"/>
      <c r="F193" s="93"/>
    </row>
    <row r="194" spans="1:6" ht="20.25">
      <c r="A194" s="89">
        <f t="shared" si="2"/>
        <v>11</v>
      </c>
      <c r="B194" s="93" t="s">
        <v>399</v>
      </c>
      <c r="C194" s="93">
        <v>8.8800000000000008</v>
      </c>
      <c r="D194" s="93">
        <v>8.8800000000000008</v>
      </c>
      <c r="E194" s="93"/>
      <c r="F194" s="93"/>
    </row>
    <row r="195" spans="1:6" ht="20.25">
      <c r="A195" s="89">
        <f t="shared" si="2"/>
        <v>10</v>
      </c>
      <c r="B195" s="93" t="s">
        <v>400</v>
      </c>
      <c r="C195" s="93">
        <v>8.6999999999999993</v>
      </c>
      <c r="D195" s="93">
        <v>8.6999999999999993</v>
      </c>
      <c r="E195" s="93"/>
      <c r="F195" s="93"/>
    </row>
    <row r="196" spans="1:6" ht="20.25">
      <c r="A196" s="89">
        <f t="shared" ref="A196:A204" si="3">A195-1</f>
        <v>9</v>
      </c>
      <c r="B196" s="93" t="s">
        <v>401</v>
      </c>
      <c r="C196" s="93">
        <v>8.6</v>
      </c>
      <c r="D196" s="93">
        <v>8.6</v>
      </c>
      <c r="E196" s="93"/>
      <c r="F196" s="93"/>
    </row>
    <row r="197" spans="1:6" ht="20.25">
      <c r="A197" s="89">
        <f t="shared" si="3"/>
        <v>8</v>
      </c>
      <c r="B197" s="93" t="s">
        <v>402</v>
      </c>
      <c r="C197" s="93">
        <v>8.26</v>
      </c>
      <c r="D197" s="93">
        <v>8.26</v>
      </c>
      <c r="E197" s="93"/>
      <c r="F197" s="93"/>
    </row>
    <row r="198" spans="1:6" ht="20.25">
      <c r="A198" s="89">
        <f t="shared" si="3"/>
        <v>7</v>
      </c>
      <c r="B198" s="93" t="s">
        <v>403</v>
      </c>
      <c r="C198" s="93">
        <v>7.99</v>
      </c>
      <c r="D198" s="93">
        <v>7.99</v>
      </c>
      <c r="E198" s="93"/>
      <c r="F198" s="93"/>
    </row>
    <row r="199" spans="1:6" ht="20.25">
      <c r="A199" s="89">
        <f t="shared" si="3"/>
        <v>6</v>
      </c>
      <c r="B199" s="93" t="s">
        <v>404</v>
      </c>
      <c r="C199" s="93">
        <v>7.77</v>
      </c>
      <c r="D199" s="93">
        <v>7.77</v>
      </c>
      <c r="E199" s="93"/>
      <c r="F199" s="93"/>
    </row>
    <row r="200" spans="1:6" ht="20.25">
      <c r="A200" s="89">
        <f t="shared" si="3"/>
        <v>5</v>
      </c>
      <c r="B200" s="93" t="s">
        <v>405</v>
      </c>
      <c r="C200" s="93">
        <v>7.72</v>
      </c>
      <c r="D200" s="93">
        <v>7.72</v>
      </c>
      <c r="E200" s="93"/>
      <c r="F200" s="93"/>
    </row>
    <row r="201" spans="1:6" ht="20.25">
      <c r="A201" s="89">
        <f t="shared" si="3"/>
        <v>4</v>
      </c>
      <c r="B201" s="92">
        <v>43435</v>
      </c>
      <c r="C201" s="93">
        <v>7.79</v>
      </c>
      <c r="D201" s="93">
        <v>7.79</v>
      </c>
      <c r="E201" s="93"/>
      <c r="F201" s="93"/>
    </row>
    <row r="202" spans="1:6" ht="20.25">
      <c r="A202" s="89">
        <f t="shared" si="3"/>
        <v>3</v>
      </c>
      <c r="B202" s="92">
        <v>43405</v>
      </c>
      <c r="C202" s="93">
        <v>7.89</v>
      </c>
      <c r="D202" s="93">
        <v>7.89</v>
      </c>
      <c r="E202" s="93"/>
      <c r="F202" s="93"/>
    </row>
    <row r="203" spans="1:6" ht="20.25">
      <c r="A203" s="89">
        <f t="shared" si="3"/>
        <v>2</v>
      </c>
      <c r="B203" s="92">
        <v>43344</v>
      </c>
      <c r="C203" s="93">
        <v>7.68</v>
      </c>
      <c r="D203" s="93">
        <v>7.68</v>
      </c>
      <c r="E203" s="93"/>
      <c r="F203" s="93"/>
    </row>
    <row r="204" spans="1:6" ht="20.25">
      <c r="A204" s="89">
        <f t="shared" si="3"/>
        <v>1</v>
      </c>
      <c r="B204" s="92">
        <v>43313</v>
      </c>
      <c r="C204" s="93">
        <v>7.83</v>
      </c>
      <c r="D204" s="93">
        <v>7.83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7</vt:i4>
      </vt:variant>
    </vt:vector>
  </HeadingPairs>
  <TitlesOfParts>
    <vt:vector size="19" baseType="lpstr">
      <vt:lpstr>Assumptions</vt:lpstr>
      <vt:lpstr>Comp_processes</vt:lpstr>
      <vt:lpstr>Matlab_input</vt:lpstr>
      <vt:lpstr>Gerdemann et al.</vt:lpstr>
      <vt:lpstr>Sanna et al. </vt:lpstr>
      <vt:lpstr>CHEPCI &amp; Location factors</vt:lpstr>
      <vt:lpstr>Opex CemCap</vt:lpstr>
      <vt:lpstr>Capex-Cemcap</vt:lpstr>
      <vt:lpstr>Capex-Sinott et al.</vt:lpstr>
      <vt:lpstr>VDI-Wärmeatlas</vt:lpstr>
      <vt:lpstr>Felder et al. &amp; NIST</vt:lpstr>
      <vt:lpstr>ETS</vt:lpstr>
      <vt:lpstr>'Gerdemann et al.'!Default_Dataset__1</vt:lpstr>
      <vt:lpstr>'Gerdemann et al.'!Default_Dataset__1__1</vt:lpstr>
      <vt:lpstr>'Gerdemann et al.'!Default_Dataset__1__2</vt:lpstr>
      <vt:lpstr>'Gerdemann et al.'!Default_Dataset__2</vt:lpstr>
      <vt:lpstr>'Gerdemann et al.'!Default_Dataset__2__1</vt:lpstr>
      <vt:lpstr>'Gerdemann et al.'!Default_Dataset__3</vt:lpstr>
      <vt:lpstr>'VDI-Wärmeatlas'!viscosity_water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Strunge, Till</cp:lastModifiedBy>
  <dcterms:created xsi:type="dcterms:W3CDTF">2018-05-21T13:50:32Z</dcterms:created>
  <dcterms:modified xsi:type="dcterms:W3CDTF">2022-02-03T18:43:28Z</dcterms:modified>
</cp:coreProperties>
</file>