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Objects="none"/>
  <mc:AlternateContent xmlns:mc="http://schemas.openxmlformats.org/markup-compatibility/2006">
    <mc:Choice Requires="x15">
      <x15ac:absPath xmlns:x15ac="http://schemas.microsoft.com/office/spreadsheetml/2010/11/ac" url="C:\Users\TSR\Desktop\final version Nature Comms paper\TEA model\Indirect Process\"/>
    </mc:Choice>
  </mc:AlternateContent>
  <xr:revisionPtr revIDLastSave="0" documentId="13_ncr:1_{CBF93C0E-13C7-4FFB-B91A-4BCB4761E8B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ss Balance" sheetId="2" state="hidden" r:id="rId1"/>
    <sheet name="Matlab_Input_max" sheetId="4" r:id="rId2"/>
    <sheet name="Cp Values" sheetId="6" state="hidden" r:id="rId3"/>
    <sheet name="Assumptions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8" i="4" l="1"/>
  <c r="AG16" i="4"/>
  <c r="AG15" i="4"/>
  <c r="AG14" i="4"/>
  <c r="AG13" i="4"/>
  <c r="AG12" i="4"/>
  <c r="AI12" i="4" l="1"/>
  <c r="AI13" i="4"/>
  <c r="AI14" i="4"/>
  <c r="AI16" i="4"/>
  <c r="AI17" i="4"/>
  <c r="AI18" i="4"/>
  <c r="AI19" i="4"/>
  <c r="AI20" i="4"/>
  <c r="AI22" i="4"/>
  <c r="AI23" i="4"/>
  <c r="AI24" i="4"/>
  <c r="AI25" i="4"/>
  <c r="AI26" i="4"/>
  <c r="AI27" i="4"/>
  <c r="AI28" i="4"/>
  <c r="AI29" i="4"/>
  <c r="AI30" i="4"/>
  <c r="AI31" i="4"/>
  <c r="AI32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11" i="4"/>
  <c r="H21" i="2" l="1"/>
  <c r="Y67" i="4" l="1"/>
  <c r="Y68" i="4" s="1"/>
  <c r="Y69" i="4" s="1"/>
  <c r="Y70" i="4" s="1"/>
  <c r="Y71" i="4" s="1"/>
  <c r="Y72" i="4" s="1"/>
  <c r="Z34" i="4" l="1"/>
  <c r="S22" i="4" l="1"/>
  <c r="T22" i="4"/>
  <c r="U22" i="4"/>
  <c r="V22" i="4"/>
  <c r="W22" i="4"/>
  <c r="R22" i="4"/>
  <c r="K85" i="2" l="1"/>
  <c r="K88" i="2"/>
  <c r="K89" i="2"/>
  <c r="K90" i="2"/>
  <c r="I144" i="2"/>
  <c r="I143" i="2"/>
  <c r="K204" i="2"/>
  <c r="K205" i="2"/>
  <c r="K206" i="2"/>
  <c r="K207" i="2"/>
  <c r="K208" i="2"/>
  <c r="K209" i="2"/>
  <c r="K211" i="2"/>
  <c r="K212" i="2"/>
  <c r="K215" i="2"/>
  <c r="K203" i="2"/>
  <c r="AA7" i="4"/>
  <c r="Z52" i="4" l="1"/>
  <c r="C199" i="2" l="1"/>
  <c r="A48" i="4" l="1"/>
  <c r="A49" i="4" s="1"/>
  <c r="A50" i="4" s="1"/>
  <c r="A51" i="4" s="1"/>
  <c r="AA52" i="4" l="1"/>
  <c r="AB52" i="4"/>
  <c r="X19" i="4" l="1"/>
  <c r="Y26" i="4" l="1"/>
  <c r="Y27" i="4" s="1"/>
  <c r="Y28" i="4" s="1"/>
  <c r="Y29" i="4" s="1"/>
  <c r="Y30" i="4" s="1"/>
  <c r="Y31" i="4" s="1"/>
  <c r="Y32" i="4" s="1"/>
  <c r="Y33" i="4" s="1"/>
  <c r="C43" i="4"/>
  <c r="C42" i="4"/>
  <c r="C39" i="4"/>
  <c r="C38" i="4"/>
  <c r="C37" i="4"/>
  <c r="C36" i="4"/>
  <c r="T10" i="4" l="1"/>
  <c r="U10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X16" i="4"/>
  <c r="T16" i="4"/>
  <c r="U16" i="4"/>
  <c r="V16" i="4"/>
  <c r="S16" i="4"/>
  <c r="X15" i="4"/>
  <c r="W15" i="4"/>
  <c r="T15" i="4"/>
  <c r="U15" i="4"/>
  <c r="V15" i="4"/>
  <c r="S15" i="4"/>
  <c r="W14" i="4"/>
  <c r="W13" i="4"/>
  <c r="X13" i="4"/>
  <c r="T13" i="4"/>
  <c r="U13" i="4"/>
  <c r="V13" i="4"/>
  <c r="S13" i="4"/>
  <c r="W12" i="4"/>
  <c r="X12" i="4"/>
  <c r="T12" i="4"/>
  <c r="U12" i="4"/>
  <c r="V12" i="4"/>
  <c r="S12" i="4"/>
  <c r="W11" i="4"/>
  <c r="T11" i="4"/>
  <c r="S11" i="4"/>
  <c r="W10" i="4"/>
  <c r="S10" i="4"/>
  <c r="S9" i="4"/>
  <c r="W8" i="4"/>
  <c r="X8" i="4"/>
  <c r="T8" i="4"/>
  <c r="U8" i="4"/>
  <c r="V8" i="4"/>
  <c r="S8" i="4"/>
  <c r="W7" i="4"/>
  <c r="X7" i="4"/>
  <c r="T7" i="4"/>
  <c r="U7" i="4"/>
  <c r="V7" i="4"/>
  <c r="S7" i="4"/>
  <c r="W6" i="4"/>
  <c r="S5" i="4"/>
  <c r="S4" i="4"/>
  <c r="J221" i="2" l="1"/>
  <c r="J222" i="2"/>
  <c r="J223" i="2"/>
  <c r="J224" i="2"/>
  <c r="J225" i="2"/>
  <c r="J226" i="2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J234" i="2"/>
  <c r="J235" i="2"/>
  <c r="J236" i="2"/>
  <c r="J237" i="2"/>
  <c r="J238" i="2"/>
  <c r="J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J247" i="2"/>
  <c r="J248" i="2"/>
  <c r="J249" i="2"/>
  <c r="J250" i="2"/>
  <c r="J251" i="2"/>
  <c r="J252" i="2"/>
  <c r="J253" i="2"/>
  <c r="J254" i="2"/>
  <c r="J255" i="2"/>
  <c r="K255" i="2" s="1"/>
  <c r="J256" i="2"/>
  <c r="K256" i="2" s="1"/>
  <c r="J257" i="2"/>
  <c r="K257" i="2" s="1"/>
  <c r="J258" i="2"/>
  <c r="K258" i="2" s="1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K284" i="2" s="1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K297" i="2" s="1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K310" i="2" s="1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K323" i="2" s="1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K336" i="2" s="1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K427" i="2" s="1"/>
  <c r="J220" i="2"/>
  <c r="D416" i="2"/>
  <c r="D417" i="2"/>
  <c r="D418" i="2"/>
  <c r="D420" i="2"/>
  <c r="D421" i="2"/>
  <c r="D422" i="2"/>
  <c r="D423" i="2"/>
  <c r="D424" i="2"/>
  <c r="D426" i="2"/>
  <c r="D415" i="2"/>
  <c r="H240" i="2"/>
  <c r="H241" i="2"/>
  <c r="H242" i="2"/>
  <c r="H243" i="2"/>
  <c r="H244" i="2"/>
  <c r="H245" i="2"/>
  <c r="H255" i="2"/>
  <c r="H256" i="2"/>
  <c r="H257" i="2"/>
  <c r="H258" i="2"/>
  <c r="H284" i="2"/>
  <c r="H297" i="2"/>
  <c r="H310" i="2"/>
  <c r="H323" i="2"/>
  <c r="H336" i="2"/>
  <c r="H427" i="2"/>
  <c r="H227" i="2"/>
  <c r="H228" i="2"/>
  <c r="H229" i="2"/>
  <c r="H230" i="2"/>
  <c r="H231" i="2"/>
  <c r="H232" i="2"/>
  <c r="K424" i="2" l="1"/>
  <c r="K416" i="2"/>
  <c r="K423" i="2"/>
  <c r="K421" i="2"/>
  <c r="K418" i="2"/>
  <c r="K426" i="2"/>
  <c r="K422" i="2"/>
  <c r="K417" i="2"/>
  <c r="K415" i="2"/>
  <c r="K420" i="2"/>
  <c r="X17" i="4"/>
  <c r="X18" i="4"/>
  <c r="X20" i="4"/>
  <c r="X21" i="4"/>
  <c r="S14" i="4"/>
  <c r="G15" i="6"/>
  <c r="G13" i="6"/>
  <c r="W4" i="4" s="1"/>
  <c r="I5" i="6"/>
  <c r="W16" i="4" s="1"/>
  <c r="W9" i="4" l="1"/>
  <c r="W5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I11" i="4"/>
  <c r="J11" i="4"/>
  <c r="I12" i="4"/>
  <c r="J12" i="4"/>
  <c r="I13" i="4"/>
  <c r="J13" i="4"/>
  <c r="I14" i="4"/>
  <c r="J14" i="4"/>
  <c r="I15" i="4"/>
  <c r="J15" i="4"/>
  <c r="I16" i="4"/>
  <c r="J16" i="4"/>
  <c r="I24" i="4"/>
  <c r="J24" i="4"/>
  <c r="I25" i="4"/>
  <c r="J25" i="4"/>
  <c r="I26" i="4"/>
  <c r="J26" i="4"/>
  <c r="I27" i="4"/>
  <c r="J27" i="4"/>
  <c r="I28" i="4"/>
  <c r="J28" i="4"/>
  <c r="I29" i="4"/>
  <c r="J29" i="4"/>
  <c r="I39" i="4"/>
  <c r="J39" i="4"/>
  <c r="I40" i="4"/>
  <c r="J40" i="4"/>
  <c r="I41" i="4"/>
  <c r="J41" i="4"/>
  <c r="I42" i="4"/>
  <c r="J42" i="4"/>
  <c r="I68" i="4"/>
  <c r="J68" i="4"/>
  <c r="I81" i="4"/>
  <c r="J81" i="4"/>
  <c r="I94" i="4"/>
  <c r="J94" i="4"/>
  <c r="I107" i="4"/>
  <c r="J107" i="4"/>
  <c r="I120" i="4"/>
  <c r="J120" i="4"/>
  <c r="I199" i="4"/>
  <c r="I201" i="4"/>
  <c r="I202" i="4"/>
  <c r="I206" i="4"/>
  <c r="I211" i="4"/>
  <c r="J211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I200" i="4"/>
  <c r="I204" i="4"/>
  <c r="I205" i="4"/>
  <c r="I207" i="4"/>
  <c r="I208" i="4"/>
  <c r="I210" i="4"/>
  <c r="D403" i="2"/>
  <c r="D404" i="2"/>
  <c r="D405" i="2"/>
  <c r="D406" i="2"/>
  <c r="D407" i="2"/>
  <c r="K407" i="2" s="1"/>
  <c r="D408" i="2"/>
  <c r="K408" i="2" s="1"/>
  <c r="D409" i="2"/>
  <c r="K409" i="2" s="1"/>
  <c r="D410" i="2"/>
  <c r="D411" i="2"/>
  <c r="D412" i="2"/>
  <c r="D414" i="2"/>
  <c r="D402" i="2"/>
  <c r="E388" i="2"/>
  <c r="H388" i="2" s="1"/>
  <c r="E368" i="2"/>
  <c r="E351" i="2"/>
  <c r="H351" i="2" s="1"/>
  <c r="E355" i="2"/>
  <c r="D349" i="2"/>
  <c r="E349" i="2"/>
  <c r="E322" i="2"/>
  <c r="E348" i="2" s="1"/>
  <c r="D269" i="2"/>
  <c r="E269" i="2"/>
  <c r="D270" i="2"/>
  <c r="K270" i="2" s="1"/>
  <c r="E270" i="2"/>
  <c r="H270" i="2" s="1"/>
  <c r="D271" i="2"/>
  <c r="K271" i="2" s="1"/>
  <c r="E271" i="2"/>
  <c r="E268" i="2"/>
  <c r="D268" i="2"/>
  <c r="H53" i="2"/>
  <c r="E254" i="2" s="1"/>
  <c r="I55" i="4" l="1"/>
  <c r="J54" i="4"/>
  <c r="I193" i="4"/>
  <c r="J135" i="4"/>
  <c r="J132" i="4"/>
  <c r="H348" i="2"/>
  <c r="I192" i="4"/>
  <c r="I54" i="4"/>
  <c r="J152" i="4"/>
  <c r="H368" i="2"/>
  <c r="I52" i="4"/>
  <c r="K268" i="2"/>
  <c r="I186" i="4"/>
  <c r="K402" i="2"/>
  <c r="J133" i="4"/>
  <c r="H349" i="2"/>
  <c r="I189" i="4"/>
  <c r="K405" i="2"/>
  <c r="J55" i="4"/>
  <c r="H271" i="2"/>
  <c r="I133" i="4"/>
  <c r="K349" i="2"/>
  <c r="I188" i="4"/>
  <c r="K404" i="2"/>
  <c r="I195" i="4"/>
  <c r="K411" i="2"/>
  <c r="I187" i="4"/>
  <c r="K403" i="2"/>
  <c r="J139" i="4"/>
  <c r="H355" i="2"/>
  <c r="I194" i="4"/>
  <c r="K410" i="2"/>
  <c r="I191" i="4"/>
  <c r="J38" i="4"/>
  <c r="H254" i="2"/>
  <c r="J106" i="4"/>
  <c r="H322" i="2"/>
  <c r="I190" i="4"/>
  <c r="K406" i="2"/>
  <c r="J52" i="4"/>
  <c r="H268" i="2"/>
  <c r="I198" i="4"/>
  <c r="K414" i="2"/>
  <c r="I196" i="4"/>
  <c r="K412" i="2"/>
  <c r="J172" i="4"/>
  <c r="I53" i="4"/>
  <c r="K269" i="2"/>
  <c r="J53" i="4"/>
  <c r="H269" i="2"/>
  <c r="E182" i="2"/>
  <c r="E185" i="2"/>
  <c r="E187" i="2"/>
  <c r="E188" i="2"/>
  <c r="E189" i="2"/>
  <c r="E190" i="2"/>
  <c r="E191" i="2"/>
  <c r="E192" i="2"/>
  <c r="E193" i="2"/>
  <c r="E194" i="2"/>
  <c r="E184" i="2"/>
  <c r="C4" i="4" l="1"/>
  <c r="B19" i="7"/>
  <c r="B16" i="7" s="1"/>
  <c r="AA46" i="4" s="1"/>
  <c r="AB34" i="4"/>
  <c r="Z33" i="4"/>
  <c r="AA30" i="4"/>
  <c r="AA31" i="4"/>
  <c r="Z32" i="4"/>
  <c r="Z30" i="4"/>
  <c r="Z31" i="4"/>
  <c r="Z29" i="4"/>
  <c r="F10" i="2"/>
  <c r="F16" i="2"/>
  <c r="F12" i="2"/>
  <c r="F15" i="2"/>
  <c r="F91" i="2"/>
  <c r="E424" i="2" s="1"/>
  <c r="H424" i="2" s="1"/>
  <c r="F87" i="2"/>
  <c r="F93" i="2"/>
  <c r="E426" i="2" s="1"/>
  <c r="H426" i="2" s="1"/>
  <c r="F84" i="2"/>
  <c r="I152" i="2"/>
  <c r="F171" i="2" s="1"/>
  <c r="AA12" i="4"/>
  <c r="AA8" i="4"/>
  <c r="AA9" i="4"/>
  <c r="AA6" i="4"/>
  <c r="AA4" i="4"/>
  <c r="B4" i="7"/>
  <c r="F4" i="7"/>
  <c r="E4" i="7"/>
  <c r="D4" i="7"/>
  <c r="C4" i="7"/>
  <c r="F82" i="2"/>
  <c r="E415" i="2" s="1"/>
  <c r="F83" i="2"/>
  <c r="F85" i="2"/>
  <c r="F88" i="2"/>
  <c r="F89" i="2"/>
  <c r="F90" i="2"/>
  <c r="H203" i="2"/>
  <c r="H204" i="2"/>
  <c r="H205" i="2"/>
  <c r="H206" i="2"/>
  <c r="H207" i="2"/>
  <c r="H208" i="2"/>
  <c r="H209" i="2"/>
  <c r="H210" i="2"/>
  <c r="H211" i="2"/>
  <c r="H212" i="2"/>
  <c r="H214" i="2"/>
  <c r="H215" i="2"/>
  <c r="F203" i="2"/>
  <c r="E402" i="2" s="1"/>
  <c r="F204" i="2"/>
  <c r="E403" i="2" s="1"/>
  <c r="F205" i="2"/>
  <c r="E404" i="2" s="1"/>
  <c r="F206" i="2"/>
  <c r="E405" i="2" s="1"/>
  <c r="F208" i="2"/>
  <c r="E407" i="2" s="1"/>
  <c r="F209" i="2"/>
  <c r="E408" i="2" s="1"/>
  <c r="F210" i="2"/>
  <c r="E409" i="2" s="1"/>
  <c r="F211" i="2"/>
  <c r="E410" i="2" s="1"/>
  <c r="F212" i="2"/>
  <c r="E411" i="2" s="1"/>
  <c r="F213" i="2"/>
  <c r="E412" i="2" s="1"/>
  <c r="F215" i="2"/>
  <c r="E414" i="2" s="1"/>
  <c r="I141" i="2"/>
  <c r="F162" i="2"/>
  <c r="F163" i="2"/>
  <c r="E353" i="2" s="1"/>
  <c r="I147" i="2"/>
  <c r="F166" i="2" s="1"/>
  <c r="I148" i="2"/>
  <c r="F167" i="2" s="1"/>
  <c r="E357" i="2" s="1"/>
  <c r="I149" i="2"/>
  <c r="I150" i="2"/>
  <c r="F169" i="2" s="1"/>
  <c r="I151" i="2"/>
  <c r="D187" i="2"/>
  <c r="C187" i="2" s="1"/>
  <c r="E161" i="2"/>
  <c r="D351" i="2" s="1"/>
  <c r="E165" i="2"/>
  <c r="D355" i="2" s="1"/>
  <c r="C165" i="2"/>
  <c r="D368" i="2" s="1"/>
  <c r="D152" i="2"/>
  <c r="C152" i="2" s="1"/>
  <c r="C153" i="2"/>
  <c r="I145" i="2"/>
  <c r="E130" i="2"/>
  <c r="D322" i="2" s="1"/>
  <c r="K322" i="2" s="1"/>
  <c r="C106" i="2"/>
  <c r="C112" i="2"/>
  <c r="C91" i="2"/>
  <c r="G91" i="2" s="1"/>
  <c r="D281" i="2" s="1"/>
  <c r="C92" i="2"/>
  <c r="C93" i="2"/>
  <c r="G93" i="2" s="1"/>
  <c r="D283" i="2" s="1"/>
  <c r="C62" i="2"/>
  <c r="C63" i="2"/>
  <c r="C64" i="2"/>
  <c r="C65" i="2"/>
  <c r="C67" i="2"/>
  <c r="C68" i="2"/>
  <c r="C69" i="2"/>
  <c r="C52" i="2"/>
  <c r="C53" i="2"/>
  <c r="G53" i="2" s="1"/>
  <c r="D254" i="2" s="1"/>
  <c r="C26" i="2"/>
  <c r="C27" i="2"/>
  <c r="F13" i="2"/>
  <c r="E423" i="2" l="1"/>
  <c r="H423" i="2" s="1"/>
  <c r="J188" i="4"/>
  <c r="H404" i="2"/>
  <c r="J187" i="4"/>
  <c r="H403" i="2"/>
  <c r="E421" i="2"/>
  <c r="H421" i="2" s="1"/>
  <c r="E417" i="2"/>
  <c r="H417" i="2" s="1"/>
  <c r="J195" i="4"/>
  <c r="H411" i="2"/>
  <c r="I67" i="4"/>
  <c r="K283" i="2"/>
  <c r="J141" i="4"/>
  <c r="H357" i="2"/>
  <c r="J194" i="4"/>
  <c r="H410" i="2"/>
  <c r="E416" i="2"/>
  <c r="H416" i="2" s="1"/>
  <c r="E420" i="2"/>
  <c r="H420" i="2" s="1"/>
  <c r="I135" i="4"/>
  <c r="K351" i="2"/>
  <c r="J198" i="4"/>
  <c r="H414" i="2"/>
  <c r="J196" i="4"/>
  <c r="H412" i="2"/>
  <c r="J186" i="4"/>
  <c r="H402" i="2"/>
  <c r="I152" i="4"/>
  <c r="K368" i="2"/>
  <c r="J193" i="4"/>
  <c r="H409" i="2"/>
  <c r="J199" i="4"/>
  <c r="H415" i="2"/>
  <c r="J189" i="4"/>
  <c r="H405" i="2"/>
  <c r="E422" i="2"/>
  <c r="H422" i="2" s="1"/>
  <c r="I38" i="4"/>
  <c r="K254" i="2"/>
  <c r="E418" i="2"/>
  <c r="H418" i="2" s="1"/>
  <c r="I65" i="4"/>
  <c r="K281" i="2"/>
  <c r="I139" i="4"/>
  <c r="K355" i="2"/>
  <c r="J137" i="4"/>
  <c r="H353" i="2"/>
  <c r="J192" i="4"/>
  <c r="H408" i="2"/>
  <c r="J191" i="4"/>
  <c r="H407" i="2"/>
  <c r="H93" i="2"/>
  <c r="E283" i="2" s="1"/>
  <c r="J210" i="4"/>
  <c r="E166" i="2"/>
  <c r="D356" i="2" s="1"/>
  <c r="E356" i="2"/>
  <c r="J208" i="4"/>
  <c r="H91" i="2"/>
  <c r="E281" i="2" s="1"/>
  <c r="E169" i="2"/>
  <c r="D359" i="2" s="1"/>
  <c r="E359" i="2"/>
  <c r="D162" i="2"/>
  <c r="E365" i="2" s="1"/>
  <c r="E352" i="2"/>
  <c r="E171" i="2"/>
  <c r="D361" i="2" s="1"/>
  <c r="E361" i="2"/>
  <c r="D348" i="2"/>
  <c r="I106" i="4"/>
  <c r="D171" i="2"/>
  <c r="D169" i="2"/>
  <c r="D163" i="2"/>
  <c r="E366" i="2" s="1"/>
  <c r="E163" i="2"/>
  <c r="D353" i="2" s="1"/>
  <c r="E162" i="2"/>
  <c r="D352" i="2" s="1"/>
  <c r="D166" i="2"/>
  <c r="E369" i="2" s="1"/>
  <c r="D167" i="2"/>
  <c r="E167" i="2"/>
  <c r="D357" i="2" s="1"/>
  <c r="F170" i="2"/>
  <c r="F168" i="2"/>
  <c r="F160" i="2"/>
  <c r="C5" i="4"/>
  <c r="N13" i="2" s="1"/>
  <c r="K13" i="2" s="1"/>
  <c r="C162" i="2" l="1"/>
  <c r="D365" i="2" s="1"/>
  <c r="I149" i="4" s="1"/>
  <c r="D184" i="2"/>
  <c r="C184" i="2" s="1"/>
  <c r="I141" i="4"/>
  <c r="K357" i="2"/>
  <c r="J200" i="4"/>
  <c r="J153" i="4"/>
  <c r="H369" i="2"/>
  <c r="I145" i="4"/>
  <c r="K361" i="2"/>
  <c r="J207" i="4"/>
  <c r="I137" i="4"/>
  <c r="K353" i="2"/>
  <c r="J149" i="4"/>
  <c r="H365" i="2"/>
  <c r="J206" i="4"/>
  <c r="J205" i="4"/>
  <c r="I132" i="4"/>
  <c r="K348" i="2"/>
  <c r="J145" i="4"/>
  <c r="H361" i="2"/>
  <c r="I136" i="4"/>
  <c r="K352" i="2"/>
  <c r="J136" i="4"/>
  <c r="H352" i="2"/>
  <c r="J150" i="4"/>
  <c r="H366" i="2"/>
  <c r="J65" i="4"/>
  <c r="H281" i="2"/>
  <c r="J202" i="4"/>
  <c r="J140" i="4"/>
  <c r="H356" i="2"/>
  <c r="I140" i="4"/>
  <c r="K356" i="2"/>
  <c r="J201" i="4"/>
  <c r="J67" i="4"/>
  <c r="H283" i="2"/>
  <c r="J143" i="4"/>
  <c r="H359" i="2"/>
  <c r="I143" i="4"/>
  <c r="K359" i="2"/>
  <c r="J204" i="4"/>
  <c r="D168" i="2"/>
  <c r="E371" i="2" s="1"/>
  <c r="E358" i="2"/>
  <c r="D191" i="2"/>
  <c r="C191" i="2" s="1"/>
  <c r="E372" i="2"/>
  <c r="D170" i="2"/>
  <c r="E373" i="2" s="1"/>
  <c r="E360" i="2"/>
  <c r="D193" i="2"/>
  <c r="C193" i="2" s="1"/>
  <c r="E374" i="2"/>
  <c r="D189" i="2"/>
  <c r="C189" i="2" s="1"/>
  <c r="E370" i="2"/>
  <c r="D160" i="2"/>
  <c r="E363" i="2" s="1"/>
  <c r="E350" i="2"/>
  <c r="E236" i="2"/>
  <c r="D28" i="2"/>
  <c r="C171" i="2"/>
  <c r="D374" i="2" s="1"/>
  <c r="C167" i="2"/>
  <c r="D370" i="2" s="1"/>
  <c r="C169" i="2"/>
  <c r="D372" i="2" s="1"/>
  <c r="C166" i="2"/>
  <c r="D369" i="2" s="1"/>
  <c r="D188" i="2"/>
  <c r="C188" i="2" s="1"/>
  <c r="C163" i="2"/>
  <c r="D366" i="2" s="1"/>
  <c r="D185" i="2"/>
  <c r="C185" i="2" s="1"/>
  <c r="E170" i="2"/>
  <c r="D360" i="2" s="1"/>
  <c r="M13" i="2"/>
  <c r="D236" i="2" s="1"/>
  <c r="D182" i="2"/>
  <c r="E160" i="2"/>
  <c r="D350" i="2" s="1"/>
  <c r="E168" i="2"/>
  <c r="D358" i="2" s="1"/>
  <c r="K365" i="2" l="1"/>
  <c r="C170" i="2"/>
  <c r="D373" i="2" s="1"/>
  <c r="I157" i="4" s="1"/>
  <c r="C168" i="2"/>
  <c r="D371" i="2" s="1"/>
  <c r="I155" i="4" s="1"/>
  <c r="D192" i="2"/>
  <c r="C192" i="2" s="1"/>
  <c r="I20" i="4"/>
  <c r="K236" i="2"/>
  <c r="J142" i="4"/>
  <c r="H358" i="2"/>
  <c r="J155" i="4"/>
  <c r="H371" i="2"/>
  <c r="I154" i="4"/>
  <c r="K370" i="2"/>
  <c r="I142" i="4"/>
  <c r="K358" i="2"/>
  <c r="J144" i="4"/>
  <c r="H360" i="2"/>
  <c r="J147" i="4"/>
  <c r="H363" i="2"/>
  <c r="J154" i="4"/>
  <c r="H370" i="2"/>
  <c r="J158" i="4"/>
  <c r="H374" i="2"/>
  <c r="I158" i="4"/>
  <c r="K374" i="2"/>
  <c r="J20" i="4"/>
  <c r="H236" i="2"/>
  <c r="J157" i="4"/>
  <c r="H373" i="2"/>
  <c r="I153" i="4"/>
  <c r="K369" i="2"/>
  <c r="I156" i="4"/>
  <c r="K372" i="2"/>
  <c r="I144" i="4"/>
  <c r="K360" i="2"/>
  <c r="I134" i="4"/>
  <c r="K350" i="2"/>
  <c r="C160" i="2"/>
  <c r="D363" i="2" s="1"/>
  <c r="I150" i="4"/>
  <c r="K366" i="2"/>
  <c r="J134" i="4"/>
  <c r="H350" i="2"/>
  <c r="J156" i="4"/>
  <c r="H372" i="2"/>
  <c r="D190" i="2"/>
  <c r="C190" i="2" s="1"/>
  <c r="F28" i="2"/>
  <c r="E28" i="2" s="1"/>
  <c r="C182" i="2"/>
  <c r="C28" i="2"/>
  <c r="K373" i="2" l="1"/>
  <c r="K371" i="2"/>
  <c r="I147" i="4"/>
  <c r="K363" i="2"/>
  <c r="D48" i="2"/>
  <c r="C48" i="2" l="1"/>
  <c r="H48" i="2"/>
  <c r="E249" i="2" s="1"/>
  <c r="AA35" i="4"/>
  <c r="G48" i="2" l="1"/>
  <c r="D249" i="2" s="1"/>
  <c r="J33" i="4"/>
  <c r="H249" i="2"/>
  <c r="I33" i="4" l="1"/>
  <c r="K249" i="2"/>
  <c r="D12" i="2" l="1"/>
  <c r="H12" i="2" s="1"/>
  <c r="E222" i="2" s="1"/>
  <c r="J6" i="4" l="1"/>
  <c r="H222" i="2"/>
  <c r="G12" i="2"/>
  <c r="D222" i="2" s="1"/>
  <c r="I6" i="4" l="1"/>
  <c r="K222" i="2"/>
  <c r="D15" i="2" l="1"/>
  <c r="H15" i="2" s="1"/>
  <c r="G15" i="2" l="1"/>
  <c r="D225" i="2" s="1"/>
  <c r="E225" i="2"/>
  <c r="J9" i="4" l="1"/>
  <c r="H225" i="2"/>
  <c r="I9" i="4"/>
  <c r="K225" i="2"/>
  <c r="D13" i="2" l="1"/>
  <c r="H13" i="2" s="1"/>
  <c r="E223" i="2" s="1"/>
  <c r="J7" i="4" l="1"/>
  <c r="H223" i="2"/>
  <c r="G13" i="2"/>
  <c r="D223" i="2" l="1"/>
  <c r="I7" i="4" l="1"/>
  <c r="K223" i="2"/>
  <c r="F184" i="2" l="1"/>
  <c r="F189" i="2"/>
  <c r="F188" i="2"/>
  <c r="F185" i="2"/>
  <c r="F187" i="2"/>
  <c r="F192" i="2"/>
  <c r="F191" i="2"/>
  <c r="F193" i="2"/>
  <c r="F194" i="2"/>
  <c r="F190" i="2"/>
  <c r="F182" i="2"/>
  <c r="J82" i="2" l="1"/>
  <c r="K82" i="2" s="1"/>
  <c r="D215" i="2" l="1"/>
  <c r="E401" i="2" s="1"/>
  <c r="G194" i="2"/>
  <c r="D388" i="2" s="1"/>
  <c r="I172" i="4" l="1"/>
  <c r="K388" i="2"/>
  <c r="J185" i="4"/>
  <c r="H401" i="2"/>
  <c r="C215" i="2"/>
  <c r="D401" i="2" s="1"/>
  <c r="I185" i="4" l="1"/>
  <c r="K401" i="2"/>
  <c r="G213" i="2"/>
  <c r="G216" i="2" l="1"/>
  <c r="H213" i="2"/>
  <c r="H216" i="2" l="1"/>
  <c r="F207" i="2" l="1"/>
  <c r="E406" i="2" s="1"/>
  <c r="J190" i="4" l="1"/>
  <c r="H406" i="2"/>
  <c r="J13" i="2" l="1"/>
  <c r="J10" i="2" l="1"/>
  <c r="L13" i="2" s="1"/>
  <c r="J12" i="2" l="1"/>
  <c r="K12" i="2" s="1"/>
  <c r="J16" i="2"/>
  <c r="K16" i="2" s="1"/>
  <c r="L10" i="2"/>
  <c r="J15" i="2"/>
  <c r="K15" i="2" s="1"/>
  <c r="J14" i="2"/>
  <c r="K14" i="2" s="1"/>
  <c r="K10" i="2"/>
  <c r="J11" i="2"/>
  <c r="G10" i="2"/>
  <c r="K11" i="2" l="1"/>
  <c r="L11" i="2"/>
  <c r="D220" i="2"/>
  <c r="C10" i="2"/>
  <c r="D10" i="2" s="1"/>
  <c r="G11" i="2"/>
  <c r="L14" i="2"/>
  <c r="N15" i="2"/>
  <c r="L15" i="2"/>
  <c r="N12" i="2"/>
  <c r="L12" i="2"/>
  <c r="D221" i="2" l="1"/>
  <c r="H14" i="2"/>
  <c r="E11" i="2"/>
  <c r="H10" i="2"/>
  <c r="I4" i="4"/>
  <c r="K220" i="2"/>
  <c r="M12" i="2"/>
  <c r="F27" i="2"/>
  <c r="E235" i="2"/>
  <c r="E238" i="2"/>
  <c r="M15" i="2"/>
  <c r="E27" i="2" l="1"/>
  <c r="D47" i="2"/>
  <c r="K221" i="2"/>
  <c r="I5" i="4"/>
  <c r="D238" i="2"/>
  <c r="D235" i="2"/>
  <c r="J22" i="4"/>
  <c r="H238" i="2"/>
  <c r="E220" i="2"/>
  <c r="H16" i="2"/>
  <c r="H22" i="2" s="1"/>
  <c r="N10" i="2"/>
  <c r="H235" i="2"/>
  <c r="J19" i="4"/>
  <c r="F11" i="2"/>
  <c r="N14" i="2"/>
  <c r="G14" i="2"/>
  <c r="E224" i="2"/>
  <c r="K235" i="2" l="1"/>
  <c r="I19" i="4"/>
  <c r="H224" i="2"/>
  <c r="J8" i="4"/>
  <c r="M10" i="2"/>
  <c r="E233" i="2"/>
  <c r="D25" i="2"/>
  <c r="F25" i="2" s="1"/>
  <c r="E14" i="2"/>
  <c r="D224" i="2"/>
  <c r="E226" i="2"/>
  <c r="D16" i="2"/>
  <c r="D17" i="2" s="1"/>
  <c r="G16" i="2"/>
  <c r="G17" i="2" s="1"/>
  <c r="N16" i="2"/>
  <c r="E237" i="2"/>
  <c r="M14" i="2"/>
  <c r="H220" i="2"/>
  <c r="J4" i="4"/>
  <c r="M20" i="4" s="1"/>
  <c r="I22" i="4"/>
  <c r="K238" i="2"/>
  <c r="H11" i="2"/>
  <c r="H47" i="2"/>
  <c r="E248" i="2" s="1"/>
  <c r="C47" i="2"/>
  <c r="G47" i="2" s="1"/>
  <c r="D248" i="2" s="1"/>
  <c r="K248" i="2" l="1"/>
  <c r="I32" i="4"/>
  <c r="H226" i="2"/>
  <c r="J10" i="4"/>
  <c r="J17" i="4"/>
  <c r="H233" i="2"/>
  <c r="E221" i="2"/>
  <c r="F226" i="2" s="1"/>
  <c r="K10" i="4" s="1"/>
  <c r="H20" i="2"/>
  <c r="N11" i="2"/>
  <c r="H17" i="2"/>
  <c r="D233" i="2"/>
  <c r="D237" i="2"/>
  <c r="H248" i="2"/>
  <c r="J32" i="4"/>
  <c r="E239" i="2"/>
  <c r="M16" i="2"/>
  <c r="D29" i="2"/>
  <c r="C25" i="2"/>
  <c r="J21" i="4"/>
  <c r="H237" i="2"/>
  <c r="K224" i="2"/>
  <c r="I8" i="4"/>
  <c r="F14" i="2"/>
  <c r="F17" i="2" s="1"/>
  <c r="E17" i="2"/>
  <c r="D226" i="2"/>
  <c r="C16" i="2"/>
  <c r="E25" i="2"/>
  <c r="D45" i="2"/>
  <c r="H239" i="2" l="1"/>
  <c r="J23" i="4"/>
  <c r="I17" i="4"/>
  <c r="K233" i="2"/>
  <c r="C45" i="2"/>
  <c r="H45" i="2"/>
  <c r="E246" i="2" s="1"/>
  <c r="C29" i="2"/>
  <c r="D31" i="2"/>
  <c r="D30" i="2"/>
  <c r="F29" i="2"/>
  <c r="D239" i="2"/>
  <c r="K226" i="2"/>
  <c r="I10" i="4"/>
  <c r="M11" i="2"/>
  <c r="E234" i="2"/>
  <c r="F26" i="2"/>
  <c r="N17" i="2"/>
  <c r="I21" i="4"/>
  <c r="K237" i="2"/>
  <c r="F221" i="2"/>
  <c r="K5" i="4" s="1"/>
  <c r="J5" i="4"/>
  <c r="H221" i="2"/>
  <c r="F229" i="2"/>
  <c r="K13" i="4" s="1"/>
  <c r="F225" i="2"/>
  <c r="K9" i="4" s="1"/>
  <c r="F227" i="2"/>
  <c r="K11" i="4" s="1"/>
  <c r="F220" i="2"/>
  <c r="K4" i="4" s="1"/>
  <c r="F231" i="2"/>
  <c r="K15" i="4" s="1"/>
  <c r="F230" i="2"/>
  <c r="K14" i="4" s="1"/>
  <c r="F228" i="2"/>
  <c r="K12" i="4" s="1"/>
  <c r="F223" i="2"/>
  <c r="K7" i="4" s="1"/>
  <c r="F224" i="2"/>
  <c r="K8" i="4" s="1"/>
  <c r="F222" i="2"/>
  <c r="K6" i="4" s="1"/>
  <c r="F232" i="2"/>
  <c r="K16" i="4" s="1"/>
  <c r="G45" i="2" l="1"/>
  <c r="D246" i="2" s="1"/>
  <c r="P13" i="2"/>
  <c r="P12" i="2"/>
  <c r="P15" i="2"/>
  <c r="P14" i="2"/>
  <c r="P10" i="2"/>
  <c r="P16" i="2"/>
  <c r="K239" i="2"/>
  <c r="I23" i="4"/>
  <c r="D234" i="2"/>
  <c r="M17" i="2"/>
  <c r="E26" i="2"/>
  <c r="D46" i="2"/>
  <c r="E29" i="2"/>
  <c r="D49" i="2"/>
  <c r="C49" i="2" s="1"/>
  <c r="H234" i="2"/>
  <c r="F234" i="2"/>
  <c r="K18" i="4" s="1"/>
  <c r="J18" i="4"/>
  <c r="F236" i="2"/>
  <c r="K20" i="4" s="1"/>
  <c r="F235" i="2"/>
  <c r="K19" i="4" s="1"/>
  <c r="F240" i="2"/>
  <c r="K24" i="4" s="1"/>
  <c r="F244" i="2"/>
  <c r="K28" i="4" s="1"/>
  <c r="F238" i="2"/>
  <c r="K22" i="4" s="1"/>
  <c r="F237" i="2"/>
  <c r="K21" i="4" s="1"/>
  <c r="F242" i="2"/>
  <c r="K26" i="4" s="1"/>
  <c r="F233" i="2"/>
  <c r="K17" i="4" s="1"/>
  <c r="F245" i="2"/>
  <c r="K29" i="4" s="1"/>
  <c r="F243" i="2"/>
  <c r="K27" i="4" s="1"/>
  <c r="F241" i="2"/>
  <c r="K25" i="4" s="1"/>
  <c r="C30" i="2"/>
  <c r="F30" i="2"/>
  <c r="D32" i="2"/>
  <c r="C31" i="2"/>
  <c r="F31" i="2"/>
  <c r="H246" i="2"/>
  <c r="J30" i="4"/>
  <c r="P11" i="2"/>
  <c r="F239" i="2"/>
  <c r="K23" i="4" s="1"/>
  <c r="F32" i="2" l="1"/>
  <c r="C32" i="2"/>
  <c r="H46" i="2"/>
  <c r="E247" i="2" s="1"/>
  <c r="C46" i="2"/>
  <c r="D51" i="2"/>
  <c r="E31" i="2"/>
  <c r="C51" i="2" s="1"/>
  <c r="O13" i="2"/>
  <c r="O12" i="2"/>
  <c r="O15" i="2"/>
  <c r="O14" i="2"/>
  <c r="O10" i="2"/>
  <c r="O16" i="2"/>
  <c r="O11" i="2"/>
  <c r="P17" i="2"/>
  <c r="Q16" i="2"/>
  <c r="I18" i="4"/>
  <c r="K234" i="2"/>
  <c r="E30" i="2"/>
  <c r="D50" i="2"/>
  <c r="K246" i="2"/>
  <c r="I30" i="4"/>
  <c r="O17" i="2" l="1"/>
  <c r="G46" i="2"/>
  <c r="D247" i="2" s="1"/>
  <c r="J46" i="2"/>
  <c r="E52" i="2"/>
  <c r="G51" i="2"/>
  <c r="D252" i="2" s="1"/>
  <c r="J51" i="2"/>
  <c r="H51" i="2"/>
  <c r="E252" i="2" s="1"/>
  <c r="E32" i="2"/>
  <c r="H50" i="2"/>
  <c r="E251" i="2" s="1"/>
  <c r="C50" i="2"/>
  <c r="G50" i="2" s="1"/>
  <c r="D251" i="2" s="1"/>
  <c r="D54" i="2"/>
  <c r="H247" i="2"/>
  <c r="J31" i="4"/>
  <c r="C54" i="2" l="1"/>
  <c r="J36" i="4"/>
  <c r="H252" i="2"/>
  <c r="K252" i="2"/>
  <c r="I36" i="4"/>
  <c r="G52" i="2"/>
  <c r="D253" i="2" s="1"/>
  <c r="F49" i="2"/>
  <c r="F52" i="2"/>
  <c r="K51" i="2"/>
  <c r="N51" i="2" s="1"/>
  <c r="J53" i="2"/>
  <c r="K53" i="2" s="1"/>
  <c r="N53" i="2" s="1"/>
  <c r="I35" i="4"/>
  <c r="K251" i="2"/>
  <c r="J35" i="4"/>
  <c r="H251" i="2"/>
  <c r="K46" i="2"/>
  <c r="N46" i="2" s="1"/>
  <c r="J49" i="2"/>
  <c r="K49" i="2" s="1"/>
  <c r="J50" i="2"/>
  <c r="K50" i="2" s="1"/>
  <c r="N50" i="2" s="1"/>
  <c r="J52" i="2"/>
  <c r="I31" i="4"/>
  <c r="K247" i="2"/>
  <c r="K253" i="2" l="1"/>
  <c r="I37" i="4"/>
  <c r="K52" i="2"/>
  <c r="N52" i="2" s="1"/>
  <c r="J45" i="2"/>
  <c r="J48" i="2"/>
  <c r="K48" i="2" s="1"/>
  <c r="N48" i="2" s="1"/>
  <c r="E264" i="2"/>
  <c r="M50" i="2"/>
  <c r="D264" i="2" s="1"/>
  <c r="F67" i="2"/>
  <c r="M51" i="2"/>
  <c r="D265" i="2" s="1"/>
  <c r="E265" i="2"/>
  <c r="F68" i="2"/>
  <c r="E49" i="2"/>
  <c r="F54" i="2"/>
  <c r="H54" i="2" s="1"/>
  <c r="H49" i="2"/>
  <c r="E250" i="2" s="1"/>
  <c r="D70" i="2"/>
  <c r="E267" i="2"/>
  <c r="M53" i="2"/>
  <c r="D267" i="2" s="1"/>
  <c r="N49" i="2"/>
  <c r="E260" i="2"/>
  <c r="M46" i="2"/>
  <c r="D260" i="2" s="1"/>
  <c r="F63" i="2"/>
  <c r="H52" i="2"/>
  <c r="E253" i="2" s="1"/>
  <c r="C70" i="2" l="1"/>
  <c r="D66" i="2"/>
  <c r="F66" i="2" s="1"/>
  <c r="H250" i="2"/>
  <c r="J34" i="4"/>
  <c r="F250" i="2"/>
  <c r="K34" i="4" s="1"/>
  <c r="F255" i="2"/>
  <c r="K39" i="4" s="1"/>
  <c r="F254" i="2"/>
  <c r="K38" i="4" s="1"/>
  <c r="F249" i="2"/>
  <c r="K33" i="4" s="1"/>
  <c r="F246" i="2"/>
  <c r="K30" i="4" s="1"/>
  <c r="F248" i="2"/>
  <c r="K32" i="4" s="1"/>
  <c r="F256" i="2"/>
  <c r="K40" i="4" s="1"/>
  <c r="F258" i="2"/>
  <c r="K42" i="4" s="1"/>
  <c r="F247" i="2"/>
  <c r="K31" i="4" s="1"/>
  <c r="F257" i="2"/>
  <c r="K41" i="4" s="1"/>
  <c r="F252" i="2"/>
  <c r="K36" i="4" s="1"/>
  <c r="F251" i="2"/>
  <c r="K35" i="4" s="1"/>
  <c r="F70" i="2"/>
  <c r="H253" i="2"/>
  <c r="J37" i="4"/>
  <c r="F253" i="2"/>
  <c r="K37" i="4" s="1"/>
  <c r="E63" i="2"/>
  <c r="D83" i="2"/>
  <c r="K260" i="2"/>
  <c r="I44" i="4"/>
  <c r="J48" i="4"/>
  <c r="H264" i="2"/>
  <c r="J44" i="4"/>
  <c r="H260" i="2"/>
  <c r="E262" i="2"/>
  <c r="M48" i="2"/>
  <c r="D262" i="2" s="1"/>
  <c r="F65" i="2"/>
  <c r="G49" i="2"/>
  <c r="D250" i="2" s="1"/>
  <c r="E54" i="2"/>
  <c r="G54" i="2" s="1"/>
  <c r="E266" i="2"/>
  <c r="M52" i="2"/>
  <c r="D266" i="2" s="1"/>
  <c r="F69" i="2"/>
  <c r="E67" i="2"/>
  <c r="D87" i="2"/>
  <c r="K264" i="2"/>
  <c r="I48" i="4"/>
  <c r="E263" i="2"/>
  <c r="M49" i="2"/>
  <c r="D263" i="2" s="1"/>
  <c r="K45" i="2"/>
  <c r="N45" i="2" s="1"/>
  <c r="J47" i="2"/>
  <c r="K47" i="2" s="1"/>
  <c r="N47" i="2" s="1"/>
  <c r="E68" i="2"/>
  <c r="D88" i="2"/>
  <c r="I51" i="4"/>
  <c r="K267" i="2"/>
  <c r="H265" i="2"/>
  <c r="J49" i="4"/>
  <c r="O53" i="2"/>
  <c r="H267" i="2"/>
  <c r="J51" i="4"/>
  <c r="I49" i="4"/>
  <c r="K265" i="2"/>
  <c r="H83" i="2" l="1"/>
  <c r="E273" i="2" s="1"/>
  <c r="C83" i="2"/>
  <c r="N54" i="2"/>
  <c r="M45" i="2"/>
  <c r="E259" i="2"/>
  <c r="F62" i="2"/>
  <c r="E66" i="2"/>
  <c r="D86" i="2"/>
  <c r="H266" i="2"/>
  <c r="J50" i="4"/>
  <c r="J47" i="4"/>
  <c r="H263" i="2"/>
  <c r="I34" i="4"/>
  <c r="K250" i="2"/>
  <c r="C66" i="2"/>
  <c r="C71" i="2" s="1"/>
  <c r="D71" i="2"/>
  <c r="E261" i="2"/>
  <c r="M47" i="2"/>
  <c r="D261" i="2" s="1"/>
  <c r="F64" i="2"/>
  <c r="J46" i="4"/>
  <c r="H262" i="2"/>
  <c r="E69" i="2"/>
  <c r="D89" i="2"/>
  <c r="K266" i="2"/>
  <c r="I50" i="4"/>
  <c r="K263" i="2"/>
  <c r="I47" i="4"/>
  <c r="C88" i="2"/>
  <c r="G88" i="2" s="1"/>
  <c r="D278" i="2" s="1"/>
  <c r="H88" i="2"/>
  <c r="E278" i="2" s="1"/>
  <c r="N88" i="2"/>
  <c r="E65" i="2"/>
  <c r="D85" i="2"/>
  <c r="E70" i="2"/>
  <c r="D90" i="2"/>
  <c r="H87" i="2"/>
  <c r="E277" i="2" s="1"/>
  <c r="C87" i="2"/>
  <c r="G87" i="2" s="1"/>
  <c r="D277" i="2" s="1"/>
  <c r="K262" i="2"/>
  <c r="I46" i="4"/>
  <c r="F263" i="2" l="1"/>
  <c r="K47" i="4" s="1"/>
  <c r="K261" i="2"/>
  <c r="I45" i="4"/>
  <c r="H259" i="2"/>
  <c r="F271" i="2"/>
  <c r="K55" i="4" s="1"/>
  <c r="F270" i="2"/>
  <c r="K54" i="4" s="1"/>
  <c r="F259" i="2"/>
  <c r="K43" i="4" s="1"/>
  <c r="J43" i="4"/>
  <c r="F268" i="2"/>
  <c r="K52" i="4" s="1"/>
  <c r="F269" i="2"/>
  <c r="K53" i="4" s="1"/>
  <c r="F264" i="2"/>
  <c r="K48" i="4" s="1"/>
  <c r="F267" i="2"/>
  <c r="K51" i="4" s="1"/>
  <c r="F265" i="2"/>
  <c r="K49" i="4" s="1"/>
  <c r="F260" i="2"/>
  <c r="K44" i="4" s="1"/>
  <c r="C86" i="2"/>
  <c r="F71" i="2"/>
  <c r="E62" i="2"/>
  <c r="D82" i="2"/>
  <c r="D259" i="2"/>
  <c r="M54" i="2"/>
  <c r="K278" i="2"/>
  <c r="I62" i="4"/>
  <c r="J61" i="4"/>
  <c r="H277" i="2"/>
  <c r="K277" i="2"/>
  <c r="I61" i="4"/>
  <c r="J57" i="4"/>
  <c r="H273" i="2"/>
  <c r="H90" i="2"/>
  <c r="E280" i="2" s="1"/>
  <c r="C90" i="2"/>
  <c r="G90" i="2" s="1"/>
  <c r="D280" i="2" s="1"/>
  <c r="N90" i="2"/>
  <c r="E64" i="2"/>
  <c r="D84" i="2"/>
  <c r="C85" i="2"/>
  <c r="G85" i="2" s="1"/>
  <c r="D275" i="2" s="1"/>
  <c r="H85" i="2"/>
  <c r="E275" i="2" s="1"/>
  <c r="N85" i="2"/>
  <c r="H261" i="2"/>
  <c r="J45" i="4"/>
  <c r="F261" i="2"/>
  <c r="K45" i="4" s="1"/>
  <c r="H89" i="2"/>
  <c r="E279" i="2" s="1"/>
  <c r="C89" i="2"/>
  <c r="G89" i="2" s="1"/>
  <c r="D279" i="2" s="1"/>
  <c r="N89" i="2"/>
  <c r="D107" i="2"/>
  <c r="C107" i="2" s="1"/>
  <c r="M88" i="2"/>
  <c r="D291" i="2" s="1"/>
  <c r="E291" i="2"/>
  <c r="J62" i="4"/>
  <c r="H278" i="2"/>
  <c r="F262" i="2"/>
  <c r="K46" i="4" s="1"/>
  <c r="F266" i="2"/>
  <c r="K50" i="4" s="1"/>
  <c r="J83" i="2"/>
  <c r="K83" i="2" s="1"/>
  <c r="N83" i="2" s="1"/>
  <c r="G83" i="2"/>
  <c r="D273" i="2" s="1"/>
  <c r="M89" i="2" l="1"/>
  <c r="D292" i="2" s="1"/>
  <c r="D108" i="2"/>
  <c r="C108" i="2" s="1"/>
  <c r="E292" i="2"/>
  <c r="K279" i="2"/>
  <c r="I63" i="4"/>
  <c r="E71" i="2"/>
  <c r="I75" i="4"/>
  <c r="K291" i="2"/>
  <c r="H280" i="2"/>
  <c r="J64" i="4"/>
  <c r="H84" i="2"/>
  <c r="E274" i="2" s="1"/>
  <c r="C84" i="2"/>
  <c r="G84" i="2" s="1"/>
  <c r="I43" i="4"/>
  <c r="K259" i="2"/>
  <c r="J63" i="4"/>
  <c r="H279" i="2"/>
  <c r="J75" i="4"/>
  <c r="H291" i="2"/>
  <c r="D102" i="2"/>
  <c r="C102" i="2" s="1"/>
  <c r="M83" i="2"/>
  <c r="D286" i="2" s="1"/>
  <c r="E286" i="2"/>
  <c r="M85" i="2"/>
  <c r="D288" i="2" s="1"/>
  <c r="D104" i="2"/>
  <c r="C104" i="2" s="1"/>
  <c r="E288" i="2"/>
  <c r="I59" i="4"/>
  <c r="K275" i="2"/>
  <c r="D94" i="2"/>
  <c r="C82" i="2"/>
  <c r="H82" i="2"/>
  <c r="E272" i="2" s="1"/>
  <c r="N82" i="2"/>
  <c r="D109" i="2"/>
  <c r="C109" i="2" s="1"/>
  <c r="M90" i="2"/>
  <c r="D293" i="2" s="1"/>
  <c r="E293" i="2"/>
  <c r="I64" i="4"/>
  <c r="K280" i="2"/>
  <c r="I57" i="4"/>
  <c r="K273" i="2"/>
  <c r="F107" i="2"/>
  <c r="J59" i="4"/>
  <c r="H275" i="2"/>
  <c r="F108" i="2" l="1"/>
  <c r="E108" i="2" s="1"/>
  <c r="F109" i="2"/>
  <c r="E109" i="2" s="1"/>
  <c r="F104" i="2"/>
  <c r="E104" i="2" s="1"/>
  <c r="I70" i="4"/>
  <c r="K286" i="2"/>
  <c r="J77" i="4"/>
  <c r="H293" i="2"/>
  <c r="J58" i="4"/>
  <c r="H274" i="2"/>
  <c r="I76" i="4"/>
  <c r="K292" i="2"/>
  <c r="I77" i="4"/>
  <c r="K293" i="2"/>
  <c r="D274" i="2"/>
  <c r="J84" i="2"/>
  <c r="E107" i="2"/>
  <c r="D125" i="2"/>
  <c r="H288" i="2"/>
  <c r="J72" i="4"/>
  <c r="M82" i="2"/>
  <c r="D101" i="2"/>
  <c r="F101" i="2" s="1"/>
  <c r="E285" i="2"/>
  <c r="H272" i="2"/>
  <c r="J56" i="4"/>
  <c r="I72" i="4"/>
  <c r="K288" i="2"/>
  <c r="C94" i="2"/>
  <c r="G82" i="2"/>
  <c r="D272" i="2" s="1"/>
  <c r="F102" i="2"/>
  <c r="J76" i="4"/>
  <c r="H292" i="2"/>
  <c r="J70" i="4"/>
  <c r="H286" i="2"/>
  <c r="D127" i="2" l="1"/>
  <c r="C127" i="2" s="1"/>
  <c r="D306" i="2" s="1"/>
  <c r="D122" i="2"/>
  <c r="F122" i="2" s="1"/>
  <c r="H122" i="2" s="1"/>
  <c r="D126" i="2"/>
  <c r="F126" i="2" s="1"/>
  <c r="H126" i="2" s="1"/>
  <c r="E102" i="2"/>
  <c r="D120" i="2"/>
  <c r="E101" i="2"/>
  <c r="D119" i="2"/>
  <c r="J69" i="4"/>
  <c r="H285" i="2"/>
  <c r="C101" i="2"/>
  <c r="J86" i="2"/>
  <c r="K86" i="2" s="1"/>
  <c r="J87" i="2"/>
  <c r="K87" i="2" s="1"/>
  <c r="N87" i="2" s="1"/>
  <c r="K84" i="2"/>
  <c r="N84" i="2" s="1"/>
  <c r="J93" i="2"/>
  <c r="K93" i="2" s="1"/>
  <c r="N93" i="2" s="1"/>
  <c r="J92" i="2"/>
  <c r="J91" i="2"/>
  <c r="K91" i="2" s="1"/>
  <c r="N91" i="2" s="1"/>
  <c r="I56" i="4"/>
  <c r="K272" i="2"/>
  <c r="F125" i="2"/>
  <c r="H125" i="2" s="1"/>
  <c r="C125" i="2"/>
  <c r="D304" i="2" s="1"/>
  <c r="E304" i="2"/>
  <c r="D285" i="2"/>
  <c r="K274" i="2"/>
  <c r="I58" i="4"/>
  <c r="E305" i="2" l="1"/>
  <c r="J89" i="4" s="1"/>
  <c r="C126" i="2"/>
  <c r="D305" i="2" s="1"/>
  <c r="I89" i="4" s="1"/>
  <c r="C122" i="2"/>
  <c r="D301" i="2" s="1"/>
  <c r="K301" i="2" s="1"/>
  <c r="E301" i="2"/>
  <c r="J85" i="4" s="1"/>
  <c r="E306" i="2"/>
  <c r="J90" i="4" s="1"/>
  <c r="F127" i="2"/>
  <c r="H127" i="2" s="1"/>
  <c r="G127" i="2" s="1"/>
  <c r="D332" i="2" s="1"/>
  <c r="G122" i="2"/>
  <c r="D327" i="2" s="1"/>
  <c r="E327" i="2"/>
  <c r="H185" i="2"/>
  <c r="G125" i="2"/>
  <c r="D330" i="2" s="1"/>
  <c r="E330" i="2"/>
  <c r="E296" i="2"/>
  <c r="M93" i="2"/>
  <c r="D296" i="2" s="1"/>
  <c r="F112" i="2"/>
  <c r="E287" i="2"/>
  <c r="M84" i="2"/>
  <c r="D103" i="2"/>
  <c r="F103" i="2" s="1"/>
  <c r="I88" i="4"/>
  <c r="K304" i="2"/>
  <c r="E125" i="2"/>
  <c r="D317" i="2" s="1"/>
  <c r="E317" i="2"/>
  <c r="D147" i="2"/>
  <c r="C147" i="2" s="1"/>
  <c r="E126" i="2"/>
  <c r="D318" i="2" s="1"/>
  <c r="D148" i="2"/>
  <c r="C148" i="2" s="1"/>
  <c r="E318" i="2"/>
  <c r="D144" i="2"/>
  <c r="C144" i="2" s="1"/>
  <c r="E314" i="2"/>
  <c r="E122" i="2"/>
  <c r="D314" i="2" s="1"/>
  <c r="J88" i="4"/>
  <c r="H304" i="2"/>
  <c r="G126" i="2"/>
  <c r="D331" i="2" s="1"/>
  <c r="E331" i="2"/>
  <c r="H188" i="2"/>
  <c r="M87" i="2"/>
  <c r="D290" i="2" s="1"/>
  <c r="E290" i="2"/>
  <c r="F106" i="2"/>
  <c r="E299" i="2"/>
  <c r="F120" i="2"/>
  <c r="H120" i="2" s="1"/>
  <c r="C120" i="2"/>
  <c r="D299" i="2" s="1"/>
  <c r="E294" i="2"/>
  <c r="M91" i="2"/>
  <c r="D294" i="2" s="1"/>
  <c r="D110" i="2"/>
  <c r="F110" i="2" s="1"/>
  <c r="K285" i="2"/>
  <c r="I69" i="4"/>
  <c r="K92" i="2"/>
  <c r="E92" i="2"/>
  <c r="C119" i="2"/>
  <c r="E298" i="2"/>
  <c r="F119" i="2"/>
  <c r="I90" i="4"/>
  <c r="K306" i="2"/>
  <c r="E332" i="2" l="1"/>
  <c r="J116" i="4" s="1"/>
  <c r="H189" i="2"/>
  <c r="G189" i="2" s="1"/>
  <c r="D383" i="2" s="1"/>
  <c r="E319" i="2"/>
  <c r="H319" i="2" s="1"/>
  <c r="D149" i="2"/>
  <c r="C149" i="2" s="1"/>
  <c r="H301" i="2"/>
  <c r="H305" i="2"/>
  <c r="H306" i="2"/>
  <c r="K305" i="2"/>
  <c r="I85" i="4"/>
  <c r="E127" i="2"/>
  <c r="D319" i="2" s="1"/>
  <c r="K319" i="2" s="1"/>
  <c r="E110" i="2"/>
  <c r="D128" i="2"/>
  <c r="G120" i="2"/>
  <c r="D325" i="2" s="1"/>
  <c r="E325" i="2"/>
  <c r="H183" i="2"/>
  <c r="I83" i="4"/>
  <c r="K299" i="2"/>
  <c r="I115" i="4"/>
  <c r="K331" i="2"/>
  <c r="J114" i="4"/>
  <c r="H330" i="2"/>
  <c r="E119" i="2"/>
  <c r="E311" i="2"/>
  <c r="D141" i="2"/>
  <c r="E103" i="2"/>
  <c r="D121" i="2"/>
  <c r="K330" i="2"/>
  <c r="I114" i="4"/>
  <c r="I78" i="4"/>
  <c r="K294" i="2"/>
  <c r="H296" i="2"/>
  <c r="J80" i="4"/>
  <c r="J78" i="4"/>
  <c r="H294" i="2"/>
  <c r="J103" i="4"/>
  <c r="H119" i="2"/>
  <c r="H299" i="2"/>
  <c r="J83" i="4"/>
  <c r="C103" i="2"/>
  <c r="G185" i="2"/>
  <c r="D379" i="2" s="1"/>
  <c r="E379" i="2"/>
  <c r="D206" i="2"/>
  <c r="J115" i="4"/>
  <c r="H331" i="2"/>
  <c r="G92" i="2"/>
  <c r="D282" i="2" s="1"/>
  <c r="D425" i="2"/>
  <c r="F92" i="2"/>
  <c r="J213" i="2"/>
  <c r="F86" i="2"/>
  <c r="J102" i="4"/>
  <c r="H318" i="2"/>
  <c r="E344" i="2"/>
  <c r="H298" i="2"/>
  <c r="J82" i="4"/>
  <c r="K318" i="2"/>
  <c r="D344" i="2"/>
  <c r="I102" i="4"/>
  <c r="K314" i="2"/>
  <c r="I98" i="4"/>
  <c r="D340" i="2"/>
  <c r="J71" i="4"/>
  <c r="H287" i="2"/>
  <c r="I111" i="4"/>
  <c r="K327" i="2"/>
  <c r="E106" i="2"/>
  <c r="D124" i="2"/>
  <c r="D287" i="2"/>
  <c r="D298" i="2"/>
  <c r="H290" i="2"/>
  <c r="J74" i="4"/>
  <c r="K290" i="2"/>
  <c r="I74" i="4"/>
  <c r="J98" i="4"/>
  <c r="H314" i="2"/>
  <c r="E340" i="2"/>
  <c r="J101" i="4"/>
  <c r="E343" i="2"/>
  <c r="H317" i="2"/>
  <c r="E112" i="2"/>
  <c r="D130" i="2"/>
  <c r="H332" i="2"/>
  <c r="I116" i="4"/>
  <c r="K332" i="2"/>
  <c r="E120" i="2"/>
  <c r="D312" i="2" s="1"/>
  <c r="D142" i="2"/>
  <c r="C142" i="2" s="1"/>
  <c r="E312" i="2"/>
  <c r="J111" i="4"/>
  <c r="H327" i="2"/>
  <c r="C110" i="2"/>
  <c r="D105" i="2"/>
  <c r="D209" i="2"/>
  <c r="G188" i="2"/>
  <c r="D382" i="2" s="1"/>
  <c r="E382" i="2"/>
  <c r="D343" i="2"/>
  <c r="K317" i="2"/>
  <c r="I101" i="4"/>
  <c r="I80" i="4"/>
  <c r="K296" i="2"/>
  <c r="E383" i="2" l="1"/>
  <c r="J167" i="4" s="1"/>
  <c r="D345" i="2"/>
  <c r="K345" i="2" s="1"/>
  <c r="E345" i="2"/>
  <c r="H345" i="2" s="1"/>
  <c r="I103" i="4"/>
  <c r="C124" i="2"/>
  <c r="D303" i="2" s="1"/>
  <c r="E303" i="2"/>
  <c r="F124" i="2"/>
  <c r="H124" i="2" s="1"/>
  <c r="H344" i="2"/>
  <c r="J128" i="4"/>
  <c r="I66" i="4"/>
  <c r="K282" i="2"/>
  <c r="D311" i="2"/>
  <c r="E377" i="2"/>
  <c r="G183" i="2"/>
  <c r="D377" i="2" s="1"/>
  <c r="D204" i="2"/>
  <c r="I71" i="4"/>
  <c r="K287" i="2"/>
  <c r="H311" i="2"/>
  <c r="J95" i="4"/>
  <c r="E337" i="2"/>
  <c r="K344" i="2"/>
  <c r="I128" i="4"/>
  <c r="H325" i="2"/>
  <c r="J109" i="4"/>
  <c r="I209" i="4"/>
  <c r="K425" i="2"/>
  <c r="K383" i="2"/>
  <c r="I167" i="4"/>
  <c r="J127" i="4"/>
  <c r="H343" i="2"/>
  <c r="E395" i="2"/>
  <c r="C209" i="2"/>
  <c r="D395" i="2" s="1"/>
  <c r="J124" i="4"/>
  <c r="H340" i="2"/>
  <c r="K325" i="2"/>
  <c r="I109" i="4"/>
  <c r="I127" i="4"/>
  <c r="K343" i="2"/>
  <c r="I166" i="4"/>
  <c r="K382" i="2"/>
  <c r="F94" i="2"/>
  <c r="H94" i="2" s="1"/>
  <c r="E419" i="2"/>
  <c r="E86" i="2"/>
  <c r="H86" i="2"/>
  <c r="E276" i="2" s="1"/>
  <c r="N86" i="2"/>
  <c r="E392" i="2"/>
  <c r="C206" i="2"/>
  <c r="D392" i="2" s="1"/>
  <c r="G119" i="2"/>
  <c r="E324" i="2"/>
  <c r="H182" i="2"/>
  <c r="E300" i="2"/>
  <c r="C121" i="2"/>
  <c r="F121" i="2"/>
  <c r="C128" i="2"/>
  <c r="D307" i="2" s="1"/>
  <c r="E307" i="2"/>
  <c r="F128" i="2"/>
  <c r="J166" i="4"/>
  <c r="H382" i="2"/>
  <c r="C105" i="2"/>
  <c r="J96" i="4"/>
  <c r="H312" i="2"/>
  <c r="E338" i="2"/>
  <c r="E309" i="2"/>
  <c r="C130" i="2"/>
  <c r="D309" i="2" s="1"/>
  <c r="H130" i="2"/>
  <c r="I82" i="4"/>
  <c r="K298" i="2"/>
  <c r="K213" i="2"/>
  <c r="J210" i="2"/>
  <c r="J214" i="2"/>
  <c r="K214" i="2" s="1"/>
  <c r="H379" i="2"/>
  <c r="J163" i="4"/>
  <c r="K312" i="2"/>
  <c r="I96" i="4"/>
  <c r="D338" i="2"/>
  <c r="K340" i="2"/>
  <c r="I124" i="4"/>
  <c r="E425" i="2"/>
  <c r="H92" i="2"/>
  <c r="E282" i="2" s="1"/>
  <c r="N92" i="2"/>
  <c r="K379" i="2"/>
  <c r="I163" i="4"/>
  <c r="C141" i="2"/>
  <c r="H383" i="2" l="1"/>
  <c r="I129" i="4"/>
  <c r="J129" i="4"/>
  <c r="F417" i="2"/>
  <c r="K201" i="4" s="1"/>
  <c r="F419" i="2"/>
  <c r="K203" i="4" s="1"/>
  <c r="F421" i="2"/>
  <c r="K205" i="4" s="1"/>
  <c r="F422" i="2"/>
  <c r="K206" i="4" s="1"/>
  <c r="J203" i="4"/>
  <c r="F424" i="2"/>
  <c r="K208" i="4" s="1"/>
  <c r="F423" i="2"/>
  <c r="K207" i="4" s="1"/>
  <c r="F415" i="2"/>
  <c r="K199" i="4" s="1"/>
  <c r="H419" i="2"/>
  <c r="F426" i="2"/>
  <c r="K210" i="4" s="1"/>
  <c r="F420" i="2"/>
  <c r="K204" i="4" s="1"/>
  <c r="F416" i="2"/>
  <c r="K200" i="4" s="1"/>
  <c r="F427" i="2"/>
  <c r="K211" i="4" s="1"/>
  <c r="F418" i="2"/>
  <c r="K202" i="4" s="1"/>
  <c r="H337" i="2"/>
  <c r="J121" i="4"/>
  <c r="C204" i="2"/>
  <c r="D390" i="2" s="1"/>
  <c r="E390" i="2"/>
  <c r="I161" i="4"/>
  <c r="K377" i="2"/>
  <c r="H425" i="2"/>
  <c r="J209" i="4"/>
  <c r="F425" i="2"/>
  <c r="K209" i="4" s="1"/>
  <c r="G130" i="2"/>
  <c r="D335" i="2" s="1"/>
  <c r="E335" i="2"/>
  <c r="D324" i="2"/>
  <c r="H377" i="2"/>
  <c r="J161" i="4"/>
  <c r="K309" i="2"/>
  <c r="I93" i="4"/>
  <c r="E121" i="2"/>
  <c r="D143" i="2"/>
  <c r="E313" i="2"/>
  <c r="I176" i="4"/>
  <c r="K392" i="2"/>
  <c r="K311" i="2"/>
  <c r="I95" i="4"/>
  <c r="D337" i="2"/>
  <c r="E329" i="2"/>
  <c r="G124" i="2"/>
  <c r="D329" i="2" s="1"/>
  <c r="H187" i="2"/>
  <c r="H324" i="2"/>
  <c r="J108" i="4"/>
  <c r="H121" i="2"/>
  <c r="J176" i="4"/>
  <c r="H392" i="2"/>
  <c r="E316" i="2"/>
  <c r="E124" i="2"/>
  <c r="D316" i="2" s="1"/>
  <c r="D146" i="2"/>
  <c r="C146" i="2" s="1"/>
  <c r="H146" i="2" s="1"/>
  <c r="K307" i="2"/>
  <c r="I91" i="4"/>
  <c r="D300" i="2"/>
  <c r="E289" i="2"/>
  <c r="M86" i="2"/>
  <c r="F105" i="2"/>
  <c r="N94" i="2"/>
  <c r="H303" i="2"/>
  <c r="J87" i="4"/>
  <c r="H307" i="2"/>
  <c r="J91" i="4"/>
  <c r="K338" i="2"/>
  <c r="I122" i="4"/>
  <c r="D111" i="2"/>
  <c r="E295" i="2"/>
  <c r="M92" i="2"/>
  <c r="D295" i="2" s="1"/>
  <c r="K210" i="2"/>
  <c r="C210" i="2"/>
  <c r="J84" i="4"/>
  <c r="H300" i="2"/>
  <c r="I179" i="4"/>
  <c r="K395" i="2"/>
  <c r="K303" i="2"/>
  <c r="I87" i="4"/>
  <c r="J93" i="4"/>
  <c r="H309" i="2"/>
  <c r="H338" i="2"/>
  <c r="J122" i="4"/>
  <c r="D150" i="2"/>
  <c r="C150" i="2" s="1"/>
  <c r="E128" i="2"/>
  <c r="D320" i="2" s="1"/>
  <c r="E320" i="2"/>
  <c r="F276" i="2"/>
  <c r="K60" i="4" s="1"/>
  <c r="J60" i="4"/>
  <c r="H276" i="2"/>
  <c r="F275" i="2"/>
  <c r="K59" i="4" s="1"/>
  <c r="F284" i="2"/>
  <c r="K68" i="4" s="1"/>
  <c r="F272" i="2"/>
  <c r="K56" i="4" s="1"/>
  <c r="F281" i="2"/>
  <c r="K65" i="4" s="1"/>
  <c r="F283" i="2"/>
  <c r="K67" i="4" s="1"/>
  <c r="F280" i="2"/>
  <c r="K64" i="4" s="1"/>
  <c r="F279" i="2"/>
  <c r="K63" i="4" s="1"/>
  <c r="F273" i="2"/>
  <c r="K57" i="4" s="1"/>
  <c r="F274" i="2"/>
  <c r="K58" i="4" s="1"/>
  <c r="F278" i="2"/>
  <c r="K62" i="4" s="1"/>
  <c r="F277" i="2"/>
  <c r="K61" i="4" s="1"/>
  <c r="H282" i="2"/>
  <c r="F282" i="2"/>
  <c r="K66" i="4" s="1"/>
  <c r="J66" i="4"/>
  <c r="H128" i="2"/>
  <c r="G182" i="2"/>
  <c r="E376" i="2"/>
  <c r="D203" i="2"/>
  <c r="D419" i="2"/>
  <c r="E94" i="2"/>
  <c r="G94" i="2" s="1"/>
  <c r="G86" i="2"/>
  <c r="D276" i="2" s="1"/>
  <c r="J179" i="4"/>
  <c r="H395" i="2"/>
  <c r="H295" i="2" l="1"/>
  <c r="J79" i="4"/>
  <c r="F295" i="2"/>
  <c r="K79" i="4" s="1"/>
  <c r="I119" i="4"/>
  <c r="K335" i="2"/>
  <c r="J174" i="4"/>
  <c r="H390" i="2"/>
  <c r="G121" i="2"/>
  <c r="E326" i="2"/>
  <c r="H184" i="2"/>
  <c r="K390" i="2"/>
  <c r="I174" i="4"/>
  <c r="G128" i="2"/>
  <c r="D333" i="2" s="1"/>
  <c r="E333" i="2"/>
  <c r="H190" i="2"/>
  <c r="I60" i="4"/>
  <c r="K276" i="2"/>
  <c r="I146" i="2"/>
  <c r="H153" i="2"/>
  <c r="I153" i="2" s="1"/>
  <c r="H142" i="2"/>
  <c r="I142" i="2" s="1"/>
  <c r="D161" i="2" s="1"/>
  <c r="G187" i="2"/>
  <c r="D381" i="2" s="1"/>
  <c r="E381" i="2"/>
  <c r="D208" i="2"/>
  <c r="I84" i="4"/>
  <c r="K300" i="2"/>
  <c r="C111" i="2"/>
  <c r="C113" i="2" s="1"/>
  <c r="D113" i="2"/>
  <c r="E105" i="2"/>
  <c r="D123" i="2"/>
  <c r="I100" i="4"/>
  <c r="K316" i="2"/>
  <c r="D342" i="2"/>
  <c r="I113" i="4"/>
  <c r="K329" i="2"/>
  <c r="J97" i="4"/>
  <c r="H313" i="2"/>
  <c r="E339" i="2"/>
  <c r="K324" i="2"/>
  <c r="I108" i="4"/>
  <c r="D376" i="2"/>
  <c r="K295" i="2"/>
  <c r="I79" i="4"/>
  <c r="I203" i="4"/>
  <c r="K419" i="2"/>
  <c r="E346" i="2"/>
  <c r="H320" i="2"/>
  <c r="J104" i="4"/>
  <c r="D396" i="2"/>
  <c r="D207" i="2"/>
  <c r="D210" i="2"/>
  <c r="E396" i="2" s="1"/>
  <c r="D289" i="2"/>
  <c r="M94" i="2"/>
  <c r="J100" i="4"/>
  <c r="H316" i="2"/>
  <c r="E342" i="2"/>
  <c r="J113" i="4"/>
  <c r="H329" i="2"/>
  <c r="C143" i="2"/>
  <c r="C203" i="2"/>
  <c r="E389" i="2"/>
  <c r="I104" i="4"/>
  <c r="K320" i="2"/>
  <c r="D346" i="2"/>
  <c r="F289" i="2"/>
  <c r="K73" i="4" s="1"/>
  <c r="J73" i="4"/>
  <c r="H289" i="2"/>
  <c r="F297" i="2"/>
  <c r="K81" i="4" s="1"/>
  <c r="F287" i="2"/>
  <c r="K71" i="4" s="1"/>
  <c r="F291" i="2"/>
  <c r="K75" i="4" s="1"/>
  <c r="F288" i="2"/>
  <c r="K72" i="4" s="1"/>
  <c r="F296" i="2"/>
  <c r="K80" i="4" s="1"/>
  <c r="F285" i="2"/>
  <c r="K69" i="4" s="1"/>
  <c r="F294" i="2"/>
  <c r="K78" i="4" s="1"/>
  <c r="F286" i="2"/>
  <c r="K70" i="4" s="1"/>
  <c r="F290" i="2"/>
  <c r="K74" i="4" s="1"/>
  <c r="F293" i="2"/>
  <c r="K77" i="4" s="1"/>
  <c r="F292" i="2"/>
  <c r="K76" i="4" s="1"/>
  <c r="I121" i="4"/>
  <c r="K337" i="2"/>
  <c r="D313" i="2"/>
  <c r="H335" i="2"/>
  <c r="J119" i="4"/>
  <c r="H376" i="2"/>
  <c r="J160" i="4"/>
  <c r="F111" i="2"/>
  <c r="F113" i="2" s="1"/>
  <c r="K381" i="2" l="1"/>
  <c r="I165" i="4"/>
  <c r="H389" i="2"/>
  <c r="J173" i="4"/>
  <c r="C161" i="2"/>
  <c r="E364" i="2"/>
  <c r="D183" i="2"/>
  <c r="E393" i="2"/>
  <c r="C207" i="2"/>
  <c r="D393" i="2" s="1"/>
  <c r="E302" i="2"/>
  <c r="F123" i="2"/>
  <c r="H123" i="2" s="1"/>
  <c r="C123" i="2"/>
  <c r="F172" i="2"/>
  <c r="D172" i="2" s="1"/>
  <c r="H396" i="2"/>
  <c r="J180" i="4"/>
  <c r="K333" i="2"/>
  <c r="I117" i="4"/>
  <c r="E111" i="2"/>
  <c r="E113" i="2" s="1"/>
  <c r="D129" i="2"/>
  <c r="D131" i="2" s="1"/>
  <c r="I180" i="4"/>
  <c r="K396" i="2"/>
  <c r="D389" i="2"/>
  <c r="I126" i="4"/>
  <c r="K342" i="2"/>
  <c r="G184" i="2"/>
  <c r="E378" i="2"/>
  <c r="D205" i="2"/>
  <c r="H333" i="2"/>
  <c r="J117" i="4"/>
  <c r="J130" i="4"/>
  <c r="H346" i="2"/>
  <c r="J110" i="4"/>
  <c r="H326" i="2"/>
  <c r="H381" i="2"/>
  <c r="J165" i="4"/>
  <c r="J126" i="4"/>
  <c r="H342" i="2"/>
  <c r="K376" i="2"/>
  <c r="I160" i="4"/>
  <c r="K313" i="2"/>
  <c r="I97" i="4"/>
  <c r="D339" i="2"/>
  <c r="K346" i="2"/>
  <c r="I130" i="4"/>
  <c r="K289" i="2"/>
  <c r="I73" i="4"/>
  <c r="H339" i="2"/>
  <c r="J123" i="4"/>
  <c r="C208" i="2"/>
  <c r="D394" i="2" s="1"/>
  <c r="E394" i="2"/>
  <c r="G190" i="2"/>
  <c r="D384" i="2" s="1"/>
  <c r="E384" i="2"/>
  <c r="D211" i="2"/>
  <c r="D326" i="2"/>
  <c r="H302" i="2" l="1"/>
  <c r="J86" i="4"/>
  <c r="C205" i="2"/>
  <c r="E391" i="2"/>
  <c r="E362" i="2"/>
  <c r="E172" i="2"/>
  <c r="D362" i="2" s="1"/>
  <c r="H393" i="2"/>
  <c r="J177" i="4"/>
  <c r="D194" i="2"/>
  <c r="C194" i="2" s="1"/>
  <c r="E375" i="2"/>
  <c r="C172" i="2"/>
  <c r="D375" i="2" s="1"/>
  <c r="H384" i="2"/>
  <c r="J168" i="4"/>
  <c r="K384" i="2"/>
  <c r="I168" i="4"/>
  <c r="J178" i="4"/>
  <c r="H394" i="2"/>
  <c r="D378" i="2"/>
  <c r="K326" i="2"/>
  <c r="I110" i="4"/>
  <c r="E308" i="2"/>
  <c r="F303" i="2" s="1"/>
  <c r="K87" i="4" s="1"/>
  <c r="C129" i="2"/>
  <c r="D308" i="2" s="1"/>
  <c r="F129" i="2"/>
  <c r="F131" i="2" s="1"/>
  <c r="I178" i="4"/>
  <c r="K394" i="2"/>
  <c r="I123" i="4"/>
  <c r="K339" i="2"/>
  <c r="G123" i="2"/>
  <c r="E328" i="2"/>
  <c r="C183" i="2"/>
  <c r="D302" i="2"/>
  <c r="H364" i="2"/>
  <c r="J148" i="4"/>
  <c r="E397" i="2"/>
  <c r="C211" i="2"/>
  <c r="D397" i="2" s="1"/>
  <c r="K393" i="2"/>
  <c r="I177" i="4"/>
  <c r="H378" i="2"/>
  <c r="J162" i="4"/>
  <c r="I173" i="4"/>
  <c r="K389" i="2"/>
  <c r="E123" i="2"/>
  <c r="D145" i="2"/>
  <c r="E315" i="2"/>
  <c r="D364" i="2"/>
  <c r="F307" i="2" l="1"/>
  <c r="K91" i="4" s="1"/>
  <c r="F306" i="2"/>
  <c r="K90" i="4" s="1"/>
  <c r="D391" i="2"/>
  <c r="F308" i="2"/>
  <c r="K92" i="4" s="1"/>
  <c r="H308" i="2"/>
  <c r="J92" i="4"/>
  <c r="F304" i="2"/>
  <c r="K88" i="4" s="1"/>
  <c r="F310" i="2"/>
  <c r="K94" i="4" s="1"/>
  <c r="F305" i="2"/>
  <c r="K89" i="4" s="1"/>
  <c r="K364" i="2"/>
  <c r="I148" i="4"/>
  <c r="I92" i="4"/>
  <c r="K308" i="2"/>
  <c r="F164" i="2"/>
  <c r="C145" i="2"/>
  <c r="K362" i="2"/>
  <c r="I146" i="4"/>
  <c r="F301" i="2"/>
  <c r="K85" i="4" s="1"/>
  <c r="H315" i="2"/>
  <c r="J99" i="4"/>
  <c r="E341" i="2"/>
  <c r="F299" i="2"/>
  <c r="K83" i="4" s="1"/>
  <c r="D315" i="2"/>
  <c r="I162" i="4"/>
  <c r="K378" i="2"/>
  <c r="H362" i="2"/>
  <c r="J146" i="4"/>
  <c r="F300" i="2"/>
  <c r="K84" i="4" s="1"/>
  <c r="D328" i="2"/>
  <c r="I86" i="4"/>
  <c r="K302" i="2"/>
  <c r="E183" i="2"/>
  <c r="D151" i="2"/>
  <c r="C151" i="2" s="1"/>
  <c r="E129" i="2"/>
  <c r="D321" i="2" s="1"/>
  <c r="E321" i="2"/>
  <c r="F322" i="2" s="1"/>
  <c r="K106" i="4" s="1"/>
  <c r="I159" i="4"/>
  <c r="K375" i="2"/>
  <c r="F309" i="2"/>
  <c r="K93" i="4" s="1"/>
  <c r="F302" i="2"/>
  <c r="K86" i="4" s="1"/>
  <c r="C131" i="2"/>
  <c r="K397" i="2"/>
  <c r="I181" i="4"/>
  <c r="H397" i="2"/>
  <c r="J181" i="4"/>
  <c r="H328" i="2"/>
  <c r="J112" i="4"/>
  <c r="H129" i="2"/>
  <c r="J159" i="4"/>
  <c r="H375" i="2"/>
  <c r="H391" i="2"/>
  <c r="J175" i="4"/>
  <c r="F298" i="2"/>
  <c r="K82" i="4" s="1"/>
  <c r="F311" i="2" l="1"/>
  <c r="K95" i="4" s="1"/>
  <c r="D154" i="2"/>
  <c r="F323" i="2"/>
  <c r="K107" i="4" s="1"/>
  <c r="F314" i="2"/>
  <c r="K98" i="4" s="1"/>
  <c r="F318" i="2"/>
  <c r="K102" i="4" s="1"/>
  <c r="F183" i="2"/>
  <c r="F186" i="2"/>
  <c r="F316" i="2"/>
  <c r="K100" i="4" s="1"/>
  <c r="J125" i="4"/>
  <c r="H341" i="2"/>
  <c r="C154" i="2"/>
  <c r="E334" i="2"/>
  <c r="H192" i="2"/>
  <c r="H191" i="2"/>
  <c r="G129" i="2"/>
  <c r="H131" i="2"/>
  <c r="F312" i="2"/>
  <c r="K96" i="4" s="1"/>
  <c r="F315" i="2"/>
  <c r="K99" i="4" s="1"/>
  <c r="E164" i="2"/>
  <c r="F173" i="2"/>
  <c r="E354" i="2"/>
  <c r="E131" i="2"/>
  <c r="J105" i="4"/>
  <c r="H321" i="2"/>
  <c r="F321" i="2"/>
  <c r="K105" i="4" s="1"/>
  <c r="E347" i="2"/>
  <c r="F346" i="2" s="1"/>
  <c r="K130" i="4" s="1"/>
  <c r="K328" i="2"/>
  <c r="I112" i="4"/>
  <c r="D341" i="2"/>
  <c r="I99" i="4"/>
  <c r="K315" i="2"/>
  <c r="F320" i="2"/>
  <c r="K104" i="4" s="1"/>
  <c r="D347" i="2"/>
  <c r="K321" i="2"/>
  <c r="I105" i="4"/>
  <c r="F317" i="2"/>
  <c r="K101" i="4" s="1"/>
  <c r="I175" i="4"/>
  <c r="K391" i="2"/>
  <c r="F313" i="2"/>
  <c r="K97" i="4" s="1"/>
  <c r="F319" i="2"/>
  <c r="K103" i="4" s="1"/>
  <c r="F345" i="2" l="1"/>
  <c r="K129" i="4" s="1"/>
  <c r="F337" i="2"/>
  <c r="K121" i="4" s="1"/>
  <c r="F343" i="2"/>
  <c r="K127" i="4" s="1"/>
  <c r="F342" i="2"/>
  <c r="K126" i="4" s="1"/>
  <c r="F348" i="2"/>
  <c r="K132" i="4" s="1"/>
  <c r="F341" i="2"/>
  <c r="K125" i="4" s="1"/>
  <c r="I125" i="4"/>
  <c r="K341" i="2"/>
  <c r="F350" i="2"/>
  <c r="K134" i="4" s="1"/>
  <c r="F357" i="2"/>
  <c r="K141" i="4" s="1"/>
  <c r="J138" i="4"/>
  <c r="F352" i="2"/>
  <c r="K136" i="4" s="1"/>
  <c r="H354" i="2"/>
  <c r="F358" i="2"/>
  <c r="K142" i="4" s="1"/>
  <c r="F351" i="2"/>
  <c r="K135" i="4" s="1"/>
  <c r="F355" i="2"/>
  <c r="K139" i="4" s="1"/>
  <c r="F353" i="2"/>
  <c r="K137" i="4" s="1"/>
  <c r="F356" i="2"/>
  <c r="K140" i="4" s="1"/>
  <c r="F360" i="2"/>
  <c r="K144" i="4" s="1"/>
  <c r="F354" i="2"/>
  <c r="K138" i="4" s="1"/>
  <c r="F359" i="2"/>
  <c r="K143" i="4" s="1"/>
  <c r="F361" i="2"/>
  <c r="K145" i="4" s="1"/>
  <c r="F362" i="2"/>
  <c r="K146" i="4" s="1"/>
  <c r="E386" i="2"/>
  <c r="G192" i="2"/>
  <c r="D386" i="2" s="1"/>
  <c r="D213" i="2"/>
  <c r="F349" i="2"/>
  <c r="K133" i="4" s="1"/>
  <c r="H334" i="2"/>
  <c r="J118" i="4"/>
  <c r="F334" i="2"/>
  <c r="K118" i="4" s="1"/>
  <c r="F336" i="2"/>
  <c r="K120" i="4" s="1"/>
  <c r="F328" i="2"/>
  <c r="K112" i="4" s="1"/>
  <c r="F324" i="2"/>
  <c r="K108" i="4" s="1"/>
  <c r="F332" i="2"/>
  <c r="K116" i="4" s="1"/>
  <c r="F329" i="2"/>
  <c r="K113" i="4" s="1"/>
  <c r="F331" i="2"/>
  <c r="K115" i="4" s="1"/>
  <c r="F335" i="2"/>
  <c r="K119" i="4" s="1"/>
  <c r="F330" i="2"/>
  <c r="K114" i="4" s="1"/>
  <c r="F326" i="2"/>
  <c r="K110" i="4" s="1"/>
  <c r="F327" i="2"/>
  <c r="K111" i="4" s="1"/>
  <c r="F333" i="2"/>
  <c r="K117" i="4" s="1"/>
  <c r="F325" i="2"/>
  <c r="K109" i="4" s="1"/>
  <c r="F340" i="2"/>
  <c r="K124" i="4" s="1"/>
  <c r="D212" i="2"/>
  <c r="E385" i="2"/>
  <c r="G191" i="2"/>
  <c r="D385" i="2" s="1"/>
  <c r="D354" i="2"/>
  <c r="E173" i="2"/>
  <c r="D334" i="2"/>
  <c r="G131" i="2"/>
  <c r="J131" i="4"/>
  <c r="H347" i="2"/>
  <c r="F347" i="2"/>
  <c r="K131" i="4" s="1"/>
  <c r="C164" i="2"/>
  <c r="F344" i="2"/>
  <c r="K128" i="4" s="1"/>
  <c r="E186" i="2"/>
  <c r="E195" i="2" s="1"/>
  <c r="H186" i="2"/>
  <c r="I131" i="4"/>
  <c r="K347" i="2"/>
  <c r="F338" i="2"/>
  <c r="K122" i="4" s="1"/>
  <c r="F339" i="2"/>
  <c r="K123" i="4" s="1"/>
  <c r="F195" i="2"/>
  <c r="H385" i="2" l="1"/>
  <c r="J169" i="4"/>
  <c r="E399" i="2"/>
  <c r="C213" i="2"/>
  <c r="D399" i="2" s="1"/>
  <c r="C212" i="2"/>
  <c r="E398" i="2"/>
  <c r="E380" i="2"/>
  <c r="G186" i="2"/>
  <c r="H193" i="2"/>
  <c r="H195" i="2" s="1"/>
  <c r="I118" i="4"/>
  <c r="K334" i="2"/>
  <c r="I170" i="4"/>
  <c r="K386" i="2"/>
  <c r="J170" i="4"/>
  <c r="H386" i="2"/>
  <c r="I138" i="4"/>
  <c r="K354" i="2"/>
  <c r="D367" i="2"/>
  <c r="D164" i="2"/>
  <c r="C173" i="2"/>
  <c r="I169" i="4"/>
  <c r="K385" i="2"/>
  <c r="D186" i="2" l="1"/>
  <c r="E367" i="2"/>
  <c r="D173" i="2"/>
  <c r="I151" i="4"/>
  <c r="K367" i="2"/>
  <c r="K399" i="2"/>
  <c r="I183" i="4"/>
  <c r="H399" i="2"/>
  <c r="J183" i="4"/>
  <c r="H398" i="2"/>
  <c r="J182" i="4"/>
  <c r="E387" i="2"/>
  <c r="F380" i="2" s="1"/>
  <c r="K164" i="4" s="1"/>
  <c r="G193" i="2"/>
  <c r="D387" i="2" s="1"/>
  <c r="D214" i="2"/>
  <c r="D398" i="2"/>
  <c r="D380" i="2"/>
  <c r="J164" i="4"/>
  <c r="H380" i="2"/>
  <c r="F383" i="2" l="1"/>
  <c r="K167" i="4" s="1"/>
  <c r="F377" i="2"/>
  <c r="K161" i="4" s="1"/>
  <c r="F379" i="2"/>
  <c r="K163" i="4" s="1"/>
  <c r="F382" i="2"/>
  <c r="K166" i="4" s="1"/>
  <c r="F381" i="2"/>
  <c r="K165" i="4" s="1"/>
  <c r="E400" i="2"/>
  <c r="C214" i="2"/>
  <c r="F214" i="2"/>
  <c r="D216" i="2"/>
  <c r="I171" i="4"/>
  <c r="K387" i="2"/>
  <c r="H367" i="2"/>
  <c r="J151" i="4"/>
  <c r="F367" i="2"/>
  <c r="K151" i="4" s="1"/>
  <c r="F363" i="2"/>
  <c r="K147" i="4" s="1"/>
  <c r="F365" i="2"/>
  <c r="K149" i="4" s="1"/>
  <c r="F374" i="2"/>
  <c r="K158" i="4" s="1"/>
  <c r="F371" i="2"/>
  <c r="K155" i="4" s="1"/>
  <c r="F366" i="2"/>
  <c r="K150" i="4" s="1"/>
  <c r="F373" i="2"/>
  <c r="K157" i="4" s="1"/>
  <c r="F364" i="2"/>
  <c r="K148" i="4" s="1"/>
  <c r="F368" i="2"/>
  <c r="K152" i="4" s="1"/>
  <c r="F369" i="2"/>
  <c r="K153" i="4" s="1"/>
  <c r="F370" i="2"/>
  <c r="K154" i="4" s="1"/>
  <c r="F372" i="2"/>
  <c r="K156" i="4" s="1"/>
  <c r="F375" i="2"/>
  <c r="K159" i="4" s="1"/>
  <c r="J171" i="4"/>
  <c r="F387" i="2"/>
  <c r="K171" i="4" s="1"/>
  <c r="H387" i="2"/>
  <c r="F385" i="2"/>
  <c r="K169" i="4" s="1"/>
  <c r="F386" i="2"/>
  <c r="K170" i="4" s="1"/>
  <c r="F384" i="2"/>
  <c r="K168" i="4" s="1"/>
  <c r="F388" i="2"/>
  <c r="K172" i="4" s="1"/>
  <c r="K380" i="2"/>
  <c r="I164" i="4"/>
  <c r="C186" i="2"/>
  <c r="C195" i="2" s="1"/>
  <c r="D195" i="2"/>
  <c r="F378" i="2"/>
  <c r="K162" i="4" s="1"/>
  <c r="G195" i="2"/>
  <c r="F376" i="2"/>
  <c r="K160" i="4" s="1"/>
  <c r="I182" i="4"/>
  <c r="K398" i="2"/>
  <c r="F216" i="2" l="1"/>
  <c r="E413" i="2"/>
  <c r="E214" i="2"/>
  <c r="D400" i="2"/>
  <c r="C216" i="2"/>
  <c r="H400" i="2"/>
  <c r="J184" i="4"/>
  <c r="F400" i="2"/>
  <c r="K184" i="4" s="1"/>
  <c r="F390" i="2"/>
  <c r="K174" i="4" s="1"/>
  <c r="F389" i="2"/>
  <c r="K173" i="4" s="1"/>
  <c r="F395" i="2"/>
  <c r="K179" i="4" s="1"/>
  <c r="F391" i="2"/>
  <c r="K175" i="4" s="1"/>
  <c r="F397" i="2"/>
  <c r="K181" i="4" s="1"/>
  <c r="F394" i="2"/>
  <c r="K178" i="4" s="1"/>
  <c r="F398" i="2"/>
  <c r="K182" i="4" s="1"/>
  <c r="F396" i="2"/>
  <c r="K180" i="4" s="1"/>
  <c r="F392" i="2"/>
  <c r="K176" i="4" s="1"/>
  <c r="F399" i="2"/>
  <c r="K183" i="4" s="1"/>
  <c r="F393" i="2"/>
  <c r="K177" i="4" s="1"/>
  <c r="F401" i="2"/>
  <c r="K185" i="4" s="1"/>
  <c r="I184" i="4" l="1"/>
  <c r="K400" i="2"/>
  <c r="D413" i="2"/>
  <c r="E216" i="2"/>
  <c r="J197" i="4"/>
  <c r="F405" i="2"/>
  <c r="K189" i="4" s="1"/>
  <c r="F414" i="2"/>
  <c r="K198" i="4" s="1"/>
  <c r="F403" i="2"/>
  <c r="K187" i="4" s="1"/>
  <c r="F406" i="2"/>
  <c r="K190" i="4" s="1"/>
  <c r="F402" i="2"/>
  <c r="K186" i="4" s="1"/>
  <c r="F404" i="2"/>
  <c r="K188" i="4" s="1"/>
  <c r="F413" i="2"/>
  <c r="K197" i="4" s="1"/>
  <c r="F410" i="2"/>
  <c r="K194" i="4" s="1"/>
  <c r="F412" i="2"/>
  <c r="K196" i="4" s="1"/>
  <c r="F411" i="2"/>
  <c r="K195" i="4" s="1"/>
  <c r="H413" i="2"/>
  <c r="F407" i="2"/>
  <c r="K191" i="4" s="1"/>
  <c r="F409" i="2"/>
  <c r="K193" i="4" s="1"/>
  <c r="F408" i="2"/>
  <c r="K192" i="4" s="1"/>
  <c r="I197" i="4" l="1"/>
  <c r="K413" i="2"/>
</calcChain>
</file>

<file path=xl/sharedStrings.xml><?xml version="1.0" encoding="utf-8"?>
<sst xmlns="http://schemas.openxmlformats.org/spreadsheetml/2006/main" count="1330" uniqueCount="426">
  <si>
    <t xml:space="preserve">Component </t>
  </si>
  <si>
    <t xml:space="preserve">MW </t>
  </si>
  <si>
    <t>g/mol</t>
  </si>
  <si>
    <t>Mg3Si2O5.(OH)4</t>
  </si>
  <si>
    <t xml:space="preserve">NH4HSO4 </t>
  </si>
  <si>
    <t>MgSO4</t>
  </si>
  <si>
    <t>SiO2</t>
  </si>
  <si>
    <t>H2O</t>
  </si>
  <si>
    <t>(NH4)2SO4</t>
  </si>
  <si>
    <t>Fe2(SO4)3</t>
  </si>
  <si>
    <t>TOTAL</t>
  </si>
  <si>
    <t>Reaction at R1</t>
  </si>
  <si>
    <t>kg/ 3hours</t>
  </si>
  <si>
    <t>kmol/ 3 hours</t>
  </si>
  <si>
    <t>Input (S5)</t>
  </si>
  <si>
    <t>Input (S19)</t>
  </si>
  <si>
    <t>Total Input</t>
  </si>
  <si>
    <t>Consumed</t>
  </si>
  <si>
    <t>Product</t>
  </si>
  <si>
    <t>Output (S6)</t>
  </si>
  <si>
    <t>mol %</t>
  </si>
  <si>
    <t>mass %</t>
  </si>
  <si>
    <t>After mineral dissolution</t>
  </si>
  <si>
    <t>Stream S7</t>
  </si>
  <si>
    <t>Stream S8</t>
  </si>
  <si>
    <t xml:space="preserve">Stream 7 is product </t>
  </si>
  <si>
    <t>Reaction at R2</t>
  </si>
  <si>
    <t>NH4OH</t>
  </si>
  <si>
    <t>Fe(OH)3</t>
  </si>
  <si>
    <t>Assume the conversion rate as 100%</t>
  </si>
  <si>
    <t>For Fe2(SO4)3  to be fully converted, 0.8 X 6 kmol/ 3 hours of NH4OH is required</t>
  </si>
  <si>
    <t>For NH4HSO4 to be fully converted, 2025.6 kmole/ 3 hours of NH4OH is required</t>
  </si>
  <si>
    <t>Reaction (Conversion rate of 100%)</t>
  </si>
  <si>
    <t>Output S10</t>
  </si>
  <si>
    <t>After cyclone 2</t>
  </si>
  <si>
    <t>Stream 11</t>
  </si>
  <si>
    <t>Stream 12</t>
  </si>
  <si>
    <t>Precipitation of MgCO3</t>
  </si>
  <si>
    <t>NH4HCO3</t>
  </si>
  <si>
    <t>MgCO3.3H2O</t>
  </si>
  <si>
    <t>CO2</t>
  </si>
  <si>
    <t>The carbonition efficiency as 95.9%</t>
  </si>
  <si>
    <t>For MgSO4 to be converted at 95.9%, 598.5 X 0.959 X 2 kmol/ 3 hours of NH4HCO3 is required</t>
  </si>
  <si>
    <t>For MgSO4 to be converted at 95.9%, 598.5 X 0.959 X 2 kmol/ 3 hours of H2O is required</t>
  </si>
  <si>
    <t>Output S14</t>
  </si>
  <si>
    <t>Stream 15</t>
  </si>
  <si>
    <t>Stream 16</t>
  </si>
  <si>
    <t>Evaporation of excess H2O</t>
  </si>
  <si>
    <t>Input S16</t>
  </si>
  <si>
    <t>Assume evaporation efficiency of 98%</t>
  </si>
  <si>
    <t>Stream 20</t>
  </si>
  <si>
    <t>Stream 17</t>
  </si>
  <si>
    <t>Additive regeneration</t>
  </si>
  <si>
    <t>The regeneration efficiency is 100%</t>
  </si>
  <si>
    <t>NH3</t>
  </si>
  <si>
    <t>Input Stream 17</t>
  </si>
  <si>
    <t>Solvent regeneration</t>
  </si>
  <si>
    <t>Carbon Capture</t>
  </si>
  <si>
    <t>Input S18</t>
  </si>
  <si>
    <t>Output S19</t>
  </si>
  <si>
    <t>Stream 28</t>
  </si>
  <si>
    <t xml:space="preserve">Description </t>
  </si>
  <si>
    <t xml:space="preserve">Value </t>
  </si>
  <si>
    <t>Units</t>
  </si>
  <si>
    <t>t/a</t>
  </si>
  <si>
    <t>hrs</t>
  </si>
  <si>
    <t>%</t>
  </si>
  <si>
    <t>Row</t>
  </si>
  <si>
    <t>Excess NH4HSO4</t>
  </si>
  <si>
    <t>Reaction</t>
  </si>
  <si>
    <t>Moisture of Product 1</t>
  </si>
  <si>
    <t>Moisture of Product 2</t>
  </si>
  <si>
    <t>Moisture of Product 3</t>
  </si>
  <si>
    <t>Additive Regeneration Eff.</t>
  </si>
  <si>
    <t>Evaporation Eff.</t>
  </si>
  <si>
    <t>Temp [°C]</t>
  </si>
  <si>
    <t>S4</t>
  </si>
  <si>
    <t>S5</t>
  </si>
  <si>
    <t>S6</t>
  </si>
  <si>
    <t>S9</t>
  </si>
  <si>
    <t>S10</t>
  </si>
  <si>
    <t>S13</t>
  </si>
  <si>
    <t>S14</t>
  </si>
  <si>
    <t>S16</t>
  </si>
  <si>
    <t>S17</t>
  </si>
  <si>
    <t>R1 Enthalpy of Reaction, dH1</t>
  </si>
  <si>
    <t>R2 Enthalpy of Reaction, dH2</t>
  </si>
  <si>
    <t>R3 Enthalpy of Reaction, dH3</t>
  </si>
  <si>
    <t>R4 Enthalpy of Reaction, dH4</t>
  </si>
  <si>
    <t>R5 Enthalpy of Reaction, dH5</t>
  </si>
  <si>
    <t>kJ</t>
  </si>
  <si>
    <t>MATLAB INPUTs_Indirect Mineral Carbonation</t>
  </si>
  <si>
    <t>a-value</t>
  </si>
  <si>
    <t>b-value</t>
  </si>
  <si>
    <t>c-value</t>
  </si>
  <si>
    <t>d-value</t>
  </si>
  <si>
    <t>Heat of Formation, Hf 
(T=298K, P=1atm)</t>
  </si>
  <si>
    <t>Source [Cp]</t>
  </si>
  <si>
    <t xml:space="preserve"> NH4HSO4 (l)</t>
  </si>
  <si>
    <t xml:space="preserve"> MgSO4 (l)</t>
  </si>
  <si>
    <t>H2O (l)</t>
  </si>
  <si>
    <t>(NH4)2SO4 (l)</t>
  </si>
  <si>
    <t>NH4OH (l)</t>
  </si>
  <si>
    <t>NH4HCO3 (l)</t>
  </si>
  <si>
    <t>CO2 (g)</t>
  </si>
  <si>
    <t>NH3 (g)</t>
  </si>
  <si>
    <t xml:space="preserve">Cp </t>
  </si>
  <si>
    <t>Cp</t>
  </si>
  <si>
    <t>Value</t>
  </si>
  <si>
    <t>webook.NIST</t>
  </si>
  <si>
    <t>Perry's Handbook</t>
  </si>
  <si>
    <t>Engineering Toolbox</t>
  </si>
  <si>
    <t>Temp. Range (K)</t>
  </si>
  <si>
    <t>Source (Hf]</t>
  </si>
  <si>
    <t>kJ/mol</t>
  </si>
  <si>
    <t>275-328</t>
  </si>
  <si>
    <t>Notes</t>
  </si>
  <si>
    <t>Decomposes above 280 degree C</t>
  </si>
  <si>
    <t xml:space="preserve">Pubchem.ncbi </t>
  </si>
  <si>
    <t>https://pubchem.ncbi.nlm.nih.gov/compound/Ammonium-sulfate#section=Refractive-Index</t>
  </si>
  <si>
    <t>273-395</t>
  </si>
  <si>
    <t>https://www.researchgate.net/publication/256738840_Thermodynamics_of_monoclinic_Fe2SO43</t>
  </si>
  <si>
    <t>Component</t>
  </si>
  <si>
    <t>-</t>
  </si>
  <si>
    <t>Fe2(SO4)3 (J/molK)</t>
  </si>
  <si>
    <t>http://www.matweb.com/search/datasheet.aspx?matguid=71feb59d7edd41e798c032c1d63de8dd&amp;ckck=1</t>
  </si>
  <si>
    <t xml:space="preserve">matweb datasheet </t>
  </si>
  <si>
    <t xml:space="preserve"> kJ/mol</t>
  </si>
  <si>
    <t>https://www.tandfonline.com/doi/pdf/10.1080/02786829508965300</t>
  </si>
  <si>
    <t>Aerosol Science &amp; tech.</t>
  </si>
  <si>
    <t>Data Links</t>
  </si>
  <si>
    <t>M3- Stream Conditions</t>
  </si>
  <si>
    <t xml:space="preserve">Mg3Si2O5.(OH)4 (s) </t>
  </si>
  <si>
    <t xml:space="preserve">used (MgO.SiO2)'s Hf </t>
  </si>
  <si>
    <t>273-457</t>
  </si>
  <si>
    <t>a-value/value</t>
  </si>
  <si>
    <t>kJ/kmolK</t>
  </si>
  <si>
    <t>M2- Mass Balance Overall</t>
  </si>
  <si>
    <t>wt%</t>
  </si>
  <si>
    <t>Source</t>
  </si>
  <si>
    <t>Min temperature diff. of heater</t>
  </si>
  <si>
    <t>°C</t>
  </si>
  <si>
    <t>*0 represents '-' and not actually 0</t>
  </si>
  <si>
    <t>Elec. Demand- Crushing</t>
  </si>
  <si>
    <t>Elec. Demand- Grinding</t>
  </si>
  <si>
    <t>kWh/t-mineral</t>
  </si>
  <si>
    <t>kWh/t-CO2</t>
  </si>
  <si>
    <t>Density of water</t>
  </si>
  <si>
    <t>t/m3</t>
  </si>
  <si>
    <t>Grativational pull</t>
  </si>
  <si>
    <t>m/s2</t>
  </si>
  <si>
    <t>Efficiency of pump</t>
  </si>
  <si>
    <t>m</t>
  </si>
  <si>
    <t>Stream</t>
  </si>
  <si>
    <t>bar</t>
  </si>
  <si>
    <t>Decomposes above 280 degree C/
 Hf used N2H6SO4's value</t>
  </si>
  <si>
    <t>Crushing</t>
  </si>
  <si>
    <t>Grinding</t>
  </si>
  <si>
    <t>Evaporation</t>
  </si>
  <si>
    <t>IN</t>
  </si>
  <si>
    <t>OUT</t>
  </si>
  <si>
    <t>Process</t>
  </si>
  <si>
    <t>Temp. [C]</t>
  </si>
  <si>
    <t>P [bar]</t>
  </si>
  <si>
    <t xml:space="preserve">HE1 </t>
  </si>
  <si>
    <t>HE2</t>
  </si>
  <si>
    <t>HE3</t>
  </si>
  <si>
    <t>HE4</t>
  </si>
  <si>
    <t>HE5</t>
  </si>
  <si>
    <t>HE6</t>
  </si>
  <si>
    <t>HE7</t>
  </si>
  <si>
    <t>HE8</t>
  </si>
  <si>
    <t>Electricity Consumption [kWh/t]</t>
  </si>
  <si>
    <t>R1-Mineral Dissolution</t>
  </si>
  <si>
    <t>R2-pH Adjustment</t>
  </si>
  <si>
    <t>R3-Carbonation</t>
  </si>
  <si>
    <t>R4-Thermal regneration</t>
  </si>
  <si>
    <t>R5-CO2 Capture</t>
  </si>
  <si>
    <t>* Temp in determined  by energy bal</t>
  </si>
  <si>
    <t>Furnace*</t>
  </si>
  <si>
    <t>Temp. Cold  [C]</t>
  </si>
  <si>
    <t>Temp. Hot [C]</t>
  </si>
  <si>
    <t>Assumptions</t>
  </si>
  <si>
    <t>Cabonation Plant Conditions</t>
  </si>
  <si>
    <t>Elec. Demand- Funace</t>
  </si>
  <si>
    <t>Elec. Demand- CO2 Capture</t>
  </si>
  <si>
    <t>Eff. Of pumps</t>
  </si>
  <si>
    <t>Engineering toolbox</t>
  </si>
  <si>
    <t>Pump heads</t>
  </si>
  <si>
    <t>Operating hours</t>
  </si>
  <si>
    <t>hrs/year</t>
  </si>
  <si>
    <t>No. of batches</t>
  </si>
  <si>
    <t>batch/day</t>
  </si>
  <si>
    <t>Operating hrs</t>
  </si>
  <si>
    <t>hrs/yr</t>
  </si>
  <si>
    <t>kmol/hr</t>
  </si>
  <si>
    <t>kg/hr</t>
  </si>
  <si>
    <t>Density of MgSO4</t>
  </si>
  <si>
    <t>Density of AS</t>
  </si>
  <si>
    <t>Density of ABC</t>
  </si>
  <si>
    <t>kg/m3</t>
  </si>
  <si>
    <t>Density Serpentine</t>
  </si>
  <si>
    <t>Max. Wall thickness (R3)</t>
  </si>
  <si>
    <t>Max. wall thickness (R3)</t>
  </si>
  <si>
    <t>Joint efficiency</t>
  </si>
  <si>
    <t>Vessel security factor</t>
  </si>
  <si>
    <t>M5- Plant Fixed Assumptions</t>
  </si>
  <si>
    <t>Density of steel</t>
  </si>
  <si>
    <t>Material of reactor</t>
  </si>
  <si>
    <t>m3</t>
  </si>
  <si>
    <t xml:space="preserve">Gasphase in reactor </t>
  </si>
  <si>
    <t>m3/m3</t>
  </si>
  <si>
    <t>Interest rate</t>
  </si>
  <si>
    <t>M1- Reaction Fixed Assumptions</t>
  </si>
  <si>
    <t>Lifetime of plant</t>
  </si>
  <si>
    <t>years</t>
  </si>
  <si>
    <t>Max. heat exchanger size</t>
  </si>
  <si>
    <t>m2</t>
  </si>
  <si>
    <t>Hf [kJ/mol]/ 
e-value</t>
  </si>
  <si>
    <t>ASME maximal allowable stress temp  [°C]</t>
  </si>
  <si>
    <t>ASME maximal allowable stress, CS [Pa]</t>
  </si>
  <si>
    <t>minimum wall thickness d [m]</t>
  </si>
  <si>
    <t>minimum wall thickness [mm]</t>
  </si>
  <si>
    <t>Solid:Liquid Ratio</t>
  </si>
  <si>
    <t>Pressure after R3</t>
  </si>
  <si>
    <t>m/bar</t>
  </si>
  <si>
    <t>Hydraulic Pump head</t>
  </si>
  <si>
    <t>Density of ABS</t>
  </si>
  <si>
    <t>Density of Fe(2SO4)3</t>
  </si>
  <si>
    <t>M6- Heat exchanger Assumptions</t>
  </si>
  <si>
    <t>Pressure- R2</t>
  </si>
  <si>
    <t xml:space="preserve">Pressure- R1 </t>
  </si>
  <si>
    <t>Evaporator, E1</t>
  </si>
  <si>
    <t xml:space="preserve">CEMCAP-Indirect cost </t>
  </si>
  <si>
    <t>CEMCAP-Process contingencies</t>
  </si>
  <si>
    <t>CEMCAP-Project contingencies</t>
  </si>
  <si>
    <t>Utilities/Consumables</t>
  </si>
  <si>
    <t>Electricity</t>
  </si>
  <si>
    <t>Cost</t>
  </si>
  <si>
    <t>e/MWh</t>
  </si>
  <si>
    <t xml:space="preserve">Steam from Natural Gas Boiler </t>
  </si>
  <si>
    <t>e/GJ</t>
  </si>
  <si>
    <t>e/m3</t>
  </si>
  <si>
    <t>CEMCAP</t>
  </si>
  <si>
    <t>Natural Gas</t>
  </si>
  <si>
    <t>Mineral-Serpentine</t>
  </si>
  <si>
    <t>HE2-cooling</t>
  </si>
  <si>
    <t>HE4-heating</t>
  </si>
  <si>
    <t>USD/t</t>
  </si>
  <si>
    <t xml:space="preserve">Make-up NH4HSO4 </t>
  </si>
  <si>
    <t>kg/h</t>
  </si>
  <si>
    <t>transport truck</t>
  </si>
  <si>
    <t>transport train</t>
  </si>
  <si>
    <t>km</t>
  </si>
  <si>
    <t>Plant runs 24 hours a day, 3 shifts 
around the clock</t>
  </si>
  <si>
    <t>Number of working days</t>
  </si>
  <si>
    <t>Assume 20 days downtime</t>
  </si>
  <si>
    <t>days</t>
  </si>
  <si>
    <t>M4- Regression Values</t>
  </si>
  <si>
    <t>Capcity of cement plant_old</t>
  </si>
  <si>
    <t>MgSO4 Production Goal</t>
  </si>
  <si>
    <t>Use the yearly target of 70000 tonne/yearr, which is 23972.6 kmol/ 3 hours, calculate the inlet Mg3Si2O5/(OH)4 required, and it is 383.6 kmol/3 hours
According to stoichiometry, the acid required is 383.6 X 6 = 2301.8 kmol/ 3 hours
Estimate excess of acid of 40%, which means that there will be 2301.8 X 40% of acid comes from S19</t>
  </si>
  <si>
    <t>Here the Temp is 100°C and the extreaction refficiency is 100%, 1.4M NH4HSO4</t>
  </si>
  <si>
    <t>Stoechemetry</t>
  </si>
  <si>
    <t>Reaction (100%)</t>
  </si>
  <si>
    <t>Density water</t>
  </si>
  <si>
    <t>kg/l</t>
  </si>
  <si>
    <t>mol /L</t>
  </si>
  <si>
    <t>NH4HSO4 concentration</t>
  </si>
  <si>
    <t>Recycling factor</t>
  </si>
  <si>
    <t>Mineral purity</t>
  </si>
  <si>
    <t>Assume 10% of water is carried in the stream 7</t>
  </si>
  <si>
    <t>Excess Acid</t>
  </si>
  <si>
    <t>Assume 10% of water is carried in the stream 11</t>
  </si>
  <si>
    <t>Assume 0.10% of water is carried in the stream 15</t>
  </si>
  <si>
    <t>NH3OH conc</t>
  </si>
  <si>
    <t>mol/L</t>
  </si>
  <si>
    <t>outgoing product</t>
  </si>
  <si>
    <t>Input S8</t>
  </si>
  <si>
    <t>Input S24</t>
  </si>
  <si>
    <t>Input S12</t>
  </si>
  <si>
    <t>Input S25</t>
  </si>
  <si>
    <t>Output Stream 18</t>
  </si>
  <si>
    <t>Output Stream 23</t>
  </si>
  <si>
    <t>Input S22</t>
  </si>
  <si>
    <t>NH4OH+CO2 =&gt; NH4HCO3 aq</t>
  </si>
  <si>
    <t>Input S26</t>
  </si>
  <si>
    <t>Flue gas</t>
  </si>
  <si>
    <t>S20</t>
  </si>
  <si>
    <t xml:space="preserve"> </t>
  </si>
  <si>
    <t>kmol/h</t>
  </si>
  <si>
    <t>NH4HCO3 (ABC)</t>
  </si>
  <si>
    <t>(NH4)2SO4 (AS)</t>
  </si>
  <si>
    <t xml:space="preserve">NH4HSO4 (ABC) </t>
  </si>
  <si>
    <t>R1 out (S6)</t>
  </si>
  <si>
    <t>R2 out (S10)</t>
  </si>
  <si>
    <t>Total Input S9</t>
  </si>
  <si>
    <t>R3 in (S13)</t>
  </si>
  <si>
    <t>R2 in (S9)</t>
  </si>
  <si>
    <t>R3 out (S14)</t>
  </si>
  <si>
    <t>EV  in (S16)</t>
  </si>
  <si>
    <t>EV  out dry (S17)</t>
  </si>
  <si>
    <t>EV  out wet (S20)</t>
  </si>
  <si>
    <t>Solvent regeneration in (S17)</t>
  </si>
  <si>
    <t>Solvent regeneration out gas phase (S23)</t>
  </si>
  <si>
    <t>Solvent regeneration out solid phase (S18)</t>
  </si>
  <si>
    <t>R1 in (S5 &amp; S19)</t>
  </si>
  <si>
    <t>Water in Adsorption ABC (S22)</t>
  </si>
  <si>
    <t>CO2 Capture in liquid (S24)</t>
  </si>
  <si>
    <t xml:space="preserve">CO2 Capture in gas </t>
  </si>
  <si>
    <t xml:space="preserve">CO2 Capture out (S26) </t>
  </si>
  <si>
    <t>Labels</t>
  </si>
  <si>
    <t>CO2 capture gas</t>
  </si>
  <si>
    <t>CO2 capture out (S26)</t>
  </si>
  <si>
    <t>Compound</t>
  </si>
  <si>
    <t>e-value</t>
  </si>
  <si>
    <t>500-1700</t>
  </si>
  <si>
    <t>NIST Webbook</t>
  </si>
  <si>
    <t>298. - 1200</t>
  </si>
  <si>
    <t xml:space="preserve">298. - 1400. </t>
  </si>
  <si>
    <t>kmol/a</t>
  </si>
  <si>
    <t>SIO2</t>
  </si>
  <si>
    <t>298. - 847.</t>
  </si>
  <si>
    <t>298. - 1500.</t>
  </si>
  <si>
    <t>MgCO3</t>
  </si>
  <si>
    <t>298. - 1000.</t>
  </si>
  <si>
    <t>https://www.chegg.com/homework-help/questions-and-answers/1-heat-formation-mgco3-s-10958-kj-mol-correct-chemical-equation-describing-heat-reaction---q16869359#:~:text=Question%3A%201.,Is%20%2D1095.8%20KJ%2Fmol.</t>
  </si>
  <si>
    <t>S23</t>
  </si>
  <si>
    <t>Mineral Purity</t>
  </si>
  <si>
    <t>Density Magensium Carbonate</t>
  </si>
  <si>
    <t>ASME maximal allowable stress in Pa, SS</t>
  </si>
  <si>
    <t>Max. reactor size R1</t>
  </si>
  <si>
    <t>Max. reactor size R2</t>
  </si>
  <si>
    <t>Max. reactor size R3</t>
  </si>
  <si>
    <t>Outside temperature</t>
  </si>
  <si>
    <t>Wall thickness centrifuge</t>
  </si>
  <si>
    <t>Speed centrifuge</t>
  </si>
  <si>
    <t>rpm</t>
  </si>
  <si>
    <t>https://www.alibaba.com/product-detail/High-Purity-and-Top-Quality-7681_62574950815.html?spm=a2700.galleryofferlist.normal_offer.d_title.1bfb4fbeSUNN6S</t>
  </si>
  <si>
    <t>NH4OH (25%)</t>
  </si>
  <si>
    <t>https://www.alibaba.com/product-detail/Industrial-Chemical-Ammonium-Hydroxide-NH4OH-Aqueous_1600154063665.html?spm=a2700.galleryofferlist.normal_offer.d_image.79565ce8uAT7lG</t>
  </si>
  <si>
    <t>Carbonation Eff. (MgCO3, yield)</t>
  </si>
  <si>
    <t>R1-Converstion Rate (MgSO4 yield)</t>
  </si>
  <si>
    <t>R2-Dilution/Impurities Removal Rate (FeO3 yield)</t>
  </si>
  <si>
    <t>MgS04 leaching reaction constant</t>
  </si>
  <si>
    <t>MgCO3 reaction constant</t>
  </si>
  <si>
    <t>time_PH adjustment</t>
  </si>
  <si>
    <t>Ratio in Wan 2013</t>
  </si>
  <si>
    <t>Ratio here..</t>
  </si>
  <si>
    <t>Additive Recycling factor</t>
  </si>
  <si>
    <t>Amonia hydoxide content in solution</t>
  </si>
  <si>
    <t>price cement</t>
  </si>
  <si>
    <t>€/t</t>
  </si>
  <si>
    <t>price ETS</t>
  </si>
  <si>
    <t>H2O(g)</t>
  </si>
  <si>
    <t>Silica content</t>
  </si>
  <si>
    <t>Inert blending rate</t>
  </si>
  <si>
    <t>Process water</t>
  </si>
  <si>
    <t>Statista</t>
  </si>
  <si>
    <t>Electricity grid emission [kgCO2/MWh]</t>
  </si>
  <si>
    <t>Natural gas emission [kgCO2/MWh]</t>
  </si>
  <si>
    <t xml:space="preserve"> Mining Mineral (kWh / tmineral)</t>
  </si>
  <si>
    <t>Water kgCO2/ t</t>
  </si>
  <si>
    <t>NaHCO3 kgCO2/t</t>
  </si>
  <si>
    <t>NaCl kgCO2/t</t>
  </si>
  <si>
    <t>MEA kCO2/t</t>
  </si>
  <si>
    <t>Construction kgCO2/1000tCO2caputred</t>
  </si>
  <si>
    <t>Cement production kgCO2/t</t>
  </si>
  <si>
    <t>(NH4)2SO4 kgCO2/t</t>
  </si>
  <si>
    <t>Transport Emission (Train kgCO2/km*t)</t>
  </si>
  <si>
    <t>Transport Emissions (Truck kgCO2/km*t)</t>
  </si>
  <si>
    <t>[kgCO2/MWh]</t>
  </si>
  <si>
    <t>kgCO2/km*t</t>
  </si>
  <si>
    <t>kWh / tmineral</t>
  </si>
  <si>
    <t>kgCO2/ t</t>
  </si>
  <si>
    <t>kgCO2/ktCO2caputred</t>
  </si>
  <si>
    <t xml:space="preserve"> kgCO2/t</t>
  </si>
  <si>
    <t>kgCO2/t</t>
  </si>
  <si>
    <t>distance storage</t>
  </si>
  <si>
    <t>CEMCAP-Owner's cost</t>
  </si>
  <si>
    <t>Number of plants for NOAK</t>
  </si>
  <si>
    <t>Learning rate</t>
  </si>
  <si>
    <t>construction time</t>
  </si>
  <si>
    <t>distance mineral</t>
  </si>
  <si>
    <t xml:space="preserve">transport ship </t>
  </si>
  <si>
    <t>Transport Ship (Train kgCO2/km*t)</t>
  </si>
  <si>
    <t>S/L ratio</t>
  </si>
  <si>
    <t>Assumptions for Sensitivity Study</t>
  </si>
  <si>
    <t>Nr</t>
  </si>
  <si>
    <t>Describtion</t>
  </si>
  <si>
    <t xml:space="preserve">Start value </t>
  </si>
  <si>
    <t>minimum (-75%)</t>
  </si>
  <si>
    <t>maximum (+200%) or boundary</t>
  </si>
  <si>
    <t>Where to find in the Matlab input sheet? (Array Number I#)</t>
  </si>
  <si>
    <t>should Sensitivty Analysis be performed?</t>
  </si>
  <si>
    <t>Recycling of Additives &amp; Water</t>
  </si>
  <si>
    <t>Yes</t>
  </si>
  <si>
    <t>k_{reaction}</t>
  </si>
  <si>
    <t>For How many variables?</t>
  </si>
  <si>
    <t>P_{reaction}</t>
  </si>
  <si>
    <t>T_{reaction}</t>
  </si>
  <si>
    <t>Yield</t>
  </si>
  <si>
    <t>X_{S/L}</t>
  </si>
  <si>
    <t xml:space="preserve">No of plants </t>
  </si>
  <si>
    <t>Contingencies</t>
  </si>
  <si>
    <t>interest rate</t>
  </si>
  <si>
    <t>t_{operating}</t>
  </si>
  <si>
    <t>π_{electricity}</t>
  </si>
  <si>
    <t>π_{natural gas}</t>
  </si>
  <si>
    <t>π_{mineral}</t>
  </si>
  <si>
    <t>π_{NaHCO_{3}}</t>
  </si>
  <si>
    <t>π_{NaCl}</t>
  </si>
  <si>
    <t>π_{MEA}</t>
  </si>
  <si>
    <t>π_{(NH_{4})_{2}SO_{4}}</t>
  </si>
  <si>
    <t>Silica content in SCM_{CCU}</t>
  </si>
  <si>
    <t>Transport distance</t>
  </si>
  <si>
    <t>π_{cement}</t>
  </si>
  <si>
    <t>π_{ETS}</t>
  </si>
  <si>
    <t>(Postition M~(#,~))</t>
  </si>
  <si>
    <t>(Postition M~(~,#))</t>
  </si>
  <si>
    <t>€/km trocks</t>
  </si>
  <si>
    <t>€/Mwh</t>
  </si>
  <si>
    <t>€/m3</t>
  </si>
  <si>
    <t>€/MWh</t>
  </si>
  <si>
    <t>R1-Hours</t>
  </si>
  <si>
    <t>Please add the values for the fields marked in red!!!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</si>
</sst>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"/>
    <numFmt numFmtId="167" formatCode="0.000000000"/>
    <numFmt numFmtId="168" formatCode="0.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26"/>
      <color theme="1"/>
      <name val="Ayuthaya"/>
      <family val="2"/>
      <charset val="22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3"/>
      <color rgb="FF000000"/>
      <name val="Arial"/>
      <family val="2"/>
    </font>
    <font>
      <sz val="11"/>
      <color rgb="FF9C5700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1"/>
      <color rgb="FF3F3F3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</borders>
  <cellStyleXfs count="8">
    <xf numFmtId="0" fontId="0" fillId="0" borderId="0"/>
    <xf numFmtId="0" fontId="13" fillId="0" borderId="0" applyNumberFormat="0" applyFill="0" applyBorder="0" applyAlignment="0" applyProtection="0"/>
    <xf numFmtId="0" fontId="18" fillId="9" borderId="16" applyNumberFormat="0" applyAlignment="0" applyProtection="0"/>
    <xf numFmtId="0" fontId="17" fillId="10" borderId="17" applyNumberFormat="0" applyFont="0" applyAlignment="0" applyProtection="0"/>
    <xf numFmtId="0" fontId="19" fillId="11" borderId="0" applyNumberFormat="0" applyBorder="0" applyAlignment="0" applyProtection="0"/>
    <xf numFmtId="0" fontId="1" fillId="0" borderId="0"/>
    <xf numFmtId="9" fontId="17" fillId="0" borderId="0" applyFont="0" applyFill="0" applyBorder="0" applyAlignment="0" applyProtection="0"/>
    <xf numFmtId="0" fontId="22" fillId="13" borderId="0" applyNumberFormat="0" applyBorder="0" applyAlignment="0" applyProtection="0"/>
  </cellStyleXfs>
  <cellXfs count="294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13" fillId="0" borderId="0" xfId="1"/>
    <xf numFmtId="0" fontId="13" fillId="0" borderId="0" xfId="1" applyAlignment="1">
      <alignment vertical="center"/>
    </xf>
    <xf numFmtId="0" fontId="6" fillId="6" borderId="9" xfId="0" applyFont="1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2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vertical="center"/>
    </xf>
    <xf numFmtId="164" fontId="0" fillId="5" borderId="0" xfId="0" applyNumberFormat="1" applyFill="1" applyAlignment="1">
      <alignment horizontal="center" vertical="center"/>
    </xf>
    <xf numFmtId="0" fontId="6" fillId="7" borderId="9" xfId="0" applyFont="1" applyFill="1" applyBorder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vertical="center"/>
    </xf>
    <xf numFmtId="164" fontId="0" fillId="5" borderId="7" xfId="0" applyNumberForma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11" xfId="0" quotePrefix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9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10" borderId="17" xfId="3" applyFont="1" applyAlignment="1">
      <alignment horizontal="center" vertical="center"/>
    </xf>
    <xf numFmtId="165" fontId="0" fillId="10" borderId="17" xfId="3" applyNumberFormat="1" applyFont="1" applyAlignment="1">
      <alignment horizontal="center" vertical="center"/>
    </xf>
    <xf numFmtId="2" fontId="0" fillId="10" borderId="17" xfId="3" applyNumberFormat="1" applyFont="1" applyAlignment="1">
      <alignment horizontal="center" vertical="center"/>
    </xf>
    <xf numFmtId="168" fontId="0" fillId="10" borderId="17" xfId="3" applyNumberFormat="1" applyFont="1" applyAlignment="1">
      <alignment horizontal="center" vertical="center"/>
    </xf>
    <xf numFmtId="0" fontId="18" fillId="9" borderId="16" xfId="2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17" xfId="3" applyFont="1" applyBorder="1" applyAlignment="1">
      <alignment horizontal="center" vertical="center"/>
    </xf>
    <xf numFmtId="165" fontId="0" fillId="10" borderId="17" xfId="3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0" fontId="18" fillId="9" borderId="16" xfId="2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0" borderId="14" xfId="0" applyBorder="1"/>
    <xf numFmtId="0" fontId="0" fillId="0" borderId="2" xfId="0" applyBorder="1"/>
    <xf numFmtId="0" fontId="0" fillId="0" borderId="4" xfId="0" applyBorder="1"/>
    <xf numFmtId="0" fontId="19" fillId="11" borderId="0" xfId="4" applyBorder="1"/>
    <xf numFmtId="0" fontId="19" fillId="11" borderId="3" xfId="4" applyBorder="1" applyAlignment="1">
      <alignment horizontal="center" vertical="center"/>
    </xf>
    <xf numFmtId="2" fontId="19" fillId="11" borderId="0" xfId="4" applyNumberFormat="1" applyBorder="1"/>
    <xf numFmtId="9" fontId="19" fillId="11" borderId="0" xfId="4" applyNumberFormat="1" applyBorder="1"/>
    <xf numFmtId="0" fontId="19" fillId="11" borderId="7" xfId="4" applyBorder="1"/>
    <xf numFmtId="0" fontId="19" fillId="11" borderId="19" xfId="4" applyBorder="1" applyAlignment="1">
      <alignment horizontal="center" vertical="center"/>
    </xf>
    <xf numFmtId="9" fontId="19" fillId="11" borderId="7" xfId="4" applyNumberFormat="1" applyBorder="1"/>
    <xf numFmtId="0" fontId="19" fillId="11" borderId="8" xfId="4" applyBorder="1"/>
    <xf numFmtId="0" fontId="19" fillId="11" borderId="21" xfId="4" applyBorder="1" applyAlignment="1">
      <alignment horizontal="center" vertical="center"/>
    </xf>
    <xf numFmtId="2" fontId="19" fillId="11" borderId="8" xfId="4" applyNumberFormat="1" applyBorder="1"/>
    <xf numFmtId="9" fontId="19" fillId="11" borderId="8" xfId="4" applyNumberFormat="1" applyBorder="1"/>
    <xf numFmtId="0" fontId="19" fillId="11" borderId="0" xfId="4" applyBorder="1" applyAlignment="1"/>
    <xf numFmtId="2" fontId="19" fillId="11" borderId="7" xfId="4" applyNumberFormat="1" applyBorder="1"/>
    <xf numFmtId="0" fontId="0" fillId="2" borderId="1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/>
    <xf numFmtId="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 vertical="center"/>
    </xf>
    <xf numFmtId="0" fontId="0" fillId="12" borderId="0" xfId="0" applyFill="1"/>
    <xf numFmtId="0" fontId="0" fillId="7" borderId="0" xfId="0" applyFill="1"/>
    <xf numFmtId="165" fontId="0" fillId="12" borderId="4" xfId="0" applyNumberFormat="1" applyFill="1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0" fontId="21" fillId="0" borderId="0" xfId="0" applyFont="1"/>
    <xf numFmtId="0" fontId="18" fillId="9" borderId="22" xfId="2" applyBorder="1" applyAlignment="1">
      <alignment wrapText="1"/>
    </xf>
    <xf numFmtId="0" fontId="18" fillId="9" borderId="23" xfId="2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0" fontId="18" fillId="9" borderId="24" xfId="2" applyBorder="1" applyAlignment="1">
      <alignment wrapText="1"/>
    </xf>
    <xf numFmtId="0" fontId="0" fillId="0" borderId="25" xfId="0" applyBorder="1" applyAlignment="1">
      <alignment horizontal="center" vertical="center"/>
    </xf>
    <xf numFmtId="0" fontId="18" fillId="9" borderId="11" xfId="2" applyBorder="1"/>
    <xf numFmtId="0" fontId="18" fillId="9" borderId="11" xfId="2" applyBorder="1" applyAlignment="1">
      <alignment vertical="center"/>
    </xf>
    <xf numFmtId="0" fontId="18" fillId="9" borderId="11" xfId="2" applyBorder="1" applyAlignment="1">
      <alignment vertical="center" wrapText="1"/>
    </xf>
    <xf numFmtId="0" fontId="18" fillId="9" borderId="11" xfId="2" applyBorder="1" applyAlignment="1">
      <alignment horizontal="left" vertical="center" wrapText="1"/>
    </xf>
    <xf numFmtId="0" fontId="22" fillId="13" borderId="11" xfId="7" applyBorder="1" applyAlignment="1">
      <alignment horizontal="right"/>
    </xf>
    <xf numFmtId="0" fontId="18" fillId="9" borderId="16" xfId="2"/>
    <xf numFmtId="0" fontId="18" fillId="9" borderId="11" xfId="2" applyBorder="1" applyAlignment="1">
      <alignment wrapText="1"/>
    </xf>
    <xf numFmtId="0" fontId="18" fillId="9" borderId="11" xfId="2" applyBorder="1" applyAlignment="1">
      <alignment horizontal="left" vertical="center"/>
    </xf>
    <xf numFmtId="3" fontId="0" fillId="0" borderId="11" xfId="0" applyNumberFormat="1" applyBorder="1"/>
    <xf numFmtId="0" fontId="0" fillId="0" borderId="11" xfId="0" applyBorder="1" applyAlignment="1">
      <alignment wrapText="1"/>
    </xf>
    <xf numFmtId="0" fontId="22" fillId="13" borderId="11" xfId="7" applyBorder="1"/>
    <xf numFmtId="0" fontId="18" fillId="9" borderId="26" xfId="2" applyBorder="1"/>
    <xf numFmtId="0" fontId="18" fillId="9" borderId="27" xfId="2" applyBorder="1"/>
    <xf numFmtId="0" fontId="1" fillId="14" borderId="11" xfId="5" applyFill="1" applyBorder="1"/>
    <xf numFmtId="0" fontId="0" fillId="14" borderId="11" xfId="0" applyFill="1" applyBorder="1"/>
    <xf numFmtId="165" fontId="0" fillId="0" borderId="0" xfId="0" applyNumberFormat="1"/>
    <xf numFmtId="0" fontId="24" fillId="9" borderId="16" xfId="2" applyFont="1"/>
    <xf numFmtId="0" fontId="18" fillId="9" borderId="22" xfId="2" applyBorder="1"/>
    <xf numFmtId="0" fontId="0" fillId="14" borderId="28" xfId="0" applyFill="1" applyBorder="1"/>
    <xf numFmtId="0" fontId="0" fillId="14" borderId="25" xfId="0" applyFill="1" applyBorder="1"/>
    <xf numFmtId="9" fontId="0" fillId="0" borderId="11" xfId="0" applyNumberFormat="1" applyBorder="1"/>
    <xf numFmtId="2" fontId="0" fillId="0" borderId="11" xfId="0" applyNumberFormat="1" applyBorder="1"/>
    <xf numFmtId="0" fontId="1" fillId="0" borderId="0" xfId="5"/>
    <xf numFmtId="0" fontId="10" fillId="15" borderId="0" xfId="0" applyFont="1" applyFill="1" applyAlignment="1">
      <alignment vertical="center"/>
    </xf>
    <xf numFmtId="0" fontId="18" fillId="9" borderId="35" xfId="2" applyBorder="1" applyAlignment="1">
      <alignment horizontal="left" vertical="center"/>
    </xf>
    <xf numFmtId="0" fontId="18" fillId="9" borderId="16" xfId="2" applyBorder="1" applyAlignment="1">
      <alignment horizontal="left" vertical="center"/>
    </xf>
    <xf numFmtId="0" fontId="18" fillId="9" borderId="36" xfId="2" applyBorder="1" applyAlignment="1">
      <alignment horizontal="center" vertical="center"/>
    </xf>
    <xf numFmtId="0" fontId="0" fillId="0" borderId="4" xfId="0" quotePrefix="1" applyBorder="1"/>
    <xf numFmtId="0" fontId="18" fillId="9" borderId="37" xfId="2" applyBorder="1" applyAlignment="1">
      <alignment horizontal="left" vertical="center"/>
    </xf>
    <xf numFmtId="0" fontId="18" fillId="9" borderId="38" xfId="2" applyBorder="1" applyAlignment="1">
      <alignment horizontal="left" vertical="center"/>
    </xf>
    <xf numFmtId="0" fontId="0" fillId="0" borderId="15" xfId="0" applyBorder="1"/>
    <xf numFmtId="0" fontId="0" fillId="0" borderId="6" xfId="0" applyBorder="1"/>
    <xf numFmtId="0" fontId="18" fillId="9" borderId="38" xfId="2" applyBorder="1" applyAlignment="1">
      <alignment horizontal="center" vertical="center"/>
    </xf>
    <xf numFmtId="0" fontId="18" fillId="9" borderId="35" xfId="2" applyNumberFormat="1" applyBorder="1" applyAlignment="1">
      <alignment horizontal="left" vertical="center"/>
    </xf>
    <xf numFmtId="0" fontId="18" fillId="9" borderId="16" xfId="2" applyBorder="1" applyAlignment="1">
      <alignment horizontal="center" vertical="center" wrapText="1"/>
    </xf>
    <xf numFmtId="0" fontId="18" fillId="9" borderId="37" xfId="2" applyNumberFormat="1" applyBorder="1" applyAlignment="1">
      <alignment horizontal="left" vertical="center"/>
    </xf>
    <xf numFmtId="0" fontId="18" fillId="9" borderId="39" xfId="2" applyBorder="1" applyAlignment="1">
      <alignment horizontal="center" vertical="center"/>
    </xf>
    <xf numFmtId="0" fontId="18" fillId="9" borderId="35" xfId="2" applyBorder="1" applyAlignment="1">
      <alignment horizontal="center" vertical="center"/>
    </xf>
    <xf numFmtId="0" fontId="18" fillId="9" borderId="36" xfId="2" applyBorder="1" applyAlignment="1">
      <alignment vertical="center"/>
    </xf>
    <xf numFmtId="1" fontId="18" fillId="9" borderId="35" xfId="2" applyNumberFormat="1" applyBorder="1" applyAlignment="1">
      <alignment horizontal="center" vertical="center"/>
    </xf>
    <xf numFmtId="166" fontId="18" fillId="9" borderId="16" xfId="2" applyNumberFormat="1" applyBorder="1" applyAlignment="1">
      <alignment horizontal="center" vertical="center" wrapText="1"/>
    </xf>
    <xf numFmtId="0" fontId="18" fillId="9" borderId="37" xfId="2" applyBorder="1" applyAlignment="1">
      <alignment horizontal="center" vertical="center"/>
    </xf>
    <xf numFmtId="0" fontId="18" fillId="9" borderId="38" xfId="2" applyBorder="1" applyAlignment="1">
      <alignment horizontal="center" vertical="center" wrapText="1"/>
    </xf>
    <xf numFmtId="0" fontId="18" fillId="9" borderId="39" xfId="2" applyBorder="1" applyAlignment="1">
      <alignment vertical="center"/>
    </xf>
    <xf numFmtId="0" fontId="18" fillId="9" borderId="22" xfId="2" applyBorder="1" applyAlignment="1">
      <alignment horizontal="center" vertical="center"/>
    </xf>
    <xf numFmtId="0" fontId="18" fillId="9" borderId="16" xfId="2" applyBorder="1" applyAlignment="1">
      <alignment horizontal="left"/>
    </xf>
    <xf numFmtId="0" fontId="10" fillId="15" borderId="0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0" fillId="14" borderId="0" xfId="0" applyFill="1"/>
    <xf numFmtId="0" fontId="10" fillId="14" borderId="0" xfId="0" applyFont="1" applyFill="1" applyAlignment="1">
      <alignment vertical="center"/>
    </xf>
    <xf numFmtId="0" fontId="10" fillId="14" borderId="0" xfId="0" applyFont="1" applyFill="1"/>
    <xf numFmtId="9" fontId="10" fillId="14" borderId="0" xfId="6" applyFont="1" applyFill="1"/>
    <xf numFmtId="9" fontId="10" fillId="14" borderId="0" xfId="6" applyFont="1" applyFill="1" applyAlignment="1">
      <alignment vertical="center"/>
    </xf>
    <xf numFmtId="0" fontId="15" fillId="14" borderId="0" xfId="0" applyFont="1" applyFill="1" applyAlignment="1">
      <alignment vertical="center"/>
    </xf>
    <xf numFmtId="0" fontId="10" fillId="14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left" vertical="center"/>
    </xf>
    <xf numFmtId="0" fontId="10" fillId="14" borderId="0" xfId="0" applyFont="1" applyFill="1" applyAlignment="1">
      <alignment horizontal="center" vertical="center"/>
    </xf>
    <xf numFmtId="0" fontId="10" fillId="14" borderId="0" xfId="0" applyNumberFormat="1" applyFont="1" applyFill="1" applyAlignment="1">
      <alignment horizontal="left" vertical="center"/>
    </xf>
    <xf numFmtId="2" fontId="10" fillId="14" borderId="0" xfId="0" applyNumberFormat="1" applyFont="1" applyFill="1" applyAlignment="1">
      <alignment horizontal="center" vertical="center"/>
    </xf>
    <xf numFmtId="11" fontId="10" fillId="14" borderId="0" xfId="0" applyNumberFormat="1" applyFont="1" applyFill="1" applyAlignment="1">
      <alignment horizontal="center" vertical="center"/>
    </xf>
    <xf numFmtId="0" fontId="20" fillId="14" borderId="0" xfId="0" applyFont="1" applyFill="1" applyAlignment="1">
      <alignment vertical="center" wrapText="1"/>
    </xf>
    <xf numFmtId="0" fontId="15" fillId="14" borderId="0" xfId="0" applyFont="1" applyFill="1" applyAlignment="1">
      <alignment horizontal="center" vertical="center"/>
    </xf>
    <xf numFmtId="0" fontId="0" fillId="14" borderId="0" xfId="0" applyFill="1" applyAlignment="1"/>
    <xf numFmtId="0" fontId="15" fillId="14" borderId="0" xfId="0" applyNumberFormat="1" applyFont="1" applyFill="1" applyAlignment="1">
      <alignment horizontal="left" vertical="center"/>
    </xf>
    <xf numFmtId="0" fontId="19" fillId="11" borderId="20" xfId="4" applyBorder="1" applyAlignment="1">
      <alignment horizontal="center" vertical="center" wrapText="1"/>
    </xf>
    <xf numFmtId="0" fontId="19" fillId="11" borderId="4" xfId="4" applyBorder="1" applyAlignment="1">
      <alignment horizontal="center" vertical="center" wrapText="1"/>
    </xf>
    <xf numFmtId="0" fontId="19" fillId="11" borderId="18" xfId="4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11" borderId="20" xfId="4" applyBorder="1" applyAlignment="1">
      <alignment horizontal="center" vertical="center"/>
    </xf>
    <xf numFmtId="0" fontId="19" fillId="11" borderId="4" xfId="4" applyBorder="1" applyAlignment="1">
      <alignment horizontal="center" vertical="center"/>
    </xf>
    <xf numFmtId="0" fontId="19" fillId="11" borderId="18" xfId="4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10" borderId="17" xfId="3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10" borderId="17" xfId="3" applyFont="1" applyBorder="1" applyAlignment="1">
      <alignment horizontal="center" vertical="center"/>
    </xf>
    <xf numFmtId="0" fontId="1" fillId="0" borderId="0" xfId="5"/>
    <xf numFmtId="0" fontId="0" fillId="0" borderId="4" xfId="0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8" fillId="9" borderId="16" xfId="2" applyBorder="1" applyAlignment="1">
      <alignment horizontal="center" vertical="center" wrapText="1"/>
    </xf>
    <xf numFmtId="0" fontId="18" fillId="9" borderId="38" xfId="2" applyBorder="1" applyAlignment="1">
      <alignment horizontal="center" vertical="center" wrapText="1"/>
    </xf>
    <xf numFmtId="0" fontId="18" fillId="9" borderId="32" xfId="2" applyBorder="1" applyAlignment="1">
      <alignment horizontal="center" vertical="center"/>
    </xf>
    <xf numFmtId="0" fontId="18" fillId="9" borderId="33" xfId="2" applyBorder="1" applyAlignment="1">
      <alignment horizontal="center" vertical="center"/>
    </xf>
    <xf numFmtId="0" fontId="18" fillId="9" borderId="34" xfId="2" applyBorder="1" applyAlignment="1">
      <alignment horizontal="center" vertical="center"/>
    </xf>
    <xf numFmtId="0" fontId="18" fillId="9" borderId="40" xfId="2" applyBorder="1" applyAlignment="1">
      <alignment horizontal="center" vertical="center"/>
    </xf>
    <xf numFmtId="0" fontId="18" fillId="9" borderId="16" xfId="2" applyBorder="1" applyAlignment="1">
      <alignment horizontal="center" vertical="center"/>
    </xf>
    <xf numFmtId="0" fontId="18" fillId="9" borderId="36" xfId="2" applyBorder="1" applyAlignment="1">
      <alignment horizontal="center" vertical="center"/>
    </xf>
    <xf numFmtId="0" fontId="11" fillId="0" borderId="0" xfId="0" quotePrefix="1" applyFont="1" applyFill="1" applyAlignment="1">
      <alignment horizontal="left" vertical="center" wrapText="1"/>
    </xf>
    <xf numFmtId="0" fontId="18" fillId="9" borderId="16" xfId="2" applyBorder="1" applyAlignment="1">
      <alignment horizontal="left" vertical="center"/>
    </xf>
    <xf numFmtId="0" fontId="23" fillId="9" borderId="29" xfId="2" applyFont="1" applyBorder="1" applyAlignment="1">
      <alignment horizontal="center"/>
    </xf>
    <xf numFmtId="0" fontId="23" fillId="9" borderId="30" xfId="2" applyFont="1" applyBorder="1" applyAlignment="1">
      <alignment horizontal="center"/>
    </xf>
    <xf numFmtId="0" fontId="23" fillId="9" borderId="31" xfId="2" applyFont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1" fillId="0" borderId="0" xfId="0" quotePrefix="1" applyFont="1" applyFill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3" fillId="0" borderId="12" xfId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3" fillId="0" borderId="12" xfId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</cellXfs>
  <cellStyles count="8">
    <cellStyle name="Akzent1" xfId="4" builtinId="29"/>
    <cellStyle name="Ausgabe" xfId="2" builtinId="21"/>
    <cellStyle name="Link" xfId="1" builtinId="8"/>
    <cellStyle name="Neutral" xfId="7" builtinId="28"/>
    <cellStyle name="Notiz" xfId="3" builtinId="10"/>
    <cellStyle name="Prozent" xfId="6" builtinId="5"/>
    <cellStyle name="Standard" xfId="0" builtinId="0"/>
    <cellStyle name="Standard 2" xfId="5" xr:uid="{00000000-0005-0000-0000-000005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</xdr:colOff>
      <xdr:row>2</xdr:row>
      <xdr:rowOff>99060</xdr:rowOff>
    </xdr:from>
    <xdr:ext cx="502297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47A4AC6-D69B-3149-9B06-BF53BF5B9A56}"/>
                </a:ext>
              </a:extLst>
            </xdr:cNvPr>
            <xdr:cNvSpPr txBox="1"/>
          </xdr:nvSpPr>
          <xdr:spPr>
            <a:xfrm>
              <a:off x="695960" y="480060"/>
              <a:ext cx="5022978" cy="187872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𝑀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5 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. 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𝑂𝐻</m:t>
                            </m:r>
                          </m:e>
                        </m:d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+6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𝐻𝑆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→3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𝑀𝑔𝑆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𝑆𝑖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+5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47A4AC6-D69B-3149-9B06-BF53BF5B9A56}"/>
                </a:ext>
              </a:extLst>
            </xdr:cNvPr>
            <xdr:cNvSpPr txBox="1"/>
          </xdr:nvSpPr>
          <xdr:spPr>
            <a:xfrm>
              <a:off x="695960" y="480060"/>
              <a:ext cx="5022978" cy="187872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𝑀𝑔_3 𝑆𝑖_2 𝑂_(5 ). (𝑂𝐻)_4+6𝑁𝐻_4 𝐻𝑆𝑂_4→3𝑀𝑔𝑆𝑂_4+2𝑆𝑖𝑂_2+5𝐻_2 𝑂+3(𝑁𝐻_4 )_2 𝑆𝑂_4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252961</xdr:colOff>
      <xdr:row>36</xdr:row>
      <xdr:rowOff>76200</xdr:rowOff>
    </xdr:from>
    <xdr:ext cx="30384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E274D3B-CE20-EA48-8BDC-C21B61020ADB}"/>
                </a:ext>
              </a:extLst>
            </xdr:cNvPr>
            <xdr:cNvSpPr txBox="1"/>
          </xdr:nvSpPr>
          <xdr:spPr>
            <a:xfrm>
              <a:off x="926061" y="6959600"/>
              <a:ext cx="3038460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 −(1)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E274D3B-CE20-EA48-8BDC-C21B61020ADB}"/>
                </a:ext>
              </a:extLst>
            </xdr:cNvPr>
            <xdr:cNvSpPr txBox="1"/>
          </xdr:nvSpPr>
          <xdr:spPr>
            <a:xfrm>
              <a:off x="926061" y="6959600"/>
              <a:ext cx="3038460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𝑁𝐻_4 𝐻𝑆𝑂_4+𝑁𝐻_4 𝑂𝐻→(𝑁𝐻_4 )_2 𝑆𝑂_4+𝐻_2 𝑂  −(1)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37</xdr:row>
      <xdr:rowOff>109106</xdr:rowOff>
    </xdr:from>
    <xdr:ext cx="35434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6185F2-FBDD-B341-B44D-687AB0F60FA4}"/>
                </a:ext>
              </a:extLst>
            </xdr:cNvPr>
            <xdr:cNvSpPr txBox="1"/>
          </xdr:nvSpPr>
          <xdr:spPr>
            <a:xfrm>
              <a:off x="726440" y="7183006"/>
              <a:ext cx="3543406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𝑂𝐻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 −(2)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6185F2-FBDD-B341-B44D-687AB0F60FA4}"/>
                </a:ext>
              </a:extLst>
            </xdr:cNvPr>
            <xdr:cNvSpPr txBox="1"/>
          </xdr:nvSpPr>
          <xdr:spPr>
            <a:xfrm>
              <a:off x="726440" y="7183006"/>
              <a:ext cx="3543406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𝐹𝑒_2 (𝑆𝑂_4 )_3+6𝑁𝐻_4 𝑂𝐻→2𝐹𝑒(𝑂𝐻)_3+3(𝑁𝐻_4 )_2 𝑆𝑂_4   −(2)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74</xdr:row>
      <xdr:rowOff>99060</xdr:rowOff>
    </xdr:from>
    <xdr:ext cx="41914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615847-A55D-C445-83D4-77C1983385EB}"/>
                </a:ext>
              </a:extLst>
            </xdr:cNvPr>
            <xdr:cNvSpPr txBox="1"/>
          </xdr:nvSpPr>
          <xdr:spPr>
            <a:xfrm>
              <a:off x="673100" y="14221460"/>
              <a:ext cx="419146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𝑀𝑔𝑆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𝐻𝐶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𝑀𝑔𝐶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.3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C615847-A55D-C445-83D4-77C1983385EB}"/>
                </a:ext>
              </a:extLst>
            </xdr:cNvPr>
            <xdr:cNvSpPr txBox="1"/>
          </xdr:nvSpPr>
          <xdr:spPr>
            <a:xfrm>
              <a:off x="673100" y="14221460"/>
              <a:ext cx="419146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𝑀𝑔𝑆𝑂_4+2𝑁𝐻_4 𝐻𝐶𝑂_3+2𝐻_2 𝑂→𝑀𝑔𝐶𝑂_3.3𝐻_2 𝑂+(𝑁𝐻_4 )_2 𝑆𝑂_4+𝐶𝑂_2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134</xdr:row>
      <xdr:rowOff>129540</xdr:rowOff>
    </xdr:from>
    <xdr:ext cx="19138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85B0423-1007-8A47-9183-FC549D59561A}"/>
                </a:ext>
              </a:extLst>
            </xdr:cNvPr>
            <xdr:cNvSpPr txBox="1"/>
          </xdr:nvSpPr>
          <xdr:spPr>
            <a:xfrm>
              <a:off x="711200" y="25681940"/>
              <a:ext cx="1913857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SO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NH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HSO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NH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85B0423-1007-8A47-9183-FC549D59561A}"/>
                </a:ext>
              </a:extLst>
            </xdr:cNvPr>
            <xdr:cNvSpPr txBox="1"/>
          </xdr:nvSpPr>
          <xdr:spPr>
            <a:xfrm>
              <a:off x="711200" y="25681940"/>
              <a:ext cx="1913857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(𝑁𝐻_4 )_2 SO_4→NH_4 HSO_4+NH_3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176</xdr:row>
      <xdr:rowOff>76200</xdr:rowOff>
    </xdr:from>
    <xdr:ext cx="23069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1ED3D6-41AB-3A45-BE02-E20D17B15A8F}"/>
                </a:ext>
              </a:extLst>
            </xdr:cNvPr>
            <xdr:cNvSpPr txBox="1"/>
          </xdr:nvSpPr>
          <xdr:spPr>
            <a:xfrm>
              <a:off x="726440" y="33629600"/>
              <a:ext cx="2306914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𝑎𝑞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1ED3D6-41AB-3A45-BE02-E20D17B15A8F}"/>
                </a:ext>
              </a:extLst>
            </xdr:cNvPr>
            <xdr:cNvSpPr txBox="1"/>
          </xdr:nvSpPr>
          <xdr:spPr>
            <a:xfrm>
              <a:off x="726440" y="33629600"/>
              <a:ext cx="2306914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𝑁𝐻_4 𝐻𝑆𝑂_4 (𝑠)+𝐻_2 𝑂→𝑁𝐻_4 𝐻𝑆𝑂_4 (𝑎𝑞)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198</xdr:row>
      <xdr:rowOff>121920</xdr:rowOff>
    </xdr:from>
    <xdr:ext cx="20176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C16C91-0277-9D47-8C6B-02A356D7F6D1}"/>
                </a:ext>
              </a:extLst>
            </xdr:cNvPr>
            <xdr:cNvSpPr txBox="1"/>
          </xdr:nvSpPr>
          <xdr:spPr>
            <a:xfrm>
              <a:off x="711200" y="37866320"/>
              <a:ext cx="201766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𝐻𝐶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C16C91-0277-9D47-8C6B-02A356D7F6D1}"/>
                </a:ext>
              </a:extLst>
            </xdr:cNvPr>
            <xdr:cNvSpPr txBox="1"/>
          </xdr:nvSpPr>
          <xdr:spPr>
            <a:xfrm>
              <a:off x="711200" y="37866320"/>
              <a:ext cx="2017668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𝑁𝐻_3+𝐶𝑂_2+𝐻_2 𝑂→𝑁𝐻_4 𝐻𝐶𝑂_3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71feb59d7edd41e798c032c1d63de8dd&amp;ckck=1" TargetMode="External"/><Relationship Id="rId2" Type="http://schemas.openxmlformats.org/officeDocument/2006/relationships/hyperlink" Target="https://www.researchgate.net/publication/256738840_Thermodynamics_of_monoclinic_Fe2SO43" TargetMode="External"/><Relationship Id="rId1" Type="http://schemas.openxmlformats.org/officeDocument/2006/relationships/hyperlink" Target="https://pubchem.ncbi.nlm.nih.gov/compound/Ammonium-sulfat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tandfonline.com/doi/pdf/10.1080/0278682950896530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baba.com/product-detail/High-Purity-and-Top-Quality-7681_62574950815.html?spm=a2700.galleryofferlist.normal_offer.d_title.1bfb4fbeSUNN6S" TargetMode="External"/><Relationship Id="rId1" Type="http://schemas.openxmlformats.org/officeDocument/2006/relationships/hyperlink" Target="https://www.alibaba.com/product-detail/Industrial-Chemical-Ammonium-Hydroxide-NH4OH-Aqueous_1600154063665.html?spm=a2700.galleryofferlist.normal_offer.d_image.79565ce8uAT7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7"/>
  <sheetViews>
    <sheetView topLeftCell="A198" zoomScale="90" zoomScaleNormal="90" workbookViewId="0">
      <pane xSplit="1" topLeftCell="D1" activePane="topRight" state="frozen"/>
      <selection activeCell="A34" sqref="A34"/>
      <selection pane="topRight" activeCell="O210" sqref="O210"/>
    </sheetView>
  </sheetViews>
  <sheetFormatPr baseColWidth="10" defaultColWidth="8.85546875" defaultRowHeight="15"/>
  <cols>
    <col min="1" max="1" width="18.140625" style="6" customWidth="1"/>
    <col min="2" max="2" width="8.7109375" style="6" customWidth="1"/>
    <col min="3" max="3" width="25.5703125" style="6" customWidth="1"/>
    <col min="4" max="4" width="26.7109375" style="6" customWidth="1"/>
    <col min="5" max="5" width="25" style="6" customWidth="1"/>
    <col min="6" max="6" width="23.140625" style="6" customWidth="1"/>
    <col min="7" max="7" width="21.85546875" style="6" customWidth="1"/>
    <col min="8" max="8" width="22.42578125" style="6" customWidth="1"/>
    <col min="9" max="9" width="17.140625" style="6" customWidth="1"/>
    <col min="10" max="10" width="15.28515625" style="6" customWidth="1"/>
    <col min="11" max="11" width="16.42578125" style="6" customWidth="1"/>
    <col min="12" max="13" width="12.140625" style="6" bestFit="1" customWidth="1"/>
    <col min="14" max="14" width="12" style="6" bestFit="1" customWidth="1"/>
    <col min="15" max="15" width="23.140625" style="6" customWidth="1"/>
    <col min="16" max="16" width="11" style="6" bestFit="1" customWidth="1"/>
    <col min="17" max="17" width="14.5703125" style="6" customWidth="1"/>
    <col min="18" max="18" width="15.42578125" style="6" customWidth="1"/>
    <col min="19" max="19" width="11.85546875" style="6" customWidth="1"/>
    <col min="20" max="20" width="18" style="6" customWidth="1"/>
    <col min="21" max="21" width="13.28515625" style="6" customWidth="1"/>
    <col min="22" max="22" width="18.28515625" style="6" customWidth="1"/>
    <col min="23" max="16384" width="8.85546875" style="6"/>
  </cols>
  <sheetData>
    <row r="2" spans="1:17">
      <c r="A2" s="3" t="s">
        <v>11</v>
      </c>
    </row>
    <row r="4" spans="1:17" ht="15.75" thickBot="1">
      <c r="G4" s="79">
        <v>5.96</v>
      </c>
      <c r="N4" s="6">
        <v>10</v>
      </c>
    </row>
    <row r="5" spans="1:17" ht="75" customHeight="1">
      <c r="A5" s="239" t="s">
        <v>261</v>
      </c>
      <c r="B5" s="240"/>
      <c r="C5" s="240"/>
      <c r="D5" s="240"/>
      <c r="E5" s="240"/>
      <c r="F5" s="240"/>
      <c r="G5" s="141" t="s">
        <v>268</v>
      </c>
      <c r="H5" s="66"/>
      <c r="I5" s="66" t="s">
        <v>265</v>
      </c>
      <c r="J5" s="66"/>
      <c r="K5" s="66" t="s">
        <v>269</v>
      </c>
      <c r="L5" s="66" t="s">
        <v>270</v>
      </c>
      <c r="M5" s="66" t="s">
        <v>272</v>
      </c>
      <c r="N5" s="66" t="s">
        <v>275</v>
      </c>
      <c r="O5" s="66"/>
      <c r="P5" s="66"/>
      <c r="Q5" s="67"/>
    </row>
    <row r="6" spans="1:17" ht="15.75" thickBot="1">
      <c r="A6" s="241" t="s">
        <v>262</v>
      </c>
      <c r="B6" s="242"/>
      <c r="C6" s="242"/>
      <c r="D6" s="242"/>
      <c r="E6" s="242"/>
      <c r="F6" s="242"/>
      <c r="G6" s="79">
        <v>5.96</v>
      </c>
      <c r="H6" s="79" t="s">
        <v>267</v>
      </c>
      <c r="I6" s="79">
        <v>0.998</v>
      </c>
      <c r="J6" s="79" t="s">
        <v>266</v>
      </c>
      <c r="K6" s="79">
        <v>0.8</v>
      </c>
      <c r="L6" s="79">
        <v>0.85</v>
      </c>
      <c r="M6" s="79">
        <v>0.05</v>
      </c>
      <c r="N6" s="79">
        <v>5.96</v>
      </c>
      <c r="O6" s="79" t="s">
        <v>276</v>
      </c>
      <c r="P6" s="79"/>
      <c r="Q6" s="81"/>
    </row>
    <row r="7" spans="1:17" ht="15.75" thickBot="1">
      <c r="A7" s="4"/>
    </row>
    <row r="8" spans="1:17">
      <c r="A8" s="235" t="s">
        <v>0</v>
      </c>
      <c r="B8" s="65" t="s">
        <v>1</v>
      </c>
      <c r="C8" s="233" t="s">
        <v>14</v>
      </c>
      <c r="D8" s="233"/>
      <c r="E8" s="233" t="s">
        <v>15</v>
      </c>
      <c r="F8" s="233"/>
      <c r="G8" s="233" t="s">
        <v>16</v>
      </c>
      <c r="H8" s="233"/>
      <c r="I8" s="65"/>
      <c r="J8" s="237" t="s">
        <v>264</v>
      </c>
      <c r="K8" s="237"/>
      <c r="L8" s="65"/>
      <c r="M8" s="233" t="s">
        <v>19</v>
      </c>
      <c r="N8" s="233"/>
      <c r="O8" s="65"/>
      <c r="P8" s="67"/>
    </row>
    <row r="9" spans="1:17">
      <c r="A9" s="236"/>
      <c r="B9" s="68" t="s">
        <v>2</v>
      </c>
      <c r="C9" s="68" t="s">
        <v>13</v>
      </c>
      <c r="D9" s="68" t="s">
        <v>12</v>
      </c>
      <c r="E9" s="68" t="s">
        <v>13</v>
      </c>
      <c r="F9" s="68" t="s">
        <v>12</v>
      </c>
      <c r="G9" s="68" t="s">
        <v>13</v>
      </c>
      <c r="H9" s="68" t="s">
        <v>12</v>
      </c>
      <c r="I9" s="94" t="s">
        <v>263</v>
      </c>
      <c r="J9" s="68" t="s">
        <v>13</v>
      </c>
      <c r="K9" s="68" t="s">
        <v>12</v>
      </c>
      <c r="L9" s="68"/>
      <c r="M9" s="68" t="s">
        <v>13</v>
      </c>
      <c r="N9" s="68" t="s">
        <v>12</v>
      </c>
      <c r="O9" s="68" t="s">
        <v>20</v>
      </c>
      <c r="P9" s="69" t="s">
        <v>21</v>
      </c>
    </row>
    <row r="10" spans="1:17">
      <c r="A10" s="70" t="s">
        <v>3</v>
      </c>
      <c r="B10" s="71">
        <v>277.11195999999995</v>
      </c>
      <c r="C10" s="71">
        <f>G10</f>
        <v>228.61652272330269</v>
      </c>
      <c r="D10" s="71">
        <f>B10*C10</f>
        <v>63352.372700238935</v>
      </c>
      <c r="E10" s="68">
        <v>0</v>
      </c>
      <c r="F10" s="68">
        <f>E10*B10</f>
        <v>0</v>
      </c>
      <c r="G10" s="71">
        <f>J10/Matlab_Input_max!C7</f>
        <v>228.61652272330269</v>
      </c>
      <c r="H10" s="71">
        <f t="shared" ref="H10:H15" si="0">F10+D10</f>
        <v>63352.372700238935</v>
      </c>
      <c r="I10" s="94">
        <v>1</v>
      </c>
      <c r="J10" s="72">
        <f>J13/I13</f>
        <v>208.04103567820545</v>
      </c>
      <c r="K10" s="72">
        <f>J10*B10</f>
        <v>57650.659157217429</v>
      </c>
      <c r="L10" s="68">
        <f>J10/$J$10</f>
        <v>1</v>
      </c>
      <c r="M10" s="71">
        <f>N10/B10</f>
        <v>20.575487045097248</v>
      </c>
      <c r="N10" s="71">
        <f>H10-K10</f>
        <v>5701.7135430215058</v>
      </c>
      <c r="O10" s="73">
        <f>M10/$M$17</f>
        <v>1.2597875638512646E-3</v>
      </c>
      <c r="P10" s="74">
        <f>N10/$N$17</f>
        <v>1.1841657638544723E-2</v>
      </c>
    </row>
    <row r="11" spans="1:17">
      <c r="A11" s="70" t="s">
        <v>4</v>
      </c>
      <c r="B11" s="71">
        <v>115.10849999999999</v>
      </c>
      <c r="C11" s="71">
        <v>0</v>
      </c>
      <c r="D11" s="71">
        <v>0</v>
      </c>
      <c r="E11" s="71">
        <f>G11</f>
        <v>1440.2840931568069</v>
      </c>
      <c r="F11" s="71">
        <f>E11*B11</f>
        <v>165788.94153714029</v>
      </c>
      <c r="G11" s="71">
        <f>G10*I11*(1+M6)</f>
        <v>1440.2840931568069</v>
      </c>
      <c r="H11" s="71">
        <f>F11+D11</f>
        <v>165788.94153714029</v>
      </c>
      <c r="I11" s="94">
        <v>6</v>
      </c>
      <c r="J11" s="72">
        <f>J10*I11</f>
        <v>1248.2462140692328</v>
      </c>
      <c r="K11" s="72">
        <f>J11*B11</f>
        <v>143683.74933218828</v>
      </c>
      <c r="L11" s="144">
        <f t="shared" ref="L11:L15" si="1">J11/$J$10</f>
        <v>6.0000000000000009</v>
      </c>
      <c r="M11" s="71">
        <f t="shared" ref="M11" si="2">N11/B11</f>
        <v>192.03787908757397</v>
      </c>
      <c r="N11" s="71">
        <f>H11-K11</f>
        <v>22105.192204952007</v>
      </c>
      <c r="O11" s="73">
        <f t="shared" ref="O11:O16" si="3">M11/$M$17</f>
        <v>1.1758017262611782E-2</v>
      </c>
      <c r="P11" s="74">
        <f t="shared" ref="P11:P16" si="4">N11/$N$17</f>
        <v>4.5909377268812022E-2</v>
      </c>
    </row>
    <row r="12" spans="1:17">
      <c r="A12" s="70" t="s">
        <v>5</v>
      </c>
      <c r="B12" s="71">
        <v>120.3676</v>
      </c>
      <c r="C12" s="71">
        <v>0</v>
      </c>
      <c r="D12" s="71">
        <f t="shared" ref="D12:D15" si="5">B12*C12</f>
        <v>0</v>
      </c>
      <c r="E12" s="68">
        <v>0</v>
      </c>
      <c r="F12" s="71">
        <f t="shared" ref="F12:F16" si="6">E12*B12</f>
        <v>0</v>
      </c>
      <c r="G12" s="71">
        <f t="shared" ref="G12:G16" si="7">H12/B12</f>
        <v>0</v>
      </c>
      <c r="H12" s="71">
        <f>F12+D12</f>
        <v>0</v>
      </c>
      <c r="I12" s="94">
        <v>3</v>
      </c>
      <c r="J12" s="75">
        <f>J10*I12</f>
        <v>624.1231070346164</v>
      </c>
      <c r="K12" s="75">
        <f>J12*B12</f>
        <v>75124.200498299891</v>
      </c>
      <c r="L12" s="144">
        <f t="shared" si="1"/>
        <v>3.0000000000000004</v>
      </c>
      <c r="M12" s="71">
        <f>N12/B12</f>
        <v>624.1231070346164</v>
      </c>
      <c r="N12" s="71">
        <f>H12+K12</f>
        <v>75124.200498299891</v>
      </c>
      <c r="O12" s="73">
        <f t="shared" si="3"/>
        <v>3.8213556103488353E-2</v>
      </c>
      <c r="P12" s="74">
        <f t="shared" si="4"/>
        <v>0.15602240553790353</v>
      </c>
    </row>
    <row r="13" spans="1:17">
      <c r="A13" s="70" t="s">
        <v>6</v>
      </c>
      <c r="B13" s="71">
        <v>60.084299999999999</v>
      </c>
      <c r="C13" s="71">
        <v>0</v>
      </c>
      <c r="D13" s="71">
        <f t="shared" si="5"/>
        <v>0</v>
      </c>
      <c r="E13" s="68">
        <v>0</v>
      </c>
      <c r="F13" s="71">
        <f t="shared" si="6"/>
        <v>0</v>
      </c>
      <c r="G13" s="71">
        <f t="shared" si="7"/>
        <v>0</v>
      </c>
      <c r="H13" s="71">
        <f>F13+D13</f>
        <v>0</v>
      </c>
      <c r="I13" s="94">
        <v>2</v>
      </c>
      <c r="J13" s="75">
        <f>K13/B13</f>
        <v>416.08207135641089</v>
      </c>
      <c r="K13" s="75">
        <f>N13</f>
        <v>25000</v>
      </c>
      <c r="L13" s="144">
        <f t="shared" si="1"/>
        <v>2</v>
      </c>
      <c r="M13" s="71">
        <f>N13/B13</f>
        <v>416.08207135641089</v>
      </c>
      <c r="N13" s="71">
        <f>Matlab_Input_max!C5</f>
        <v>25000</v>
      </c>
      <c r="O13" s="73">
        <f t="shared" si="3"/>
        <v>2.5475704068992234E-2</v>
      </c>
      <c r="P13" s="74">
        <f t="shared" si="4"/>
        <v>5.1921486186543318E-2</v>
      </c>
    </row>
    <row r="14" spans="1:17">
      <c r="A14" s="70" t="s">
        <v>7</v>
      </c>
      <c r="B14" s="71">
        <v>18.015080000000001</v>
      </c>
      <c r="C14" s="71">
        <v>0</v>
      </c>
      <c r="D14" s="71">
        <v>0</v>
      </c>
      <c r="E14" s="71">
        <f>G14</f>
        <v>13387.400338066638</v>
      </c>
      <c r="F14" s="71">
        <f>E14*B14</f>
        <v>241175.08808229756</v>
      </c>
      <c r="G14" s="71">
        <f>H14/B14</f>
        <v>13387.400338066638</v>
      </c>
      <c r="H14" s="71">
        <f>G11*1000/G6*I6</f>
        <v>241175.08808229753</v>
      </c>
      <c r="I14" s="94">
        <v>5</v>
      </c>
      <c r="J14" s="75">
        <f>$J$10*I14</f>
        <v>1040.2051783910272</v>
      </c>
      <c r="K14" s="75">
        <f>J14*B14</f>
        <v>18739.379505128625</v>
      </c>
      <c r="L14" s="144">
        <f t="shared" si="1"/>
        <v>5</v>
      </c>
      <c r="M14" s="71">
        <f t="shared" ref="M14:M16" si="8">N14/B14</f>
        <v>14427.605516457665</v>
      </c>
      <c r="N14" s="71">
        <f>H14+K14</f>
        <v>259914.46758742616</v>
      </c>
      <c r="O14" s="73">
        <f t="shared" si="3"/>
        <v>0.88336757064111393</v>
      </c>
      <c r="P14" s="74">
        <f t="shared" si="4"/>
        <v>0.53980581754093226</v>
      </c>
    </row>
    <row r="15" spans="1:17">
      <c r="A15" s="70" t="s">
        <v>8</v>
      </c>
      <c r="B15" s="71">
        <v>132.13872000000001</v>
      </c>
      <c r="C15" s="71">
        <v>0</v>
      </c>
      <c r="D15" s="71">
        <f t="shared" si="5"/>
        <v>0</v>
      </c>
      <c r="E15" s="68">
        <v>0</v>
      </c>
      <c r="F15" s="71">
        <f t="shared" si="6"/>
        <v>0</v>
      </c>
      <c r="G15" s="71">
        <f t="shared" si="7"/>
        <v>0</v>
      </c>
      <c r="H15" s="71">
        <f t="shared" si="0"/>
        <v>0</v>
      </c>
      <c r="I15" s="94">
        <v>3</v>
      </c>
      <c r="J15" s="75">
        <f>$J$10*I15</f>
        <v>624.1231070346164</v>
      </c>
      <c r="K15" s="75">
        <f>J15*B15</f>
        <v>82470.82848597721</v>
      </c>
      <c r="L15" s="144">
        <f t="shared" si="1"/>
        <v>3.0000000000000004</v>
      </c>
      <c r="M15" s="71">
        <f t="shared" si="8"/>
        <v>624.1231070346164</v>
      </c>
      <c r="N15" s="71">
        <f t="shared" ref="N15:N16" si="9">H15+K15</f>
        <v>82470.82848597721</v>
      </c>
      <c r="O15" s="73">
        <f t="shared" si="3"/>
        <v>3.8213556103488353E-2</v>
      </c>
      <c r="P15" s="74">
        <f t="shared" si="4"/>
        <v>0.17128031928109794</v>
      </c>
    </row>
    <row r="16" spans="1:17">
      <c r="A16" s="70" t="s">
        <v>9</v>
      </c>
      <c r="B16" s="71">
        <v>399.87780000000004</v>
      </c>
      <c r="C16" s="71">
        <f>G16</f>
        <v>27.95811739614641</v>
      </c>
      <c r="D16" s="71">
        <f>H16</f>
        <v>11179.830476512756</v>
      </c>
      <c r="E16" s="68">
        <v>0</v>
      </c>
      <c r="F16" s="71">
        <f t="shared" si="6"/>
        <v>0</v>
      </c>
      <c r="G16" s="71">
        <f t="shared" si="7"/>
        <v>27.95811739614641</v>
      </c>
      <c r="H16" s="71">
        <f>(1-$L$6)*(H10/L6)</f>
        <v>11179.830476512756</v>
      </c>
      <c r="I16" s="94"/>
      <c r="J16" s="75">
        <f>J10*0</f>
        <v>0</v>
      </c>
      <c r="K16" s="75">
        <f>J16*B16</f>
        <v>0</v>
      </c>
      <c r="L16" s="68"/>
      <c r="M16" s="71">
        <f t="shared" si="8"/>
        <v>27.95811739614641</v>
      </c>
      <c r="N16" s="71">
        <f t="shared" si="9"/>
        <v>11179.830476512756</v>
      </c>
      <c r="O16" s="73">
        <f t="shared" si="3"/>
        <v>1.7118082564539594E-3</v>
      </c>
      <c r="P16" s="74">
        <f t="shared" si="4"/>
        <v>2.3218936546166122E-2</v>
      </c>
      <c r="Q16" s="1">
        <f>P10+P16</f>
        <v>3.5060594184710844E-2</v>
      </c>
    </row>
    <row r="17" spans="1:16">
      <c r="A17" s="70" t="s">
        <v>10</v>
      </c>
      <c r="B17" s="71"/>
      <c r="C17" s="71"/>
      <c r="D17" s="71">
        <f t="shared" ref="D17:H17" si="10">SUM(D10:D16)</f>
        <v>74532.203176751689</v>
      </c>
      <c r="E17" s="68">
        <f>SUM(E10:E16)</f>
        <v>14827.684431223444</v>
      </c>
      <c r="F17" s="71">
        <f t="shared" si="10"/>
        <v>406964.02961943788</v>
      </c>
      <c r="G17" s="71">
        <f t="shared" si="10"/>
        <v>15084.259071342894</v>
      </c>
      <c r="H17" s="71">
        <f t="shared" si="10"/>
        <v>481496.23279618955</v>
      </c>
      <c r="I17" s="68"/>
      <c r="J17" s="68"/>
      <c r="K17" s="68"/>
      <c r="L17" s="68"/>
      <c r="M17" s="71">
        <f>SUM(M10:M16)</f>
        <v>16332.505285412128</v>
      </c>
      <c r="N17" s="71">
        <f>SUM(N10:N16)</f>
        <v>481496.23279618955</v>
      </c>
      <c r="O17" s="73">
        <f>SUM(O10:O16)</f>
        <v>0.99999999999999989</v>
      </c>
      <c r="P17" s="74">
        <f>SUM(P10:P16)</f>
        <v>1</v>
      </c>
    </row>
    <row r="18" spans="1:16">
      <c r="A18" s="70"/>
      <c r="B18" s="68"/>
      <c r="C18" s="71"/>
      <c r="D18" s="76"/>
      <c r="E18" s="71"/>
      <c r="F18" s="68"/>
      <c r="G18" s="68"/>
      <c r="H18" s="68"/>
      <c r="I18" s="68"/>
      <c r="J18" s="77"/>
      <c r="K18" s="68" t="s">
        <v>17</v>
      </c>
      <c r="L18" s="68"/>
      <c r="M18" s="68"/>
      <c r="N18" s="68"/>
      <c r="O18" s="68"/>
      <c r="P18" s="69"/>
    </row>
    <row r="19" spans="1:16" ht="15.75" thickBot="1">
      <c r="A19" s="78"/>
      <c r="B19" s="79"/>
      <c r="C19" s="79"/>
      <c r="D19" s="79"/>
      <c r="E19" s="79"/>
      <c r="F19" s="79"/>
      <c r="G19" s="79"/>
      <c r="H19" s="79"/>
      <c r="I19" s="79"/>
      <c r="J19" s="80"/>
      <c r="K19" s="79" t="s">
        <v>18</v>
      </c>
      <c r="L19" s="79"/>
      <c r="M19" s="79"/>
      <c r="N19" s="79"/>
      <c r="O19" s="79"/>
      <c r="P19" s="81"/>
    </row>
    <row r="20" spans="1:16">
      <c r="H20" s="61">
        <f>H11/H14</f>
        <v>0.6874215030060119</v>
      </c>
      <c r="I20" s="6" t="s">
        <v>348</v>
      </c>
    </row>
    <row r="21" spans="1:16" ht="15.75" thickBot="1">
      <c r="H21" s="145">
        <f>11/16</f>
        <v>0.6875</v>
      </c>
      <c r="I21" s="6" t="s">
        <v>347</v>
      </c>
    </row>
    <row r="22" spans="1:16" ht="30">
      <c r="A22" s="139" t="s">
        <v>22</v>
      </c>
      <c r="B22" s="65"/>
      <c r="C22" s="83" t="s">
        <v>271</v>
      </c>
      <c r="D22" s="65"/>
      <c r="E22" s="65"/>
      <c r="F22" s="67"/>
      <c r="H22" s="61">
        <f>(H10+H16)/(H14)</f>
        <v>0.30903773590130773</v>
      </c>
      <c r="I22" s="6" t="s">
        <v>386</v>
      </c>
    </row>
    <row r="23" spans="1:16">
      <c r="A23" s="236" t="s">
        <v>0</v>
      </c>
      <c r="B23" s="68" t="s">
        <v>1</v>
      </c>
      <c r="C23" s="238" t="s">
        <v>23</v>
      </c>
      <c r="D23" s="238"/>
      <c r="E23" s="226" t="s">
        <v>24</v>
      </c>
      <c r="F23" s="231"/>
      <c r="H23" s="90"/>
      <c r="I23" s="6" t="s">
        <v>277</v>
      </c>
    </row>
    <row r="24" spans="1:16">
      <c r="A24" s="236"/>
      <c r="B24" s="68" t="s">
        <v>2</v>
      </c>
      <c r="C24" s="90" t="s">
        <v>13</v>
      </c>
      <c r="D24" s="90" t="s">
        <v>12</v>
      </c>
      <c r="E24" s="68" t="s">
        <v>13</v>
      </c>
      <c r="F24" s="69" t="s">
        <v>12</v>
      </c>
    </row>
    <row r="25" spans="1:16">
      <c r="A25" s="70" t="s">
        <v>3</v>
      </c>
      <c r="B25" s="71">
        <v>277.11195999999995</v>
      </c>
      <c r="C25" s="91">
        <f>D25/B25</f>
        <v>20.575487045097248</v>
      </c>
      <c r="D25" s="91">
        <f>N10</f>
        <v>5701.7135430215058</v>
      </c>
      <c r="E25" s="71">
        <f>F25/B25</f>
        <v>0</v>
      </c>
      <c r="F25" s="84">
        <f>N10-D25</f>
        <v>0</v>
      </c>
      <c r="J25" s="2"/>
      <c r="N25" s="63"/>
    </row>
    <row r="26" spans="1:16">
      <c r="A26" s="70" t="s">
        <v>4</v>
      </c>
      <c r="B26" s="71">
        <v>115.10849999999999</v>
      </c>
      <c r="C26" s="91">
        <f t="shared" ref="C26:C31" si="11">D26/B26</f>
        <v>0</v>
      </c>
      <c r="D26" s="91">
        <v>0</v>
      </c>
      <c r="E26" s="71">
        <f>F26/B26</f>
        <v>192.03787908757397</v>
      </c>
      <c r="F26" s="84">
        <f>N11-D26</f>
        <v>22105.192204952007</v>
      </c>
      <c r="N26" s="63"/>
    </row>
    <row r="27" spans="1:16">
      <c r="A27" s="70" t="s">
        <v>5</v>
      </c>
      <c r="B27" s="71">
        <v>120.3676</v>
      </c>
      <c r="C27" s="91">
        <f t="shared" si="11"/>
        <v>0</v>
      </c>
      <c r="D27" s="91">
        <v>0</v>
      </c>
      <c r="E27" s="71">
        <f t="shared" ref="E27:E31" si="12">F27/B27</f>
        <v>624.1231070346164</v>
      </c>
      <c r="F27" s="84">
        <f t="shared" ref="F27:F29" si="13">N12-D27</f>
        <v>75124.200498299891</v>
      </c>
      <c r="N27" s="63"/>
    </row>
    <row r="28" spans="1:16">
      <c r="A28" s="70" t="s">
        <v>6</v>
      </c>
      <c r="B28" s="71">
        <v>60.084299999999999</v>
      </c>
      <c r="C28" s="91">
        <f t="shared" si="11"/>
        <v>416.08207135641089</v>
      </c>
      <c r="D28" s="91">
        <f>N13</f>
        <v>25000</v>
      </c>
      <c r="E28" s="71">
        <f t="shared" si="12"/>
        <v>0</v>
      </c>
      <c r="F28" s="84">
        <f t="shared" si="13"/>
        <v>0</v>
      </c>
      <c r="J28" s="143"/>
      <c r="N28" s="63"/>
    </row>
    <row r="29" spans="1:16">
      <c r="A29" s="70" t="s">
        <v>7</v>
      </c>
      <c r="B29" s="71">
        <v>18.015080000000001</v>
      </c>
      <c r="C29" s="91">
        <f>D29/B29</f>
        <v>189.35811024875645</v>
      </c>
      <c r="D29" s="92">
        <f>((D25+D28)/(1-Matlab_Input_max!C9))*Matlab_Input_max!C9</f>
        <v>3411.3015047801673</v>
      </c>
      <c r="E29" s="71">
        <f t="shared" si="12"/>
        <v>14238.247406208908</v>
      </c>
      <c r="F29" s="84">
        <f t="shared" si="13"/>
        <v>256503.166082646</v>
      </c>
      <c r="N29" s="63"/>
    </row>
    <row r="30" spans="1:16">
      <c r="A30" s="70" t="s">
        <v>8</v>
      </c>
      <c r="B30" s="71">
        <v>132.13872000000001</v>
      </c>
      <c r="C30" s="91">
        <f t="shared" si="11"/>
        <v>8.1914335664255198</v>
      </c>
      <c r="D30" s="93">
        <f>$D$29/$N$14*N15</f>
        <v>1082.4055464325031</v>
      </c>
      <c r="E30" s="71">
        <f t="shared" si="12"/>
        <v>615.93167346819087</v>
      </c>
      <c r="F30" s="84">
        <f>N15-D30</f>
        <v>81388.422939544704</v>
      </c>
    </row>
    <row r="31" spans="1:16">
      <c r="A31" s="70" t="s">
        <v>9</v>
      </c>
      <c r="B31" s="71">
        <v>399.87780000000004</v>
      </c>
      <c r="C31" s="91">
        <f t="shared" si="11"/>
        <v>0.36694212842236068</v>
      </c>
      <c r="D31" s="93">
        <f>$D$29/$N$14*N16</f>
        <v>146.73201104085106</v>
      </c>
      <c r="E31" s="71">
        <f t="shared" si="12"/>
        <v>27.591175267724051</v>
      </c>
      <c r="F31" s="84">
        <f>N16-D31</f>
        <v>11033.098465471905</v>
      </c>
    </row>
    <row r="32" spans="1:16">
      <c r="A32" s="70" t="s">
        <v>10</v>
      </c>
      <c r="B32" s="71"/>
      <c r="C32" s="91">
        <f>SUM(C25:C31)</f>
        <v>634.5740443451125</v>
      </c>
      <c r="D32" s="91">
        <f>SUM(D25:D31)</f>
        <v>35342.152605275034</v>
      </c>
      <c r="E32" s="71">
        <f>SUM(E25:E31)</f>
        <v>15697.931241067012</v>
      </c>
      <c r="F32" s="84">
        <f>SUM(F25:F31)</f>
        <v>446154.08019091451</v>
      </c>
    </row>
    <row r="33" spans="1:23" ht="15.75" thickBot="1">
      <c r="A33" s="78"/>
      <c r="B33" s="79"/>
      <c r="C33" s="85" t="s">
        <v>25</v>
      </c>
      <c r="D33" s="79"/>
      <c r="E33" s="79"/>
      <c r="F33" s="81"/>
    </row>
    <row r="35" spans="1:23" ht="15.75" thickBot="1"/>
    <row r="36" spans="1:23">
      <c r="A36" s="82" t="s">
        <v>26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23"/>
      <c r="N36" s="124"/>
    </row>
    <row r="37" spans="1:23">
      <c r="A37" s="103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22"/>
      <c r="N37" s="125"/>
    </row>
    <row r="38" spans="1:23">
      <c r="A38" s="103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22"/>
      <c r="N38" s="125"/>
    </row>
    <row r="39" spans="1:23">
      <c r="A39" s="103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22"/>
      <c r="N39" s="125"/>
    </row>
    <row r="40" spans="1:23">
      <c r="A40" s="86" t="s">
        <v>29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22"/>
      <c r="N40" s="125"/>
    </row>
    <row r="41" spans="1:23">
      <c r="A41" s="86" t="s">
        <v>30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22"/>
      <c r="N41" s="125"/>
    </row>
    <row r="42" spans="1:23">
      <c r="A42" s="86" t="s">
        <v>31</v>
      </c>
      <c r="B42" s="107"/>
      <c r="C42" s="107"/>
      <c r="D42" s="107"/>
      <c r="E42" s="107"/>
      <c r="F42" s="107"/>
      <c r="G42" s="122"/>
      <c r="H42" s="122"/>
      <c r="I42" s="107"/>
      <c r="J42" s="107"/>
      <c r="K42" s="107"/>
      <c r="L42" s="107"/>
      <c r="M42" s="107"/>
      <c r="N42" s="114"/>
      <c r="O42" s="107"/>
    </row>
    <row r="43" spans="1:23">
      <c r="A43" s="236" t="s">
        <v>0</v>
      </c>
      <c r="B43" s="107" t="s">
        <v>1</v>
      </c>
      <c r="C43" s="226" t="s">
        <v>278</v>
      </c>
      <c r="D43" s="226"/>
      <c r="E43" s="226" t="s">
        <v>281</v>
      </c>
      <c r="F43" s="226"/>
      <c r="G43" s="226" t="s">
        <v>296</v>
      </c>
      <c r="H43" s="227"/>
      <c r="I43" s="227" t="s">
        <v>32</v>
      </c>
      <c r="J43" s="227"/>
      <c r="K43" s="227"/>
      <c r="L43" s="107"/>
      <c r="M43" s="105" t="s">
        <v>33</v>
      </c>
      <c r="N43" s="106"/>
      <c r="P43"/>
      <c r="Q43"/>
      <c r="R43"/>
      <c r="S43"/>
      <c r="T43"/>
      <c r="U43"/>
      <c r="V43"/>
      <c r="W43"/>
    </row>
    <row r="44" spans="1:23">
      <c r="A44" s="236"/>
      <c r="B44" s="107" t="s">
        <v>2</v>
      </c>
      <c r="C44" s="107" t="s">
        <v>13</v>
      </c>
      <c r="D44" s="107" t="s">
        <v>12</v>
      </c>
      <c r="E44" s="107" t="s">
        <v>13</v>
      </c>
      <c r="F44" s="107" t="s">
        <v>12</v>
      </c>
      <c r="G44" s="107" t="s">
        <v>13</v>
      </c>
      <c r="H44" s="107" t="s">
        <v>12</v>
      </c>
      <c r="I44" s="116" t="s">
        <v>263</v>
      </c>
      <c r="J44" s="107" t="s">
        <v>13</v>
      </c>
      <c r="K44" s="107" t="s">
        <v>12</v>
      </c>
      <c r="L44" s="107"/>
      <c r="M44" s="107" t="s">
        <v>13</v>
      </c>
      <c r="N44" s="114" t="s">
        <v>12</v>
      </c>
      <c r="P44"/>
      <c r="Q44"/>
      <c r="R44"/>
      <c r="S44"/>
      <c r="T44"/>
      <c r="U44"/>
      <c r="V44"/>
      <c r="W44"/>
    </row>
    <row r="45" spans="1:23">
      <c r="A45" s="103" t="s">
        <v>3</v>
      </c>
      <c r="B45" s="71">
        <v>277.11195999999995</v>
      </c>
      <c r="C45" s="71">
        <f>D45/B45</f>
        <v>0</v>
      </c>
      <c r="D45" s="71">
        <f>F25</f>
        <v>0</v>
      </c>
      <c r="E45" s="107">
        <v>0</v>
      </c>
      <c r="F45" s="107">
        <v>0</v>
      </c>
      <c r="G45" s="71">
        <f>E45+C45</f>
        <v>0</v>
      </c>
      <c r="H45" s="71">
        <f>F45+D45</f>
        <v>0</v>
      </c>
      <c r="I45" s="116"/>
      <c r="J45" s="88">
        <f>0*J52</f>
        <v>0</v>
      </c>
      <c r="K45" s="88">
        <f>J45*B45</f>
        <v>0</v>
      </c>
      <c r="L45" s="107"/>
      <c r="M45" s="71">
        <f t="shared" ref="M45:M53" si="14">N45/B45</f>
        <v>0</v>
      </c>
      <c r="N45" s="84">
        <f>K45+F45+D45</f>
        <v>0</v>
      </c>
      <c r="P45"/>
      <c r="Q45"/>
      <c r="R45"/>
      <c r="S45"/>
      <c r="T45"/>
      <c r="U45"/>
      <c r="V45"/>
      <c r="W45"/>
    </row>
    <row r="46" spans="1:23">
      <c r="A46" s="103" t="s">
        <v>4</v>
      </c>
      <c r="B46" s="71">
        <v>115.10849999999999</v>
      </c>
      <c r="C46" s="71">
        <f>E26</f>
        <v>192.03787908757397</v>
      </c>
      <c r="D46" s="71">
        <f>F26</f>
        <v>22105.192204952007</v>
      </c>
      <c r="E46" s="107">
        <v>0</v>
      </c>
      <c r="F46" s="107">
        <v>0</v>
      </c>
      <c r="G46" s="71">
        <f t="shared" ref="G46:G54" si="15">E46+C46</f>
        <v>192.03787908757397</v>
      </c>
      <c r="H46" s="71">
        <f t="shared" ref="H46:H54" si="16">F46+D46</f>
        <v>22105.192204952007</v>
      </c>
      <c r="I46" s="116">
        <v>1</v>
      </c>
      <c r="J46" s="72">
        <f>C46</f>
        <v>192.03787908757397</v>
      </c>
      <c r="K46" s="72">
        <f>J46*B46</f>
        <v>22105.192204952007</v>
      </c>
      <c r="L46" s="107"/>
      <c r="M46" s="71">
        <f t="shared" si="14"/>
        <v>0</v>
      </c>
      <c r="N46" s="84">
        <f>D46-K46-F46</f>
        <v>0</v>
      </c>
      <c r="P46"/>
      <c r="Q46"/>
      <c r="R46"/>
      <c r="S46"/>
      <c r="T46"/>
      <c r="U46"/>
      <c r="V46"/>
      <c r="W46"/>
    </row>
    <row r="47" spans="1:23">
      <c r="A47" s="103" t="s">
        <v>5</v>
      </c>
      <c r="B47" s="71">
        <v>120.3676</v>
      </c>
      <c r="C47" s="71">
        <f t="shared" ref="C47:C50" si="17">D47/B47</f>
        <v>624.1231070346164</v>
      </c>
      <c r="D47" s="71">
        <f t="shared" ref="D47:D51" si="18">F27</f>
        <v>75124.200498299891</v>
      </c>
      <c r="E47" s="107">
        <v>0</v>
      </c>
      <c r="F47" s="107">
        <v>0</v>
      </c>
      <c r="G47" s="71">
        <f t="shared" si="15"/>
        <v>624.1231070346164</v>
      </c>
      <c r="H47" s="71">
        <f t="shared" si="16"/>
        <v>75124.200498299891</v>
      </c>
      <c r="I47" s="116">
        <v>1</v>
      </c>
      <c r="J47" s="75">
        <f>J45*3</f>
        <v>0</v>
      </c>
      <c r="K47" s="75">
        <f t="shared" ref="K47:K53" si="19">J47*B47</f>
        <v>0</v>
      </c>
      <c r="L47" s="107"/>
      <c r="M47" s="71">
        <f t="shared" si="14"/>
        <v>624.1231070346164</v>
      </c>
      <c r="N47" s="84">
        <f>K47+F47+D47</f>
        <v>75124.200498299891</v>
      </c>
      <c r="P47"/>
      <c r="Q47"/>
      <c r="R47"/>
      <c r="S47"/>
      <c r="T47"/>
      <c r="U47"/>
      <c r="V47"/>
      <c r="W47"/>
    </row>
    <row r="48" spans="1:23">
      <c r="A48" s="103" t="s">
        <v>6</v>
      </c>
      <c r="B48" s="71">
        <v>60.084299999999999</v>
      </c>
      <c r="C48" s="71">
        <f t="shared" si="17"/>
        <v>0</v>
      </c>
      <c r="D48" s="71">
        <f t="shared" si="18"/>
        <v>0</v>
      </c>
      <c r="E48" s="107">
        <v>0</v>
      </c>
      <c r="F48" s="107">
        <v>0</v>
      </c>
      <c r="G48" s="71">
        <f>E48+C48</f>
        <v>0</v>
      </c>
      <c r="H48" s="71">
        <f t="shared" si="16"/>
        <v>0</v>
      </c>
      <c r="I48" s="116"/>
      <c r="J48" s="88">
        <f>0*J52</f>
        <v>0</v>
      </c>
      <c r="K48" s="88">
        <f t="shared" si="19"/>
        <v>0</v>
      </c>
      <c r="L48" s="107"/>
      <c r="M48" s="71">
        <f t="shared" si="14"/>
        <v>0</v>
      </c>
      <c r="N48" s="84">
        <f>K48+F48+D48</f>
        <v>0</v>
      </c>
      <c r="P48"/>
      <c r="Q48"/>
      <c r="R48"/>
      <c r="S48"/>
      <c r="T48"/>
      <c r="U48"/>
      <c r="V48"/>
      <c r="W48"/>
    </row>
    <row r="49" spans="1:23">
      <c r="A49" s="103" t="s">
        <v>7</v>
      </c>
      <c r="B49" s="71">
        <v>18.015080000000001</v>
      </c>
      <c r="C49" s="71">
        <f t="shared" si="17"/>
        <v>14238.247406208908</v>
      </c>
      <c r="D49" s="71">
        <f t="shared" si="18"/>
        <v>256503.166082646</v>
      </c>
      <c r="E49" s="107">
        <f>F49/B49</f>
        <v>3323.7419234193485</v>
      </c>
      <c r="F49" s="107">
        <f>E52*1000/$N$6*$I$6</f>
        <v>59877.476649753437</v>
      </c>
      <c r="G49" s="71">
        <f t="shared" si="15"/>
        <v>17561.989329628257</v>
      </c>
      <c r="H49" s="71">
        <f t="shared" si="16"/>
        <v>316380.64273239946</v>
      </c>
      <c r="I49" s="116">
        <v>1</v>
      </c>
      <c r="J49" s="75">
        <f>J46</f>
        <v>192.03787908757397</v>
      </c>
      <c r="K49" s="75">
        <f t="shared" si="19"/>
        <v>3459.5777547929724</v>
      </c>
      <c r="L49" s="107"/>
      <c r="M49" s="71">
        <f t="shared" si="14"/>
        <v>17754.02720871583</v>
      </c>
      <c r="N49" s="84">
        <f>K49+F49+D49</f>
        <v>319840.22048719239</v>
      </c>
      <c r="P49"/>
      <c r="Q49"/>
      <c r="R49"/>
      <c r="S49"/>
      <c r="T49"/>
      <c r="U49"/>
      <c r="V49"/>
      <c r="W49"/>
    </row>
    <row r="50" spans="1:23">
      <c r="A50" s="103" t="s">
        <v>8</v>
      </c>
      <c r="B50" s="71">
        <v>132.13872000000001</v>
      </c>
      <c r="C50" s="71">
        <f t="shared" si="17"/>
        <v>615.93167346819087</v>
      </c>
      <c r="D50" s="71">
        <f>F30</f>
        <v>81388.422939544704</v>
      </c>
      <c r="E50" s="107">
        <v>0</v>
      </c>
      <c r="F50" s="107">
        <v>0</v>
      </c>
      <c r="G50" s="71">
        <f t="shared" si="15"/>
        <v>615.93167346819087</v>
      </c>
      <c r="H50" s="71">
        <f t="shared" si="16"/>
        <v>81388.422939544704</v>
      </c>
      <c r="I50" s="116">
        <v>3</v>
      </c>
      <c r="J50" s="75">
        <f>J46+J51*3</f>
        <v>274.81140489074613</v>
      </c>
      <c r="K50" s="75">
        <f t="shared" si="19"/>
        <v>36313.227283664935</v>
      </c>
      <c r="L50" s="107"/>
      <c r="M50" s="71">
        <f t="shared" si="14"/>
        <v>890.74307835893694</v>
      </c>
      <c r="N50" s="84">
        <f>K50+F50+D50</f>
        <v>117701.65022320964</v>
      </c>
      <c r="P50"/>
      <c r="Q50"/>
      <c r="R50"/>
      <c r="S50"/>
      <c r="T50"/>
      <c r="U50"/>
      <c r="V50"/>
      <c r="W50"/>
    </row>
    <row r="51" spans="1:23">
      <c r="A51" s="103" t="s">
        <v>9</v>
      </c>
      <c r="B51" s="71">
        <v>399.87780000000004</v>
      </c>
      <c r="C51" s="71">
        <f>E31</f>
        <v>27.591175267724051</v>
      </c>
      <c r="D51" s="71">
        <f t="shared" si="18"/>
        <v>11033.098465471905</v>
      </c>
      <c r="E51" s="107">
        <v>0</v>
      </c>
      <c r="F51" s="107">
        <v>0</v>
      </c>
      <c r="G51" s="71">
        <f t="shared" si="15"/>
        <v>27.591175267724051</v>
      </c>
      <c r="H51" s="71">
        <f t="shared" si="16"/>
        <v>11033.098465471905</v>
      </c>
      <c r="I51" s="116">
        <v>1</v>
      </c>
      <c r="J51" s="72">
        <f>C51</f>
        <v>27.591175267724051</v>
      </c>
      <c r="K51" s="72">
        <f t="shared" si="19"/>
        <v>11033.098465471905</v>
      </c>
      <c r="L51" s="107"/>
      <c r="M51" s="71">
        <f t="shared" si="14"/>
        <v>0</v>
      </c>
      <c r="N51" s="84">
        <f>D51-F51-K51</f>
        <v>0</v>
      </c>
      <c r="P51"/>
      <c r="Q51"/>
      <c r="R51"/>
      <c r="S51"/>
      <c r="T51"/>
      <c r="U51"/>
      <c r="V51"/>
      <c r="W51"/>
    </row>
    <row r="52" spans="1:23">
      <c r="A52" s="103" t="s">
        <v>27</v>
      </c>
      <c r="B52" s="107">
        <v>35.045299999999997</v>
      </c>
      <c r="C52" s="107">
        <f>D52/B52</f>
        <v>0</v>
      </c>
      <c r="D52" s="107">
        <v>0</v>
      </c>
      <c r="E52" s="71">
        <f>C46+C51*6</f>
        <v>357.5849306939183</v>
      </c>
      <c r="F52" s="71">
        <f>B52*E52</f>
        <v>12531.671171647575</v>
      </c>
      <c r="G52" s="71">
        <f t="shared" si="15"/>
        <v>357.5849306939183</v>
      </c>
      <c r="H52" s="71">
        <f t="shared" si="16"/>
        <v>12531.671171647575</v>
      </c>
      <c r="I52" s="116">
        <v>6</v>
      </c>
      <c r="J52" s="72">
        <f>J46*1+J51*6</f>
        <v>357.5849306939183</v>
      </c>
      <c r="K52" s="72">
        <f t="shared" si="19"/>
        <v>12531.671171647575</v>
      </c>
      <c r="L52" s="107"/>
      <c r="M52" s="71">
        <f t="shared" si="14"/>
        <v>0</v>
      </c>
      <c r="N52" s="84">
        <f>F52-K52</f>
        <v>0</v>
      </c>
      <c r="P52"/>
      <c r="Q52"/>
      <c r="R52"/>
      <c r="S52"/>
      <c r="T52"/>
      <c r="U52"/>
      <c r="V52"/>
      <c r="W52"/>
    </row>
    <row r="53" spans="1:23">
      <c r="A53" s="103" t="s">
        <v>28</v>
      </c>
      <c r="B53" s="107">
        <v>106.86672</v>
      </c>
      <c r="C53" s="107">
        <f>D53/B53</f>
        <v>0</v>
      </c>
      <c r="D53" s="107">
        <v>0</v>
      </c>
      <c r="E53" s="107">
        <v>0</v>
      </c>
      <c r="F53" s="107">
        <v>0</v>
      </c>
      <c r="G53" s="71">
        <f t="shared" si="15"/>
        <v>0</v>
      </c>
      <c r="H53" s="71">
        <f t="shared" si="16"/>
        <v>0</v>
      </c>
      <c r="I53" s="116">
        <v>2</v>
      </c>
      <c r="J53" s="75">
        <f>J51*2</f>
        <v>55.182350535448101</v>
      </c>
      <c r="K53" s="75">
        <f t="shared" si="19"/>
        <v>5897.1568036135823</v>
      </c>
      <c r="L53" s="107"/>
      <c r="M53" s="71">
        <f t="shared" si="14"/>
        <v>55.182350535448101</v>
      </c>
      <c r="N53" s="84">
        <f>K53+F53+D53</f>
        <v>5897.1568036135823</v>
      </c>
      <c r="O53" s="6">
        <f>F52/F54</f>
        <v>0.17306751354894076</v>
      </c>
      <c r="P53"/>
      <c r="Q53"/>
      <c r="R53"/>
      <c r="S53"/>
      <c r="T53"/>
      <c r="U53"/>
      <c r="V53"/>
      <c r="W53"/>
    </row>
    <row r="54" spans="1:23">
      <c r="A54" s="103" t="s">
        <v>10</v>
      </c>
      <c r="B54" s="71"/>
      <c r="C54" s="71">
        <f>SUM(C45:C53)</f>
        <v>15697.931241067012</v>
      </c>
      <c r="D54" s="71">
        <f>SUM(D45:D53)</f>
        <v>446154.08019091451</v>
      </c>
      <c r="E54" s="71">
        <f t="shared" ref="E54:F54" si="20">SUM(E45:E53)</f>
        <v>3681.3268541132666</v>
      </c>
      <c r="F54" s="71">
        <f t="shared" si="20"/>
        <v>72409.147821401013</v>
      </c>
      <c r="G54" s="71">
        <f t="shared" si="15"/>
        <v>19379.258095180277</v>
      </c>
      <c r="H54" s="71">
        <f t="shared" si="16"/>
        <v>518563.22801231552</v>
      </c>
      <c r="I54" s="107"/>
      <c r="J54" s="107"/>
      <c r="K54" s="107"/>
      <c r="L54" s="107"/>
      <c r="M54" s="71">
        <f>SUM(M45:M53)</f>
        <v>19324.07574464483</v>
      </c>
      <c r="N54" s="84">
        <f>SUM(N45:N53)</f>
        <v>518563.22801231552</v>
      </c>
      <c r="P54"/>
      <c r="Q54"/>
      <c r="R54"/>
      <c r="S54"/>
      <c r="T54"/>
      <c r="U54"/>
      <c r="V54"/>
      <c r="W54"/>
    </row>
    <row r="55" spans="1:23">
      <c r="A55" s="103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14"/>
      <c r="P55"/>
      <c r="Q55"/>
      <c r="R55"/>
      <c r="S55"/>
      <c r="T55"/>
      <c r="U55"/>
      <c r="V55"/>
      <c r="W55"/>
    </row>
    <row r="56" spans="1:23">
      <c r="A56" s="103"/>
      <c r="B56" s="107"/>
      <c r="C56" s="107"/>
      <c r="D56" s="107"/>
      <c r="E56" s="107"/>
      <c r="F56" s="107"/>
      <c r="G56" s="107"/>
      <c r="H56" s="107"/>
      <c r="I56" s="107"/>
      <c r="J56" s="77"/>
      <c r="K56" s="107" t="s">
        <v>17</v>
      </c>
      <c r="L56" s="107"/>
      <c r="M56" s="107"/>
      <c r="N56" s="114"/>
      <c r="P56"/>
      <c r="Q56"/>
      <c r="R56"/>
      <c r="S56"/>
      <c r="T56"/>
      <c r="U56"/>
      <c r="V56"/>
      <c r="W56"/>
    </row>
    <row r="57" spans="1:23" ht="15.75" thickBot="1">
      <c r="A57" s="78"/>
      <c r="B57" s="79"/>
      <c r="C57" s="79"/>
      <c r="D57" s="79"/>
      <c r="E57" s="79"/>
      <c r="F57" s="79"/>
      <c r="G57" s="79"/>
      <c r="H57" s="79"/>
      <c r="I57" s="79"/>
      <c r="J57" s="80"/>
      <c r="K57" s="79" t="s">
        <v>18</v>
      </c>
      <c r="L57" s="79"/>
      <c r="M57" s="79"/>
      <c r="N57" s="81"/>
    </row>
    <row r="58" spans="1:23" ht="15.75" thickBot="1">
      <c r="J58" s="63"/>
      <c r="K58" s="63"/>
      <c r="L58" s="63"/>
      <c r="M58" s="63"/>
    </row>
    <row r="59" spans="1:23">
      <c r="A59" s="82" t="s">
        <v>34</v>
      </c>
      <c r="B59" s="65"/>
      <c r="C59" s="83" t="s">
        <v>273</v>
      </c>
      <c r="D59" s="65"/>
      <c r="E59" s="65"/>
      <c r="F59" s="67"/>
      <c r="H59" s="2"/>
    </row>
    <row r="60" spans="1:23">
      <c r="A60" s="236" t="s">
        <v>0</v>
      </c>
      <c r="B60" s="68" t="s">
        <v>1</v>
      </c>
      <c r="C60" s="238" t="s">
        <v>35</v>
      </c>
      <c r="D60" s="238"/>
      <c r="E60" s="226" t="s">
        <v>36</v>
      </c>
      <c r="F60" s="231"/>
    </row>
    <row r="61" spans="1:23">
      <c r="A61" s="236"/>
      <c r="B61" s="68" t="s">
        <v>2</v>
      </c>
      <c r="C61" s="90" t="s">
        <v>13</v>
      </c>
      <c r="D61" s="90" t="s">
        <v>12</v>
      </c>
      <c r="E61" s="68" t="s">
        <v>13</v>
      </c>
      <c r="F61" s="69" t="s">
        <v>12</v>
      </c>
      <c r="H61" s="90"/>
      <c r="I61" s="63" t="s">
        <v>277</v>
      </c>
    </row>
    <row r="62" spans="1:23">
      <c r="A62" s="70" t="s">
        <v>3</v>
      </c>
      <c r="B62" s="71">
        <v>277.11195999999995</v>
      </c>
      <c r="C62" s="91">
        <f>D62/B62</f>
        <v>0</v>
      </c>
      <c r="D62" s="90">
        <v>0</v>
      </c>
      <c r="E62" s="71">
        <f>F62/B62</f>
        <v>0</v>
      </c>
      <c r="F62" s="84">
        <f t="shared" ref="F62:F70" si="21">N45-D62</f>
        <v>0</v>
      </c>
    </row>
    <row r="63" spans="1:23">
      <c r="A63" s="70" t="s">
        <v>4</v>
      </c>
      <c r="B63" s="71">
        <v>115.10849999999999</v>
      </c>
      <c r="C63" s="91">
        <f t="shared" ref="C63:C70" si="22">D63/B63</f>
        <v>0</v>
      </c>
      <c r="D63" s="90">
        <v>0</v>
      </c>
      <c r="E63" s="71">
        <f t="shared" ref="E63:E70" si="23">F63/B63</f>
        <v>0</v>
      </c>
      <c r="F63" s="84">
        <f t="shared" si="21"/>
        <v>0</v>
      </c>
    </row>
    <row r="64" spans="1:23">
      <c r="A64" s="70" t="s">
        <v>5</v>
      </c>
      <c r="B64" s="71">
        <v>120.3676</v>
      </c>
      <c r="C64" s="91">
        <f t="shared" si="22"/>
        <v>0</v>
      </c>
      <c r="D64" s="90">
        <v>0</v>
      </c>
      <c r="E64" s="71">
        <f t="shared" si="23"/>
        <v>624.1231070346164</v>
      </c>
      <c r="F64" s="84">
        <f t="shared" si="21"/>
        <v>75124.200498299891</v>
      </c>
    </row>
    <row r="65" spans="1:15">
      <c r="A65" s="70" t="s">
        <v>6</v>
      </c>
      <c r="B65" s="71">
        <v>60.084299999999999</v>
      </c>
      <c r="C65" s="91">
        <f t="shared" si="22"/>
        <v>0</v>
      </c>
      <c r="D65" s="90">
        <v>0</v>
      </c>
      <c r="E65" s="71">
        <f t="shared" si="23"/>
        <v>0</v>
      </c>
      <c r="F65" s="84">
        <f t="shared" si="21"/>
        <v>0</v>
      </c>
    </row>
    <row r="66" spans="1:15">
      <c r="A66" s="70" t="s">
        <v>7</v>
      </c>
      <c r="B66" s="71">
        <v>18.015080000000001</v>
      </c>
      <c r="C66" s="91">
        <f t="shared" si="22"/>
        <v>36.37173106341762</v>
      </c>
      <c r="D66" s="91">
        <f>(D70/(1-Matlab_Input_max!C11))*Matlab_Input_max!C11</f>
        <v>655.23964484595353</v>
      </c>
      <c r="E66" s="71">
        <f t="shared" si="23"/>
        <v>17717.655477652414</v>
      </c>
      <c r="F66" s="84">
        <f t="shared" si="21"/>
        <v>319184.98084234644</v>
      </c>
    </row>
    <row r="67" spans="1:15">
      <c r="A67" s="70" t="s">
        <v>8</v>
      </c>
      <c r="B67" s="71">
        <v>132.13872000000001</v>
      </c>
      <c r="C67" s="91">
        <f t="shared" si="22"/>
        <v>0</v>
      </c>
      <c r="D67" s="90">
        <v>0</v>
      </c>
      <c r="E67" s="71">
        <f t="shared" si="23"/>
        <v>890.74307835893694</v>
      </c>
      <c r="F67" s="84">
        <f t="shared" si="21"/>
        <v>117701.65022320964</v>
      </c>
    </row>
    <row r="68" spans="1:15">
      <c r="A68" s="70" t="s">
        <v>9</v>
      </c>
      <c r="B68" s="71">
        <v>399.87780000000004</v>
      </c>
      <c r="C68" s="91">
        <f t="shared" si="22"/>
        <v>0</v>
      </c>
      <c r="D68" s="90">
        <v>0</v>
      </c>
      <c r="E68" s="71">
        <f t="shared" si="23"/>
        <v>0</v>
      </c>
      <c r="F68" s="84">
        <f t="shared" si="21"/>
        <v>0</v>
      </c>
    </row>
    <row r="69" spans="1:15">
      <c r="A69" s="70" t="s">
        <v>27</v>
      </c>
      <c r="B69" s="68">
        <v>35.045299999999997</v>
      </c>
      <c r="C69" s="91">
        <f t="shared" si="22"/>
        <v>0</v>
      </c>
      <c r="D69" s="90">
        <v>0</v>
      </c>
      <c r="E69" s="71">
        <f t="shared" si="23"/>
        <v>0</v>
      </c>
      <c r="F69" s="84">
        <f t="shared" si="21"/>
        <v>0</v>
      </c>
    </row>
    <row r="70" spans="1:15">
      <c r="A70" s="70" t="s">
        <v>28</v>
      </c>
      <c r="B70" s="68">
        <v>106.86672</v>
      </c>
      <c r="C70" s="91">
        <f t="shared" si="22"/>
        <v>55.182350535448101</v>
      </c>
      <c r="D70" s="91">
        <f>N53</f>
        <v>5897.1568036135823</v>
      </c>
      <c r="E70" s="71">
        <f t="shared" si="23"/>
        <v>0</v>
      </c>
      <c r="F70" s="84">
        <f t="shared" si="21"/>
        <v>0</v>
      </c>
    </row>
    <row r="71" spans="1:15">
      <c r="A71" s="70" t="s">
        <v>10</v>
      </c>
      <c r="B71" s="71"/>
      <c r="C71" s="91">
        <f t="shared" ref="C71:E71" si="24">SUM(C62:C70)</f>
        <v>91.554081598865722</v>
      </c>
      <c r="D71" s="91">
        <f t="shared" si="24"/>
        <v>6552.3964484595363</v>
      </c>
      <c r="E71" s="71">
        <f t="shared" si="24"/>
        <v>19232.521663045965</v>
      </c>
      <c r="F71" s="84">
        <f>SUM(F62:F70)</f>
        <v>512010.83156385599</v>
      </c>
    </row>
    <row r="72" spans="1:15" ht="15.75" thickBot="1">
      <c r="A72" s="78"/>
      <c r="B72" s="79"/>
      <c r="C72" s="79"/>
      <c r="D72" s="79"/>
      <c r="E72" s="79"/>
      <c r="F72" s="81"/>
    </row>
    <row r="73" spans="1:15" ht="15.75" thickBot="1"/>
    <row r="74" spans="1:15" ht="30">
      <c r="A74" s="139" t="s">
        <v>37</v>
      </c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23"/>
      <c r="N74" s="123"/>
      <c r="O74" s="67"/>
    </row>
    <row r="75" spans="1:15">
      <c r="A75" s="103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22"/>
      <c r="N75" s="122"/>
      <c r="O75" s="114"/>
    </row>
    <row r="76" spans="1:15">
      <c r="A76" s="103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22"/>
      <c r="N76" s="122"/>
      <c r="O76" s="114"/>
    </row>
    <row r="77" spans="1:15">
      <c r="A77" s="86" t="s">
        <v>41</v>
      </c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14"/>
    </row>
    <row r="78" spans="1:15">
      <c r="A78" s="86" t="s">
        <v>42</v>
      </c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14"/>
    </row>
    <row r="79" spans="1:15">
      <c r="A79" s="86" t="s">
        <v>43</v>
      </c>
      <c r="B79" s="107"/>
      <c r="C79" s="107"/>
      <c r="D79" s="107"/>
      <c r="E79" s="107"/>
      <c r="F79" s="107"/>
      <c r="G79" s="107"/>
      <c r="H79" s="107"/>
      <c r="L79" s="107"/>
      <c r="O79" s="114"/>
    </row>
    <row r="80" spans="1:15">
      <c r="A80" s="236" t="s">
        <v>0</v>
      </c>
      <c r="B80" s="107" t="s">
        <v>1</v>
      </c>
      <c r="C80" s="226" t="s">
        <v>280</v>
      </c>
      <c r="D80" s="226"/>
      <c r="E80" s="226" t="s">
        <v>286</v>
      </c>
      <c r="F80" s="226"/>
      <c r="G80" s="226" t="s">
        <v>296</v>
      </c>
      <c r="H80" s="227"/>
      <c r="I80" s="116" t="s">
        <v>263</v>
      </c>
      <c r="J80" s="107" t="s">
        <v>32</v>
      </c>
      <c r="K80" s="107"/>
      <c r="L80" s="107"/>
      <c r="M80" s="105" t="s">
        <v>44</v>
      </c>
      <c r="N80" s="105"/>
      <c r="O80" s="114"/>
    </row>
    <row r="81" spans="1:15">
      <c r="A81" s="236"/>
      <c r="B81" s="107" t="s">
        <v>2</v>
      </c>
      <c r="C81" s="107" t="s">
        <v>13</v>
      </c>
      <c r="D81" s="107" t="s">
        <v>12</v>
      </c>
      <c r="E81" s="107" t="s">
        <v>13</v>
      </c>
      <c r="F81" s="107" t="s">
        <v>12</v>
      </c>
      <c r="G81" s="107" t="s">
        <v>13</v>
      </c>
      <c r="H81" s="107" t="s">
        <v>12</v>
      </c>
      <c r="I81" s="116"/>
      <c r="J81" s="107" t="s">
        <v>13</v>
      </c>
      <c r="K81" s="107" t="s">
        <v>12</v>
      </c>
      <c r="L81" s="107"/>
      <c r="M81" s="107" t="s">
        <v>13</v>
      </c>
      <c r="N81" s="107" t="s">
        <v>12</v>
      </c>
      <c r="O81" s="114"/>
    </row>
    <row r="82" spans="1:15">
      <c r="A82" s="103" t="s">
        <v>3</v>
      </c>
      <c r="B82" s="71">
        <v>277.11195999999995</v>
      </c>
      <c r="C82" s="71">
        <f>D82/B82</f>
        <v>0</v>
      </c>
      <c r="D82" s="71">
        <f>F62</f>
        <v>0</v>
      </c>
      <c r="E82" s="107">
        <v>0</v>
      </c>
      <c r="F82" s="107">
        <f>E82*B82</f>
        <v>0</v>
      </c>
      <c r="G82" s="71">
        <f>E82+C82</f>
        <v>0</v>
      </c>
      <c r="H82" s="71">
        <f>F82+D82</f>
        <v>0</v>
      </c>
      <c r="I82" s="116"/>
      <c r="J82" s="88">
        <f>0*J89</f>
        <v>0</v>
      </c>
      <c r="K82" s="88">
        <f t="shared" ref="K82:K93" si="25">J82*B82</f>
        <v>0</v>
      </c>
      <c r="L82" s="107"/>
      <c r="M82" s="71">
        <f t="shared" ref="M82:M93" si="26">N82/B82</f>
        <v>0</v>
      </c>
      <c r="N82" s="71">
        <f>D82+F82-K82</f>
        <v>0</v>
      </c>
      <c r="O82" s="114"/>
    </row>
    <row r="83" spans="1:15">
      <c r="A83" s="103" t="s">
        <v>4</v>
      </c>
      <c r="B83" s="71">
        <v>115.10849999999999</v>
      </c>
      <c r="C83" s="71">
        <f t="shared" ref="C83:C93" si="27">D83/B83</f>
        <v>0</v>
      </c>
      <c r="D83" s="71">
        <f t="shared" ref="D83:D90" si="28">F63</f>
        <v>0</v>
      </c>
      <c r="E83" s="107">
        <v>0</v>
      </c>
      <c r="F83" s="107">
        <f t="shared" ref="F83:F93" si="29">E83*B83</f>
        <v>0</v>
      </c>
      <c r="G83" s="71">
        <f t="shared" ref="G83:H94" si="30">E83+C83</f>
        <v>0</v>
      </c>
      <c r="H83" s="71">
        <f t="shared" si="30"/>
        <v>0</v>
      </c>
      <c r="I83" s="116"/>
      <c r="J83" s="88">
        <f>C83</f>
        <v>0</v>
      </c>
      <c r="K83" s="88">
        <f t="shared" si="25"/>
        <v>0</v>
      </c>
      <c r="L83" s="107"/>
      <c r="M83" s="71">
        <f t="shared" si="26"/>
        <v>0</v>
      </c>
      <c r="N83" s="71">
        <f>D83+F83-K83</f>
        <v>0</v>
      </c>
      <c r="O83" s="114"/>
    </row>
    <row r="84" spans="1:15">
      <c r="A84" s="103" t="s">
        <v>5</v>
      </c>
      <c r="B84" s="71">
        <v>120.3676</v>
      </c>
      <c r="C84" s="71">
        <f t="shared" si="27"/>
        <v>624.1231070346164</v>
      </c>
      <c r="D84" s="71">
        <f>F64</f>
        <v>75124.200498299891</v>
      </c>
      <c r="E84" s="107">
        <v>0</v>
      </c>
      <c r="F84" s="107">
        <f t="shared" si="29"/>
        <v>0</v>
      </c>
      <c r="G84" s="71">
        <f t="shared" si="30"/>
        <v>624.1231070346164</v>
      </c>
      <c r="H84" s="71">
        <f t="shared" si="30"/>
        <v>75124.200498299891</v>
      </c>
      <c r="I84" s="116">
        <v>1</v>
      </c>
      <c r="J84" s="146">
        <f>G84*Matlab_Input_max!C12</f>
        <v>592.9169516828855</v>
      </c>
      <c r="K84" s="146">
        <f t="shared" si="25"/>
        <v>71367.990473384882</v>
      </c>
      <c r="L84" s="107"/>
      <c r="M84" s="71">
        <f t="shared" si="26"/>
        <v>31.206155351730949</v>
      </c>
      <c r="N84" s="71">
        <f>D84+F84-K84</f>
        <v>3756.2100249150099</v>
      </c>
      <c r="O84" s="114"/>
    </row>
    <row r="85" spans="1:15">
      <c r="A85" s="103" t="s">
        <v>6</v>
      </c>
      <c r="B85" s="71">
        <v>60.084299999999999</v>
      </c>
      <c r="C85" s="71">
        <f t="shared" si="27"/>
        <v>0</v>
      </c>
      <c r="D85" s="71">
        <f t="shared" si="28"/>
        <v>0</v>
      </c>
      <c r="E85" s="107">
        <v>0</v>
      </c>
      <c r="F85" s="107">
        <f t="shared" si="29"/>
        <v>0</v>
      </c>
      <c r="G85" s="71">
        <f t="shared" si="30"/>
        <v>0</v>
      </c>
      <c r="H85" s="71">
        <f t="shared" si="30"/>
        <v>0</v>
      </c>
      <c r="I85" s="116"/>
      <c r="J85">
        <v>0</v>
      </c>
      <c r="K85" s="88">
        <f t="shared" si="25"/>
        <v>0</v>
      </c>
      <c r="L85" s="107"/>
      <c r="M85" s="71">
        <f t="shared" si="26"/>
        <v>0</v>
      </c>
      <c r="N85" s="71">
        <f>D85+F85-K85</f>
        <v>0</v>
      </c>
      <c r="O85" s="114"/>
    </row>
    <row r="86" spans="1:15">
      <c r="A86" s="103" t="s">
        <v>7</v>
      </c>
      <c r="B86" s="71">
        <v>18.015080000000001</v>
      </c>
      <c r="C86" s="71">
        <f t="shared" si="27"/>
        <v>17717.655477652414</v>
      </c>
      <c r="D86" s="71">
        <f t="shared" si="28"/>
        <v>319184.98084234644</v>
      </c>
      <c r="E86" s="107">
        <f>F86/B86</f>
        <v>11602.413626324422</v>
      </c>
      <c r="F86" s="107">
        <f>E92*1000/$N$6*$I$6</f>
        <v>209018.40967132457</v>
      </c>
      <c r="G86" s="71">
        <f t="shared" si="30"/>
        <v>29320.069103976835</v>
      </c>
      <c r="H86" s="71">
        <f t="shared" si="30"/>
        <v>528203.39051367098</v>
      </c>
      <c r="I86" s="116">
        <v>2</v>
      </c>
      <c r="J86" s="148">
        <f>J84*I86</f>
        <v>1185.833903365771</v>
      </c>
      <c r="K86" s="146">
        <f t="shared" si="25"/>
        <v>21362.892635846634</v>
      </c>
      <c r="L86" s="107"/>
      <c r="M86" s="71">
        <f t="shared" si="26"/>
        <v>28134.235200611063</v>
      </c>
      <c r="N86" s="71">
        <f>D86+F86-K86</f>
        <v>506840.49787782435</v>
      </c>
      <c r="O86" s="114"/>
    </row>
    <row r="87" spans="1:15">
      <c r="A87" s="103" t="s">
        <v>8</v>
      </c>
      <c r="B87" s="71">
        <v>132.13872000000001</v>
      </c>
      <c r="C87" s="71">
        <f t="shared" si="27"/>
        <v>890.74307835893694</v>
      </c>
      <c r="D87" s="71">
        <f t="shared" si="28"/>
        <v>117701.65022320964</v>
      </c>
      <c r="E87" s="107">
        <v>0</v>
      </c>
      <c r="F87" s="107">
        <f t="shared" si="29"/>
        <v>0</v>
      </c>
      <c r="G87" s="71">
        <f t="shared" si="30"/>
        <v>890.74307835893694</v>
      </c>
      <c r="H87" s="71">
        <f t="shared" si="30"/>
        <v>117701.65022320964</v>
      </c>
      <c r="I87" s="116">
        <v>1</v>
      </c>
      <c r="J87" s="149">
        <f>J84*I87</f>
        <v>592.9169516828855</v>
      </c>
      <c r="K87" s="147">
        <f t="shared" si="25"/>
        <v>78347.287061678333</v>
      </c>
      <c r="L87" s="107"/>
      <c r="M87" s="71">
        <f t="shared" si="26"/>
        <v>1483.6600300418224</v>
      </c>
      <c r="N87" s="71">
        <f>D87+F87+K87</f>
        <v>196048.93728488797</v>
      </c>
      <c r="O87" s="114"/>
    </row>
    <row r="88" spans="1:15">
      <c r="A88" s="103" t="s">
        <v>9</v>
      </c>
      <c r="B88" s="71">
        <v>399.87780000000004</v>
      </c>
      <c r="C88" s="71">
        <f t="shared" si="27"/>
        <v>0</v>
      </c>
      <c r="D88" s="71">
        <f t="shared" si="28"/>
        <v>0</v>
      </c>
      <c r="E88" s="107">
        <v>0</v>
      </c>
      <c r="F88" s="107">
        <f t="shared" si="29"/>
        <v>0</v>
      </c>
      <c r="G88" s="71">
        <f t="shared" si="30"/>
        <v>0</v>
      </c>
      <c r="H88" s="71">
        <f t="shared" si="30"/>
        <v>0</v>
      </c>
      <c r="I88" s="116"/>
      <c r="J88">
        <v>0</v>
      </c>
      <c r="K88" s="88">
        <f t="shared" si="25"/>
        <v>0</v>
      </c>
      <c r="L88" s="107"/>
      <c r="M88" s="71">
        <f t="shared" si="26"/>
        <v>0</v>
      </c>
      <c r="N88" s="71">
        <f>D88+F88-K88</f>
        <v>0</v>
      </c>
      <c r="O88" s="114"/>
    </row>
    <row r="89" spans="1:15">
      <c r="A89" s="103" t="s">
        <v>27</v>
      </c>
      <c r="B89" s="71">
        <v>35.045299999999997</v>
      </c>
      <c r="C89" s="71">
        <f t="shared" si="27"/>
        <v>0</v>
      </c>
      <c r="D89" s="71">
        <f t="shared" si="28"/>
        <v>0</v>
      </c>
      <c r="E89" s="107">
        <v>0</v>
      </c>
      <c r="F89" s="107">
        <f t="shared" si="29"/>
        <v>0</v>
      </c>
      <c r="G89" s="71">
        <f t="shared" si="30"/>
        <v>0</v>
      </c>
      <c r="H89" s="71">
        <f t="shared" si="30"/>
        <v>0</v>
      </c>
      <c r="I89" s="116"/>
      <c r="J89">
        <v>0</v>
      </c>
      <c r="K89" s="88">
        <f t="shared" si="25"/>
        <v>0</v>
      </c>
      <c r="L89" s="107"/>
      <c r="M89" s="71">
        <f t="shared" si="26"/>
        <v>0</v>
      </c>
      <c r="N89" s="71">
        <f>D89+F89-K89</f>
        <v>0</v>
      </c>
      <c r="O89" s="114"/>
    </row>
    <row r="90" spans="1:15">
      <c r="A90" s="103" t="s">
        <v>28</v>
      </c>
      <c r="B90" s="71">
        <v>106.86672</v>
      </c>
      <c r="C90" s="71">
        <f t="shared" si="27"/>
        <v>0</v>
      </c>
      <c r="D90" s="71">
        <f t="shared" si="28"/>
        <v>0</v>
      </c>
      <c r="E90" s="107">
        <v>0</v>
      </c>
      <c r="F90" s="107">
        <f t="shared" si="29"/>
        <v>0</v>
      </c>
      <c r="G90" s="71">
        <f t="shared" si="30"/>
        <v>0</v>
      </c>
      <c r="H90" s="71">
        <f t="shared" si="30"/>
        <v>0</v>
      </c>
      <c r="I90" s="116"/>
      <c r="J90">
        <v>0</v>
      </c>
      <c r="K90" s="88">
        <f t="shared" si="25"/>
        <v>0</v>
      </c>
      <c r="L90" s="107"/>
      <c r="M90" s="71">
        <f t="shared" si="26"/>
        <v>0</v>
      </c>
      <c r="N90" s="71">
        <f>D90+F90-K90</f>
        <v>0</v>
      </c>
      <c r="O90" s="114"/>
    </row>
    <row r="91" spans="1:15">
      <c r="A91" s="103" t="s">
        <v>39</v>
      </c>
      <c r="B91" s="71">
        <v>138.35914</v>
      </c>
      <c r="C91" s="71">
        <f t="shared" si="27"/>
        <v>0</v>
      </c>
      <c r="D91" s="107">
        <v>0</v>
      </c>
      <c r="E91" s="107">
        <v>0</v>
      </c>
      <c r="F91" s="107">
        <f t="shared" si="29"/>
        <v>0</v>
      </c>
      <c r="G91" s="71">
        <f t="shared" si="30"/>
        <v>0</v>
      </c>
      <c r="H91" s="71">
        <f t="shared" si="30"/>
        <v>0</v>
      </c>
      <c r="I91" s="116">
        <v>1</v>
      </c>
      <c r="J91" s="149">
        <f>J84*I91</f>
        <v>592.9169516828855</v>
      </c>
      <c r="K91" s="147">
        <f t="shared" si="25"/>
        <v>82035.479526265583</v>
      </c>
      <c r="L91" s="107"/>
      <c r="M91" s="71">
        <f t="shared" si="26"/>
        <v>592.9169516828855</v>
      </c>
      <c r="N91" s="71">
        <f>D91+F91+K91</f>
        <v>82035.479526265583</v>
      </c>
      <c r="O91" s="114"/>
    </row>
    <row r="92" spans="1:15">
      <c r="A92" s="103" t="s">
        <v>38</v>
      </c>
      <c r="B92" s="71">
        <v>79.0548</v>
      </c>
      <c r="C92" s="71">
        <f t="shared" si="27"/>
        <v>0</v>
      </c>
      <c r="D92" s="107">
        <v>0</v>
      </c>
      <c r="E92" s="71">
        <f>J92/Matlab_Input_max!C12</f>
        <v>1248.2462140692328</v>
      </c>
      <c r="F92" s="71">
        <f>E92*B92</f>
        <v>98679.854804000381</v>
      </c>
      <c r="G92" s="71">
        <f t="shared" si="30"/>
        <v>1248.2462140692328</v>
      </c>
      <c r="H92" s="71">
        <f t="shared" si="30"/>
        <v>98679.854804000381</v>
      </c>
      <c r="I92" s="116">
        <v>2</v>
      </c>
      <c r="J92" s="148">
        <f>J84*I92</f>
        <v>1185.833903365771</v>
      </c>
      <c r="K92" s="146">
        <f t="shared" si="25"/>
        <v>93745.862063800349</v>
      </c>
      <c r="L92" s="107"/>
      <c r="M92" s="71">
        <f t="shared" si="26"/>
        <v>62.412310703461806</v>
      </c>
      <c r="N92" s="71">
        <f>D92+F92-K92</f>
        <v>4933.9927402000321</v>
      </c>
      <c r="O92" s="114"/>
    </row>
    <row r="93" spans="1:15">
      <c r="A93" s="103" t="s">
        <v>40</v>
      </c>
      <c r="B93" s="71">
        <v>44.009500000000003</v>
      </c>
      <c r="C93" s="71">
        <f t="shared" si="27"/>
        <v>0</v>
      </c>
      <c r="D93" s="107">
        <v>0</v>
      </c>
      <c r="E93" s="107">
        <v>0</v>
      </c>
      <c r="F93" s="107">
        <f t="shared" si="29"/>
        <v>0</v>
      </c>
      <c r="G93" s="71">
        <f t="shared" si="30"/>
        <v>0</v>
      </c>
      <c r="H93" s="71">
        <f t="shared" si="30"/>
        <v>0</v>
      </c>
      <c r="I93" s="116">
        <v>1</v>
      </c>
      <c r="J93" s="149">
        <f>J84*I93</f>
        <v>592.9169516828855</v>
      </c>
      <c r="K93" s="147">
        <f t="shared" si="25"/>
        <v>26093.978585087953</v>
      </c>
      <c r="L93" s="107"/>
      <c r="M93" s="71">
        <f t="shared" si="26"/>
        <v>592.9169516828855</v>
      </c>
      <c r="N93" s="71">
        <f>D93+F93+K93</f>
        <v>26093.978585087953</v>
      </c>
      <c r="O93" s="114"/>
    </row>
    <row r="94" spans="1:15">
      <c r="A94" s="103" t="s">
        <v>10</v>
      </c>
      <c r="B94" s="107"/>
      <c r="C94" s="71">
        <f>SUM(C82:C93)</f>
        <v>19232.521663045965</v>
      </c>
      <c r="D94" s="71">
        <f>SUM(D82:D93)</f>
        <v>512010.83156385599</v>
      </c>
      <c r="E94" s="71">
        <f t="shared" ref="E94:F94" si="31">SUM(E82:E93)</f>
        <v>12850.659840393655</v>
      </c>
      <c r="F94" s="71">
        <f t="shared" si="31"/>
        <v>307698.26447532495</v>
      </c>
      <c r="G94" s="71">
        <f t="shared" si="30"/>
        <v>32083.18150343962</v>
      </c>
      <c r="H94" s="71">
        <f t="shared" si="30"/>
        <v>819709.09603918088</v>
      </c>
      <c r="I94" s="107"/>
      <c r="J94" s="77"/>
      <c r="K94" s="107" t="s">
        <v>17</v>
      </c>
      <c r="L94" s="107"/>
      <c r="M94" s="71">
        <f>SUM(M82:M93)</f>
        <v>30897.347600073845</v>
      </c>
      <c r="N94" s="71">
        <f>SUM(N82:N93)</f>
        <v>819709.09603918076</v>
      </c>
      <c r="O94" s="114"/>
    </row>
    <row r="95" spans="1:15" ht="15.75" thickBot="1">
      <c r="A95" s="78"/>
      <c r="B95" s="79"/>
      <c r="C95" s="79"/>
      <c r="D95" s="79"/>
      <c r="E95" s="79"/>
      <c r="F95" s="79"/>
      <c r="G95" s="79"/>
      <c r="H95" s="79"/>
      <c r="I95" s="79"/>
      <c r="J95" s="80"/>
      <c r="K95" s="79" t="s">
        <v>18</v>
      </c>
      <c r="L95" s="79"/>
      <c r="M95" s="79"/>
      <c r="N95" s="79"/>
      <c r="O95" s="81"/>
    </row>
    <row r="96" spans="1:15">
      <c r="A96"/>
      <c r="B96"/>
      <c r="C96"/>
      <c r="D96"/>
      <c r="E96"/>
      <c r="F96"/>
    </row>
    <row r="97" spans="1:9" ht="15.75" thickBot="1"/>
    <row r="98" spans="1:9">
      <c r="A98" s="64"/>
      <c r="B98" s="66"/>
      <c r="C98" s="83" t="s">
        <v>274</v>
      </c>
      <c r="D98" s="66"/>
      <c r="E98" s="66"/>
      <c r="F98" s="67"/>
    </row>
    <row r="99" spans="1:9">
      <c r="A99" s="236" t="s">
        <v>0</v>
      </c>
      <c r="B99" s="87" t="s">
        <v>1</v>
      </c>
      <c r="C99" s="244" t="s">
        <v>45</v>
      </c>
      <c r="D99" s="244"/>
      <c r="E99" s="226" t="s">
        <v>46</v>
      </c>
      <c r="F99" s="231"/>
    </row>
    <row r="100" spans="1:9">
      <c r="A100" s="236"/>
      <c r="B100" s="87" t="s">
        <v>2</v>
      </c>
      <c r="C100" s="98" t="s">
        <v>13</v>
      </c>
      <c r="D100" s="98" t="s">
        <v>12</v>
      </c>
      <c r="E100" s="87" t="s">
        <v>13</v>
      </c>
      <c r="F100" s="69" t="s">
        <v>12</v>
      </c>
      <c r="H100" s="90"/>
      <c r="I100" s="63" t="s">
        <v>277</v>
      </c>
    </row>
    <row r="101" spans="1:9">
      <c r="A101" s="70" t="s">
        <v>3</v>
      </c>
      <c r="B101" s="71">
        <v>277.11195999999995</v>
      </c>
      <c r="C101" s="99">
        <f>D101/B101</f>
        <v>0</v>
      </c>
      <c r="D101" s="99">
        <f>N82</f>
        <v>0</v>
      </c>
      <c r="E101" s="71">
        <f>F101/B101</f>
        <v>0</v>
      </c>
      <c r="F101" s="84">
        <f t="shared" ref="F101:F112" si="32">N82-D101</f>
        <v>0</v>
      </c>
    </row>
    <row r="102" spans="1:9">
      <c r="A102" s="70" t="s">
        <v>4</v>
      </c>
      <c r="B102" s="71">
        <v>115.10849999999999</v>
      </c>
      <c r="C102" s="99">
        <f t="shared" ref="C102:C112" si="33">D102/B102</f>
        <v>0</v>
      </c>
      <c r="D102" s="99">
        <f>N83</f>
        <v>0</v>
      </c>
      <c r="E102" s="71">
        <f t="shared" ref="E102:E112" si="34">F102/B102</f>
        <v>0</v>
      </c>
      <c r="F102" s="84">
        <f t="shared" si="32"/>
        <v>0</v>
      </c>
    </row>
    <row r="103" spans="1:9">
      <c r="A103" s="70" t="s">
        <v>5</v>
      </c>
      <c r="B103" s="71">
        <v>120.3676</v>
      </c>
      <c r="C103" s="99">
        <f t="shared" si="33"/>
        <v>31.206155351730949</v>
      </c>
      <c r="D103" s="99">
        <f>N84</f>
        <v>3756.2100249150099</v>
      </c>
      <c r="E103" s="71">
        <f t="shared" si="34"/>
        <v>0</v>
      </c>
      <c r="F103" s="84">
        <f t="shared" si="32"/>
        <v>0</v>
      </c>
    </row>
    <row r="104" spans="1:9">
      <c r="A104" s="70" t="s">
        <v>6</v>
      </c>
      <c r="B104" s="71">
        <v>60.084299999999999</v>
      </c>
      <c r="C104" s="99">
        <f t="shared" si="33"/>
        <v>0</v>
      </c>
      <c r="D104" s="99">
        <f>N85</f>
        <v>0</v>
      </c>
      <c r="E104" s="71">
        <f t="shared" si="34"/>
        <v>0</v>
      </c>
      <c r="F104" s="84">
        <f t="shared" si="32"/>
        <v>0</v>
      </c>
    </row>
    <row r="105" spans="1:9">
      <c r="A105" s="70" t="s">
        <v>7</v>
      </c>
      <c r="B105" s="71">
        <v>18.015080000000001</v>
      </c>
      <c r="C105" s="99">
        <f t="shared" si="33"/>
        <v>505.96796021423029</v>
      </c>
      <c r="D105" s="99">
        <f>(D110/(1-Matlab_Input_max!C13))*Matlab_Input_max!C13</f>
        <v>9115.0532806961764</v>
      </c>
      <c r="E105" s="71">
        <f t="shared" si="34"/>
        <v>27628.267240396832</v>
      </c>
      <c r="F105" s="84">
        <f t="shared" si="32"/>
        <v>497725.4445971282</v>
      </c>
      <c r="G105" s="6" t="s">
        <v>289</v>
      </c>
    </row>
    <row r="106" spans="1:9">
      <c r="A106" s="70" t="s">
        <v>8</v>
      </c>
      <c r="B106" s="71">
        <v>132.13872000000001</v>
      </c>
      <c r="C106" s="99">
        <f t="shared" si="33"/>
        <v>0</v>
      </c>
      <c r="D106" s="99">
        <v>0</v>
      </c>
      <c r="E106" s="71">
        <f t="shared" si="34"/>
        <v>1483.6600300418224</v>
      </c>
      <c r="F106" s="84">
        <f t="shared" si="32"/>
        <v>196048.93728488797</v>
      </c>
    </row>
    <row r="107" spans="1:9">
      <c r="A107" s="70" t="s">
        <v>9</v>
      </c>
      <c r="B107" s="71">
        <v>399.87780000000004</v>
      </c>
      <c r="C107" s="99">
        <f t="shared" si="33"/>
        <v>0</v>
      </c>
      <c r="D107" s="99">
        <f>N88</f>
        <v>0</v>
      </c>
      <c r="E107" s="71">
        <f t="shared" si="34"/>
        <v>0</v>
      </c>
      <c r="F107" s="84">
        <f t="shared" si="32"/>
        <v>0</v>
      </c>
    </row>
    <row r="108" spans="1:9">
      <c r="A108" s="70" t="s">
        <v>27</v>
      </c>
      <c r="B108" s="71">
        <v>35.045299999999997</v>
      </c>
      <c r="C108" s="99">
        <f t="shared" si="33"/>
        <v>0</v>
      </c>
      <c r="D108" s="99">
        <f>N89</f>
        <v>0</v>
      </c>
      <c r="E108" s="71">
        <f t="shared" si="34"/>
        <v>0</v>
      </c>
      <c r="F108" s="84">
        <f t="shared" si="32"/>
        <v>0</v>
      </c>
    </row>
    <row r="109" spans="1:9">
      <c r="A109" s="70" t="s">
        <v>28</v>
      </c>
      <c r="B109" s="71">
        <v>106.86672</v>
      </c>
      <c r="C109" s="99">
        <f t="shared" si="33"/>
        <v>0</v>
      </c>
      <c r="D109" s="99">
        <f>N90</f>
        <v>0</v>
      </c>
      <c r="E109" s="71">
        <f t="shared" si="34"/>
        <v>0</v>
      </c>
      <c r="F109" s="84">
        <f t="shared" si="32"/>
        <v>0</v>
      </c>
    </row>
    <row r="110" spans="1:9">
      <c r="A110" s="70" t="s">
        <v>39</v>
      </c>
      <c r="B110" s="71">
        <v>138.35914</v>
      </c>
      <c r="C110" s="99">
        <f t="shared" si="33"/>
        <v>592.9169516828855</v>
      </c>
      <c r="D110" s="99">
        <f>N91</f>
        <v>82035.479526265583</v>
      </c>
      <c r="E110" s="71">
        <f t="shared" si="34"/>
        <v>0</v>
      </c>
      <c r="F110" s="84">
        <f t="shared" si="32"/>
        <v>0</v>
      </c>
    </row>
    <row r="111" spans="1:9">
      <c r="A111" s="70" t="s">
        <v>38</v>
      </c>
      <c r="B111" s="71">
        <v>79.0548</v>
      </c>
      <c r="C111" s="99">
        <f t="shared" si="33"/>
        <v>62.412310703461806</v>
      </c>
      <c r="D111" s="99">
        <f>N92</f>
        <v>4933.9927402000321</v>
      </c>
      <c r="E111" s="71">
        <f t="shared" si="34"/>
        <v>0</v>
      </c>
      <c r="F111" s="84">
        <f t="shared" si="32"/>
        <v>0</v>
      </c>
    </row>
    <row r="112" spans="1:9">
      <c r="A112" s="70" t="s">
        <v>40</v>
      </c>
      <c r="B112" s="71">
        <v>44.009500000000003</v>
      </c>
      <c r="C112" s="99">
        <f t="shared" si="33"/>
        <v>0</v>
      </c>
      <c r="D112" s="99">
        <v>0</v>
      </c>
      <c r="E112" s="71">
        <f t="shared" si="34"/>
        <v>592.9169516828855</v>
      </c>
      <c r="F112" s="84">
        <f t="shared" si="32"/>
        <v>26093.978585087953</v>
      </c>
    </row>
    <row r="113" spans="1:8">
      <c r="A113" s="70" t="s">
        <v>10</v>
      </c>
      <c r="B113" s="87"/>
      <c r="C113" s="99">
        <f>SUM(C101:C112)</f>
        <v>1192.5033779523085</v>
      </c>
      <c r="D113" s="99">
        <f>SUM(D101:D112)</f>
        <v>99840.735572076796</v>
      </c>
      <c r="E113" s="71">
        <f t="shared" ref="E113:F113" si="35">SUM(E101:E112)</f>
        <v>29704.844222121537</v>
      </c>
      <c r="F113" s="84">
        <f t="shared" si="35"/>
        <v>719868.36046710412</v>
      </c>
    </row>
    <row r="114" spans="1:8" ht="15.75" thickBot="1">
      <c r="A114" s="78"/>
      <c r="B114" s="79"/>
      <c r="C114" s="79"/>
      <c r="D114" s="79"/>
      <c r="E114" s="79"/>
      <c r="F114" s="81"/>
    </row>
    <row r="115" spans="1:8" ht="15.75" thickBot="1"/>
    <row r="116" spans="1:8" ht="30">
      <c r="A116" s="139" t="s">
        <v>47</v>
      </c>
      <c r="B116" s="66"/>
      <c r="C116" s="83" t="s">
        <v>49</v>
      </c>
      <c r="D116" s="66"/>
      <c r="E116" s="66"/>
      <c r="F116" s="66"/>
      <c r="G116" s="66"/>
      <c r="H116" s="67"/>
    </row>
    <row r="117" spans="1:8">
      <c r="A117" s="236" t="s">
        <v>0</v>
      </c>
      <c r="B117" s="87" t="s">
        <v>1</v>
      </c>
      <c r="C117" s="226" t="s">
        <v>48</v>
      </c>
      <c r="D117" s="226"/>
      <c r="E117" s="226" t="s">
        <v>51</v>
      </c>
      <c r="F117" s="226"/>
      <c r="G117" s="226" t="s">
        <v>50</v>
      </c>
      <c r="H117" s="231"/>
    </row>
    <row r="118" spans="1:8">
      <c r="A118" s="236"/>
      <c r="B118" s="87" t="s">
        <v>2</v>
      </c>
      <c r="C118" s="87" t="s">
        <v>13</v>
      </c>
      <c r="D118" s="87" t="s">
        <v>12</v>
      </c>
      <c r="E118" s="87" t="s">
        <v>13</v>
      </c>
      <c r="F118" s="87" t="s">
        <v>12</v>
      </c>
      <c r="G118" s="87" t="s">
        <v>13</v>
      </c>
      <c r="H118" s="69" t="s">
        <v>12</v>
      </c>
    </row>
    <row r="119" spans="1:8">
      <c r="A119" s="70" t="s">
        <v>3</v>
      </c>
      <c r="B119" s="71">
        <v>277.11195999999995</v>
      </c>
      <c r="C119" s="71">
        <f>D119/B119</f>
        <v>0</v>
      </c>
      <c r="D119" s="71">
        <f>F101</f>
        <v>0</v>
      </c>
      <c r="E119" s="71">
        <f>F119/B119</f>
        <v>0</v>
      </c>
      <c r="F119" s="71">
        <f>D119</f>
        <v>0</v>
      </c>
      <c r="G119" s="71">
        <f>H119/B119</f>
        <v>0</v>
      </c>
      <c r="H119" s="84">
        <f>D119-F119</f>
        <v>0</v>
      </c>
    </row>
    <row r="120" spans="1:8">
      <c r="A120" s="70" t="s">
        <v>4</v>
      </c>
      <c r="B120" s="71">
        <v>115.10849999999999</v>
      </c>
      <c r="C120" s="71">
        <f t="shared" ref="C120:C130" si="36">D120/B120</f>
        <v>0</v>
      </c>
      <c r="D120" s="71">
        <f t="shared" ref="D120:D130" si="37">F102</f>
        <v>0</v>
      </c>
      <c r="E120" s="71">
        <f t="shared" ref="E120:E130" si="38">F120/B120</f>
        <v>0</v>
      </c>
      <c r="F120" s="71">
        <f t="shared" ref="F120:F129" si="39">D120</f>
        <v>0</v>
      </c>
      <c r="G120" s="71">
        <f t="shared" ref="G120:G130" si="40">H120/B120</f>
        <v>0</v>
      </c>
      <c r="H120" s="84">
        <f t="shared" ref="H120:H130" si="41">D120-F120</f>
        <v>0</v>
      </c>
    </row>
    <row r="121" spans="1:8">
      <c r="A121" s="70" t="s">
        <v>5</v>
      </c>
      <c r="B121" s="71">
        <v>120.3676</v>
      </c>
      <c r="C121" s="71">
        <f t="shared" si="36"/>
        <v>0</v>
      </c>
      <c r="D121" s="71">
        <f t="shared" si="37"/>
        <v>0</v>
      </c>
      <c r="E121" s="71">
        <f t="shared" si="38"/>
        <v>0</v>
      </c>
      <c r="F121" s="71">
        <f t="shared" si="39"/>
        <v>0</v>
      </c>
      <c r="G121" s="71">
        <f t="shared" si="40"/>
        <v>0</v>
      </c>
      <c r="H121" s="84">
        <f t="shared" si="41"/>
        <v>0</v>
      </c>
    </row>
    <row r="122" spans="1:8">
      <c r="A122" s="70" t="s">
        <v>6</v>
      </c>
      <c r="B122" s="71">
        <v>60.084299999999999</v>
      </c>
      <c r="C122" s="71">
        <f t="shared" si="36"/>
        <v>0</v>
      </c>
      <c r="D122" s="71">
        <f t="shared" si="37"/>
        <v>0</v>
      </c>
      <c r="E122" s="71">
        <f t="shared" si="38"/>
        <v>0</v>
      </c>
      <c r="F122" s="71">
        <f t="shared" si="39"/>
        <v>0</v>
      </c>
      <c r="G122" s="71">
        <f t="shared" si="40"/>
        <v>0</v>
      </c>
      <c r="H122" s="84">
        <f t="shared" si="41"/>
        <v>0</v>
      </c>
    </row>
    <row r="123" spans="1:8">
      <c r="A123" s="70" t="s">
        <v>7</v>
      </c>
      <c r="B123" s="71">
        <v>18.015080000000001</v>
      </c>
      <c r="C123" s="71">
        <f t="shared" si="36"/>
        <v>27628.267240396832</v>
      </c>
      <c r="D123" s="71">
        <f>F105</f>
        <v>497725.4445971282</v>
      </c>
      <c r="E123" s="71">
        <f>F123/B123</f>
        <v>552.56534480793709</v>
      </c>
      <c r="F123" s="71">
        <f>D123*(1-Matlab_Input_max!C14)</f>
        <v>9954.5088919425725</v>
      </c>
      <c r="G123" s="71">
        <f>H123/B123</f>
        <v>27075.701895588896</v>
      </c>
      <c r="H123" s="84">
        <f>D123-F123</f>
        <v>487770.93570518564</v>
      </c>
    </row>
    <row r="124" spans="1:8">
      <c r="A124" s="70" t="s">
        <v>8</v>
      </c>
      <c r="B124" s="71">
        <v>132.13872000000001</v>
      </c>
      <c r="C124" s="71">
        <f t="shared" si="36"/>
        <v>1483.6600300418224</v>
      </c>
      <c r="D124" s="71">
        <f>F106</f>
        <v>196048.93728488797</v>
      </c>
      <c r="E124" s="71">
        <f t="shared" si="38"/>
        <v>1483.6600300418224</v>
      </c>
      <c r="F124" s="71">
        <f>D124</f>
        <v>196048.93728488797</v>
      </c>
      <c r="G124" s="71">
        <f t="shared" si="40"/>
        <v>0</v>
      </c>
      <c r="H124" s="84">
        <f t="shared" si="41"/>
        <v>0</v>
      </c>
    </row>
    <row r="125" spans="1:8">
      <c r="A125" s="70" t="s">
        <v>9</v>
      </c>
      <c r="B125" s="71">
        <v>399.87780000000004</v>
      </c>
      <c r="C125" s="71">
        <f t="shared" si="36"/>
        <v>0</v>
      </c>
      <c r="D125" s="71">
        <f t="shared" si="37"/>
        <v>0</v>
      </c>
      <c r="E125" s="71">
        <f t="shared" si="38"/>
        <v>0</v>
      </c>
      <c r="F125" s="71">
        <f t="shared" si="39"/>
        <v>0</v>
      </c>
      <c r="G125" s="71">
        <f t="shared" si="40"/>
        <v>0</v>
      </c>
      <c r="H125" s="84">
        <f t="shared" si="41"/>
        <v>0</v>
      </c>
    </row>
    <row r="126" spans="1:8">
      <c r="A126" s="70" t="s">
        <v>27</v>
      </c>
      <c r="B126" s="71">
        <v>35.045299999999997</v>
      </c>
      <c r="C126" s="71">
        <f t="shared" si="36"/>
        <v>0</v>
      </c>
      <c r="D126" s="71">
        <f t="shared" si="37"/>
        <v>0</v>
      </c>
      <c r="E126" s="71">
        <f t="shared" si="38"/>
        <v>0</v>
      </c>
      <c r="F126" s="71">
        <f t="shared" si="39"/>
        <v>0</v>
      </c>
      <c r="G126" s="71">
        <f t="shared" si="40"/>
        <v>0</v>
      </c>
      <c r="H126" s="84">
        <f t="shared" si="41"/>
        <v>0</v>
      </c>
    </row>
    <row r="127" spans="1:8">
      <c r="A127" s="70" t="s">
        <v>28</v>
      </c>
      <c r="B127" s="71">
        <v>106.86672</v>
      </c>
      <c r="C127" s="71">
        <f t="shared" si="36"/>
        <v>0</v>
      </c>
      <c r="D127" s="71">
        <f t="shared" si="37"/>
        <v>0</v>
      </c>
      <c r="E127" s="71">
        <f t="shared" si="38"/>
        <v>0</v>
      </c>
      <c r="F127" s="71">
        <f t="shared" si="39"/>
        <v>0</v>
      </c>
      <c r="G127" s="71">
        <f t="shared" si="40"/>
        <v>0</v>
      </c>
      <c r="H127" s="84">
        <f t="shared" si="41"/>
        <v>0</v>
      </c>
    </row>
    <row r="128" spans="1:8">
      <c r="A128" s="70" t="s">
        <v>39</v>
      </c>
      <c r="B128" s="71">
        <v>138.35914</v>
      </c>
      <c r="C128" s="71">
        <f t="shared" si="36"/>
        <v>0</v>
      </c>
      <c r="D128" s="71">
        <f t="shared" si="37"/>
        <v>0</v>
      </c>
      <c r="E128" s="71">
        <f t="shared" si="38"/>
        <v>0</v>
      </c>
      <c r="F128" s="71">
        <f t="shared" si="39"/>
        <v>0</v>
      </c>
      <c r="G128" s="71">
        <f t="shared" si="40"/>
        <v>0</v>
      </c>
      <c r="H128" s="84">
        <f t="shared" si="41"/>
        <v>0</v>
      </c>
    </row>
    <row r="129" spans="1:12">
      <c r="A129" s="70" t="s">
        <v>38</v>
      </c>
      <c r="B129" s="71">
        <v>79.0548</v>
      </c>
      <c r="C129" s="71">
        <f t="shared" si="36"/>
        <v>0</v>
      </c>
      <c r="D129" s="71">
        <f t="shared" si="37"/>
        <v>0</v>
      </c>
      <c r="E129" s="71">
        <f t="shared" si="38"/>
        <v>0</v>
      </c>
      <c r="F129" s="71">
        <f t="shared" si="39"/>
        <v>0</v>
      </c>
      <c r="G129" s="71">
        <f t="shared" si="40"/>
        <v>0</v>
      </c>
      <c r="H129" s="84">
        <f t="shared" si="41"/>
        <v>0</v>
      </c>
    </row>
    <row r="130" spans="1:12">
      <c r="A130" s="70" t="s">
        <v>40</v>
      </c>
      <c r="B130" s="71">
        <v>44.009500000000003</v>
      </c>
      <c r="C130" s="71">
        <f t="shared" si="36"/>
        <v>592.9169516828855</v>
      </c>
      <c r="D130" s="71">
        <f t="shared" si="37"/>
        <v>26093.978585087953</v>
      </c>
      <c r="E130" s="71">
        <f t="shared" si="38"/>
        <v>0</v>
      </c>
      <c r="F130" s="71">
        <v>0</v>
      </c>
      <c r="G130" s="71">
        <f t="shared" si="40"/>
        <v>592.9169516828855</v>
      </c>
      <c r="H130" s="84">
        <f t="shared" si="41"/>
        <v>26093.978585087953</v>
      </c>
    </row>
    <row r="131" spans="1:12" ht="15.75" thickBot="1">
      <c r="A131" s="78" t="s">
        <v>10</v>
      </c>
      <c r="B131" s="79"/>
      <c r="C131" s="100">
        <f>SUM(C119:C130)</f>
        <v>29704.844222121537</v>
      </c>
      <c r="D131" s="100">
        <f>SUM(D119:D130)</f>
        <v>719868.36046710412</v>
      </c>
      <c r="E131" s="100">
        <f>SUM(E119:E130)</f>
        <v>2036.2253748497596</v>
      </c>
      <c r="F131" s="100">
        <f>SUM(F119:F130)</f>
        <v>206003.44617683053</v>
      </c>
      <c r="G131" s="100">
        <f t="shared" ref="G131:H131" si="42">SUM(G119:G130)</f>
        <v>27668.61884727178</v>
      </c>
      <c r="H131" s="101">
        <f t="shared" si="42"/>
        <v>513864.91429027356</v>
      </c>
    </row>
    <row r="133" spans="1:12" ht="15.75" thickBot="1"/>
    <row r="134" spans="1:12" ht="30">
      <c r="A134" s="139" t="s">
        <v>52</v>
      </c>
      <c r="B134" s="66"/>
      <c r="C134" s="66"/>
      <c r="D134" s="66"/>
      <c r="E134" s="66"/>
      <c r="F134" s="66"/>
      <c r="G134" s="66"/>
      <c r="H134" s="66"/>
      <c r="I134" s="66"/>
      <c r="J134" s="67"/>
    </row>
    <row r="135" spans="1:12">
      <c r="A135" s="70"/>
      <c r="B135" s="87"/>
      <c r="C135" s="87"/>
      <c r="D135" s="87"/>
      <c r="E135" s="87"/>
      <c r="F135" s="87"/>
      <c r="G135" s="87"/>
      <c r="H135" s="87"/>
      <c r="I135" s="87"/>
      <c r="J135" s="69"/>
    </row>
    <row r="136" spans="1:12">
      <c r="A136" s="70"/>
      <c r="B136" s="87"/>
      <c r="C136" s="87"/>
      <c r="D136" s="87"/>
      <c r="E136" s="87"/>
      <c r="F136" s="87"/>
      <c r="G136" s="87"/>
      <c r="H136" s="87"/>
      <c r="I136" s="87"/>
      <c r="J136" s="69"/>
    </row>
    <row r="137" spans="1:12">
      <c r="A137" s="86" t="s">
        <v>53</v>
      </c>
      <c r="B137" s="87"/>
      <c r="C137" s="87"/>
      <c r="D137" s="87"/>
      <c r="E137" s="87"/>
      <c r="F137" s="87"/>
      <c r="G137" s="87"/>
      <c r="H137" s="87"/>
      <c r="I137" s="87"/>
      <c r="J137" s="69"/>
    </row>
    <row r="138" spans="1:12">
      <c r="A138" s="70"/>
      <c r="B138" s="87"/>
      <c r="C138" s="87"/>
      <c r="D138" s="87"/>
      <c r="E138" s="87"/>
      <c r="F138" s="87"/>
      <c r="G138" s="87"/>
      <c r="H138" s="87"/>
      <c r="I138" s="87"/>
      <c r="J138" s="69"/>
    </row>
    <row r="139" spans="1:12">
      <c r="A139" s="236" t="s">
        <v>0</v>
      </c>
      <c r="B139" s="87" t="s">
        <v>1</v>
      </c>
      <c r="C139" s="226" t="s">
        <v>55</v>
      </c>
      <c r="D139" s="226"/>
      <c r="E139" s="226"/>
      <c r="F139" s="226"/>
      <c r="G139" s="87"/>
      <c r="H139" s="227" t="s">
        <v>32</v>
      </c>
      <c r="I139" s="227"/>
      <c r="J139" s="69"/>
      <c r="K139" s="234"/>
      <c r="L139" s="234"/>
    </row>
    <row r="140" spans="1:12">
      <c r="A140" s="236"/>
      <c r="B140" s="87" t="s">
        <v>2</v>
      </c>
      <c r="C140" s="87" t="s">
        <v>13</v>
      </c>
      <c r="D140" s="87" t="s">
        <v>12</v>
      </c>
      <c r="E140" s="87"/>
      <c r="F140" s="87"/>
      <c r="G140" s="94" t="s">
        <v>263</v>
      </c>
      <c r="H140" s="87" t="s">
        <v>13</v>
      </c>
      <c r="I140" s="87" t="s">
        <v>12</v>
      </c>
      <c r="J140" s="69"/>
      <c r="K140" s="7"/>
      <c r="L140" s="7"/>
    </row>
    <row r="141" spans="1:12">
      <c r="A141" s="70" t="s">
        <v>3</v>
      </c>
      <c r="B141" s="71">
        <v>277.11195999999995</v>
      </c>
      <c r="C141" s="71">
        <f>D141/B141</f>
        <v>0</v>
      </c>
      <c r="D141" s="71">
        <f>F119</f>
        <v>0</v>
      </c>
      <c r="E141" s="71"/>
      <c r="F141" s="71"/>
      <c r="G141" s="94"/>
      <c r="H141" s="88">
        <v>0</v>
      </c>
      <c r="I141" s="88">
        <f t="shared" ref="I141:I153" si="43">H141*B141</f>
        <v>0</v>
      </c>
      <c r="J141" s="69"/>
    </row>
    <row r="142" spans="1:12">
      <c r="A142" s="70" t="s">
        <v>293</v>
      </c>
      <c r="B142" s="71">
        <v>115.10849999999999</v>
      </c>
      <c r="C142" s="71">
        <f t="shared" ref="C142:C153" si="44">D142/B142</f>
        <v>0</v>
      </c>
      <c r="D142" s="71">
        <f t="shared" ref="D142:D152" si="45">F120</f>
        <v>0</v>
      </c>
      <c r="E142" s="71"/>
      <c r="F142" s="71"/>
      <c r="G142" s="94">
        <v>1</v>
      </c>
      <c r="H142" s="75">
        <f>H146</f>
        <v>1483.6600300418224</v>
      </c>
      <c r="I142" s="75">
        <f>H142*B142</f>
        <v>170781.88056806911</v>
      </c>
      <c r="J142" s="69"/>
    </row>
    <row r="143" spans="1:12">
      <c r="A143" s="70" t="s">
        <v>5</v>
      </c>
      <c r="B143" s="71">
        <v>120.3676</v>
      </c>
      <c r="C143" s="71">
        <f t="shared" si="44"/>
        <v>0</v>
      </c>
      <c r="D143" s="71">
        <f t="shared" si="45"/>
        <v>0</v>
      </c>
      <c r="E143" s="71"/>
      <c r="F143" s="71"/>
      <c r="G143" s="94"/>
      <c r="H143" s="88">
        <v>0</v>
      </c>
      <c r="I143" s="88">
        <f>H143*B143</f>
        <v>0</v>
      </c>
      <c r="J143" s="69"/>
    </row>
    <row r="144" spans="1:12">
      <c r="A144" s="70" t="s">
        <v>6</v>
      </c>
      <c r="B144" s="71">
        <v>60.084299999999999</v>
      </c>
      <c r="C144" s="71">
        <f t="shared" si="44"/>
        <v>0</v>
      </c>
      <c r="D144" s="71">
        <f t="shared" si="45"/>
        <v>0</v>
      </c>
      <c r="E144" s="71"/>
      <c r="F144" s="71"/>
      <c r="G144" s="94"/>
      <c r="H144" s="88">
        <v>0</v>
      </c>
      <c r="I144" s="88">
        <f>H144*B144</f>
        <v>0</v>
      </c>
      <c r="J144" s="69"/>
    </row>
    <row r="145" spans="1:10">
      <c r="A145" s="70" t="s">
        <v>7</v>
      </c>
      <c r="B145" s="71">
        <v>18.015080000000001</v>
      </c>
      <c r="C145" s="71">
        <f t="shared" si="44"/>
        <v>552.56534480793709</v>
      </c>
      <c r="D145" s="71">
        <f t="shared" si="45"/>
        <v>9954.5088919425725</v>
      </c>
      <c r="E145" s="71"/>
      <c r="F145" s="71"/>
      <c r="G145" s="94"/>
      <c r="H145" s="88">
        <v>0</v>
      </c>
      <c r="I145" s="88">
        <f t="shared" si="43"/>
        <v>0</v>
      </c>
      <c r="J145" s="69"/>
    </row>
    <row r="146" spans="1:10">
      <c r="A146" s="70" t="s">
        <v>292</v>
      </c>
      <c r="B146" s="71">
        <v>132.13872000000001</v>
      </c>
      <c r="C146" s="71">
        <f t="shared" si="44"/>
        <v>1483.6600300418224</v>
      </c>
      <c r="D146" s="71">
        <f t="shared" si="45"/>
        <v>196048.93728488797</v>
      </c>
      <c r="E146" s="71"/>
      <c r="F146" s="71"/>
      <c r="G146" s="94">
        <v>1</v>
      </c>
      <c r="H146" s="72">
        <f>C146</f>
        <v>1483.6600300418224</v>
      </c>
      <c r="I146" s="72">
        <f t="shared" si="43"/>
        <v>196048.93728488797</v>
      </c>
      <c r="J146" s="69"/>
    </row>
    <row r="147" spans="1:10">
      <c r="A147" s="70" t="s">
        <v>9</v>
      </c>
      <c r="B147" s="71">
        <v>399.87780000000004</v>
      </c>
      <c r="C147" s="71">
        <f t="shared" si="44"/>
        <v>0</v>
      </c>
      <c r="D147" s="71">
        <f t="shared" si="45"/>
        <v>0</v>
      </c>
      <c r="E147" s="71"/>
      <c r="F147" s="71"/>
      <c r="G147" s="94"/>
      <c r="H147" s="88">
        <v>0</v>
      </c>
      <c r="I147" s="88">
        <f t="shared" si="43"/>
        <v>0</v>
      </c>
      <c r="J147" s="69"/>
    </row>
    <row r="148" spans="1:10">
      <c r="A148" s="70" t="s">
        <v>27</v>
      </c>
      <c r="B148" s="71">
        <v>35.045299999999997</v>
      </c>
      <c r="C148" s="71">
        <f t="shared" si="44"/>
        <v>0</v>
      </c>
      <c r="D148" s="71">
        <f t="shared" si="45"/>
        <v>0</v>
      </c>
      <c r="E148" s="71"/>
      <c r="F148" s="71"/>
      <c r="G148" s="94"/>
      <c r="H148" s="88">
        <v>0</v>
      </c>
      <c r="I148" s="88">
        <f t="shared" si="43"/>
        <v>0</v>
      </c>
      <c r="J148" s="69"/>
    </row>
    <row r="149" spans="1:10">
      <c r="A149" s="70" t="s">
        <v>28</v>
      </c>
      <c r="B149" s="71">
        <v>106.86672</v>
      </c>
      <c r="C149" s="71">
        <f t="shared" si="44"/>
        <v>0</v>
      </c>
      <c r="D149" s="71">
        <f t="shared" si="45"/>
        <v>0</v>
      </c>
      <c r="E149" s="71"/>
      <c r="F149" s="71"/>
      <c r="G149" s="94"/>
      <c r="H149" s="88">
        <v>0</v>
      </c>
      <c r="I149" s="88">
        <f t="shared" si="43"/>
        <v>0</v>
      </c>
      <c r="J149" s="69"/>
    </row>
    <row r="150" spans="1:10">
      <c r="A150" s="70" t="s">
        <v>39</v>
      </c>
      <c r="B150" s="71">
        <v>138.35914</v>
      </c>
      <c r="C150" s="71">
        <f t="shared" si="44"/>
        <v>0</v>
      </c>
      <c r="D150" s="71">
        <f t="shared" si="45"/>
        <v>0</v>
      </c>
      <c r="E150" s="71"/>
      <c r="F150" s="71"/>
      <c r="G150" s="94"/>
      <c r="H150" s="88">
        <v>0</v>
      </c>
      <c r="I150" s="88">
        <f t="shared" si="43"/>
        <v>0</v>
      </c>
      <c r="J150" s="69"/>
    </row>
    <row r="151" spans="1:10">
      <c r="A151" s="70" t="s">
        <v>291</v>
      </c>
      <c r="B151" s="71">
        <v>79.0548</v>
      </c>
      <c r="C151" s="71">
        <f t="shared" si="44"/>
        <v>0</v>
      </c>
      <c r="D151" s="71">
        <f t="shared" si="45"/>
        <v>0</v>
      </c>
      <c r="E151" s="71"/>
      <c r="F151" s="71"/>
      <c r="G151" s="94"/>
      <c r="H151" s="88">
        <v>0</v>
      </c>
      <c r="I151" s="88">
        <f t="shared" si="43"/>
        <v>0</v>
      </c>
      <c r="J151" s="69"/>
    </row>
    <row r="152" spans="1:10">
      <c r="A152" s="70" t="s">
        <v>40</v>
      </c>
      <c r="B152" s="71">
        <v>44.009500000000003</v>
      </c>
      <c r="C152" s="71">
        <f t="shared" si="44"/>
        <v>0</v>
      </c>
      <c r="D152" s="71">
        <f t="shared" si="45"/>
        <v>0</v>
      </c>
      <c r="E152" s="71"/>
      <c r="F152" s="71"/>
      <c r="G152" s="94"/>
      <c r="H152" s="88">
        <v>0</v>
      </c>
      <c r="I152" s="88">
        <f t="shared" si="43"/>
        <v>0</v>
      </c>
      <c r="J152" s="69"/>
    </row>
    <row r="153" spans="1:10">
      <c r="A153" s="70" t="s">
        <v>54</v>
      </c>
      <c r="B153" s="87">
        <v>17.03022</v>
      </c>
      <c r="C153" s="71">
        <f t="shared" si="44"/>
        <v>0</v>
      </c>
      <c r="D153" s="87">
        <v>0</v>
      </c>
      <c r="E153" s="71"/>
      <c r="F153" s="71"/>
      <c r="G153" s="94">
        <v>1</v>
      </c>
      <c r="H153" s="75">
        <f>H146</f>
        <v>1483.6600300418224</v>
      </c>
      <c r="I153" s="75">
        <f t="shared" si="43"/>
        <v>25267.056716818846</v>
      </c>
      <c r="J153" s="69"/>
    </row>
    <row r="154" spans="1:10">
      <c r="A154" s="70" t="s">
        <v>10</v>
      </c>
      <c r="B154" s="87"/>
      <c r="C154" s="71">
        <f>SUM(C141:C152)</f>
        <v>2036.2253748497596</v>
      </c>
      <c r="D154" s="71">
        <f>SUM(D141:D152)</f>
        <v>206003.44617683053</v>
      </c>
      <c r="E154" s="71"/>
      <c r="F154" s="71"/>
      <c r="G154" s="87"/>
      <c r="H154" s="87"/>
      <c r="I154" s="87"/>
      <c r="J154" s="69"/>
    </row>
    <row r="155" spans="1:10">
      <c r="A155" s="70"/>
      <c r="B155" s="87"/>
      <c r="C155" s="87"/>
      <c r="D155" s="87"/>
      <c r="E155" s="87"/>
      <c r="F155" s="87"/>
      <c r="G155" s="87"/>
      <c r="H155" s="77"/>
      <c r="I155" s="87" t="s">
        <v>17</v>
      </c>
      <c r="J155" s="69"/>
    </row>
    <row r="156" spans="1:10" ht="15.75" thickBot="1">
      <c r="A156" s="78"/>
      <c r="B156" s="79"/>
      <c r="C156" s="79"/>
      <c r="D156" s="79"/>
      <c r="E156" s="79"/>
      <c r="F156" s="79"/>
      <c r="G156" s="79"/>
      <c r="H156" s="80"/>
      <c r="I156" s="79" t="s">
        <v>18</v>
      </c>
      <c r="J156" s="81"/>
    </row>
    <row r="157" spans="1:10" ht="15.75" thickBot="1"/>
    <row r="158" spans="1:10">
      <c r="A158" s="235" t="s">
        <v>0</v>
      </c>
      <c r="B158" s="66" t="s">
        <v>1</v>
      </c>
      <c r="C158" s="233" t="s">
        <v>282</v>
      </c>
      <c r="D158" s="233"/>
      <c r="E158" s="233" t="s">
        <v>283</v>
      </c>
      <c r="F158" s="243"/>
    </row>
    <row r="159" spans="1:10">
      <c r="A159" s="236"/>
      <c r="B159" s="87" t="s">
        <v>2</v>
      </c>
      <c r="C159" s="87" t="s">
        <v>13</v>
      </c>
      <c r="D159" s="87" t="s">
        <v>12</v>
      </c>
      <c r="E159" s="87" t="s">
        <v>13</v>
      </c>
      <c r="F159" s="69" t="s">
        <v>12</v>
      </c>
    </row>
    <row r="160" spans="1:10">
      <c r="A160" s="70" t="s">
        <v>3</v>
      </c>
      <c r="B160" s="71">
        <v>277.11195999999995</v>
      </c>
      <c r="C160" s="71">
        <f>D160/B160</f>
        <v>0</v>
      </c>
      <c r="D160" s="71">
        <f>I141-F160</f>
        <v>0</v>
      </c>
      <c r="E160" s="71">
        <f>F160/B160</f>
        <v>0</v>
      </c>
      <c r="F160" s="84">
        <f>I141</f>
        <v>0</v>
      </c>
    </row>
    <row r="161" spans="1:8">
      <c r="A161" s="70" t="s">
        <v>4</v>
      </c>
      <c r="B161" s="71">
        <v>115.10849999999999</v>
      </c>
      <c r="C161" s="71">
        <f t="shared" ref="C161:C172" si="46">D161/B161</f>
        <v>1483.6600300418224</v>
      </c>
      <c r="D161" s="71">
        <f>I142-F161</f>
        <v>170781.88056806911</v>
      </c>
      <c r="E161" s="71">
        <f t="shared" ref="E161:E171" si="47">F161/B161</f>
        <v>0</v>
      </c>
      <c r="F161" s="84">
        <v>0</v>
      </c>
    </row>
    <row r="162" spans="1:8">
      <c r="A162" s="70" t="s">
        <v>5</v>
      </c>
      <c r="B162" s="71">
        <v>120.3676</v>
      </c>
      <c r="C162" s="71">
        <f t="shared" si="46"/>
        <v>0</v>
      </c>
      <c r="D162" s="71">
        <f>I143-F162</f>
        <v>0</v>
      </c>
      <c r="E162" s="71">
        <f t="shared" si="47"/>
        <v>0</v>
      </c>
      <c r="F162" s="84">
        <f>I143</f>
        <v>0</v>
      </c>
    </row>
    <row r="163" spans="1:8">
      <c r="A163" s="70" t="s">
        <v>6</v>
      </c>
      <c r="B163" s="71">
        <v>60.084299999999999</v>
      </c>
      <c r="C163" s="71">
        <f t="shared" si="46"/>
        <v>0</v>
      </c>
      <c r="D163" s="71">
        <f>I144-F163</f>
        <v>0</v>
      </c>
      <c r="E163" s="71">
        <f t="shared" si="47"/>
        <v>0</v>
      </c>
      <c r="F163" s="84">
        <f>I144</f>
        <v>0</v>
      </c>
    </row>
    <row r="164" spans="1:8">
      <c r="A164" s="70" t="s">
        <v>7</v>
      </c>
      <c r="B164" s="71">
        <v>18.015080000000001</v>
      </c>
      <c r="C164" s="71">
        <f>C145-E164</f>
        <v>0</v>
      </c>
      <c r="D164" s="71">
        <f>C164*B164</f>
        <v>0</v>
      </c>
      <c r="E164" s="71">
        <f t="shared" si="47"/>
        <v>552.56534480793709</v>
      </c>
      <c r="F164" s="84">
        <f>D145</f>
        <v>9954.5088919425725</v>
      </c>
    </row>
    <row r="165" spans="1:8">
      <c r="A165" s="70" t="s">
        <v>8</v>
      </c>
      <c r="B165" s="71">
        <v>132.13872000000001</v>
      </c>
      <c r="C165" s="71">
        <f t="shared" si="46"/>
        <v>0</v>
      </c>
      <c r="D165" s="71">
        <v>0</v>
      </c>
      <c r="E165" s="71">
        <f t="shared" si="47"/>
        <v>0</v>
      </c>
      <c r="F165" s="84">
        <v>0</v>
      </c>
    </row>
    <row r="166" spans="1:8">
      <c r="A166" s="70" t="s">
        <v>9</v>
      </c>
      <c r="B166" s="71">
        <v>399.87780000000004</v>
      </c>
      <c r="C166" s="71">
        <f t="shared" si="46"/>
        <v>0</v>
      </c>
      <c r="D166" s="71">
        <f t="shared" ref="D166:D172" si="48">I147-F166</f>
        <v>0</v>
      </c>
      <c r="E166" s="71">
        <f t="shared" si="47"/>
        <v>0</v>
      </c>
      <c r="F166" s="84">
        <f t="shared" ref="F166:F172" si="49">I147</f>
        <v>0</v>
      </c>
    </row>
    <row r="167" spans="1:8">
      <c r="A167" s="70" t="s">
        <v>27</v>
      </c>
      <c r="B167" s="71">
        <v>35.045299999999997</v>
      </c>
      <c r="C167" s="71">
        <f t="shared" si="46"/>
        <v>0</v>
      </c>
      <c r="D167" s="71">
        <f t="shared" si="48"/>
        <v>0</v>
      </c>
      <c r="E167" s="71">
        <f t="shared" si="47"/>
        <v>0</v>
      </c>
      <c r="F167" s="84">
        <f t="shared" si="49"/>
        <v>0</v>
      </c>
    </row>
    <row r="168" spans="1:8">
      <c r="A168" s="70" t="s">
        <v>28</v>
      </c>
      <c r="B168" s="71">
        <v>106.86672</v>
      </c>
      <c r="C168" s="71">
        <f t="shared" si="46"/>
        <v>0</v>
      </c>
      <c r="D168" s="71">
        <f t="shared" si="48"/>
        <v>0</v>
      </c>
      <c r="E168" s="71">
        <f t="shared" si="47"/>
        <v>0</v>
      </c>
      <c r="F168" s="84">
        <f t="shared" si="49"/>
        <v>0</v>
      </c>
    </row>
    <row r="169" spans="1:8">
      <c r="A169" s="70" t="s">
        <v>39</v>
      </c>
      <c r="B169" s="71">
        <v>138.35914</v>
      </c>
      <c r="C169" s="71">
        <f t="shared" si="46"/>
        <v>0</v>
      </c>
      <c r="D169" s="71">
        <f t="shared" si="48"/>
        <v>0</v>
      </c>
      <c r="E169" s="71">
        <f t="shared" si="47"/>
        <v>0</v>
      </c>
      <c r="F169" s="84">
        <f t="shared" si="49"/>
        <v>0</v>
      </c>
    </row>
    <row r="170" spans="1:8">
      <c r="A170" s="70" t="s">
        <v>38</v>
      </c>
      <c r="B170" s="71">
        <v>79.0548</v>
      </c>
      <c r="C170" s="71">
        <f t="shared" si="46"/>
        <v>0</v>
      </c>
      <c r="D170" s="71">
        <f t="shared" si="48"/>
        <v>0</v>
      </c>
      <c r="E170" s="71">
        <f t="shared" si="47"/>
        <v>0</v>
      </c>
      <c r="F170" s="84">
        <f t="shared" si="49"/>
        <v>0</v>
      </c>
    </row>
    <row r="171" spans="1:8">
      <c r="A171" s="70" t="s">
        <v>40</v>
      </c>
      <c r="B171" s="71">
        <v>44.009500000000003</v>
      </c>
      <c r="C171" s="71">
        <f t="shared" si="46"/>
        <v>0</v>
      </c>
      <c r="D171" s="71">
        <f t="shared" si="48"/>
        <v>0</v>
      </c>
      <c r="E171" s="71">
        <f t="shared" si="47"/>
        <v>0</v>
      </c>
      <c r="F171" s="84">
        <f t="shared" si="49"/>
        <v>0</v>
      </c>
    </row>
    <row r="172" spans="1:8">
      <c r="A172" s="70" t="s">
        <v>54</v>
      </c>
      <c r="B172" s="87">
        <v>17.03022</v>
      </c>
      <c r="C172" s="71">
        <f t="shared" si="46"/>
        <v>0</v>
      </c>
      <c r="D172" s="71">
        <f t="shared" si="48"/>
        <v>0</v>
      </c>
      <c r="E172" s="71">
        <f>F172/B172</f>
        <v>1483.6600300418224</v>
      </c>
      <c r="F172" s="84">
        <f t="shared" si="49"/>
        <v>25267.056716818846</v>
      </c>
    </row>
    <row r="173" spans="1:8" ht="15.75" thickBot="1">
      <c r="A173" s="78" t="s">
        <v>10</v>
      </c>
      <c r="B173" s="79"/>
      <c r="C173" s="100">
        <f>SUM(C160:C172)</f>
        <v>1483.6600300418224</v>
      </c>
      <c r="D173" s="100">
        <f>SUM(D160:D172)</f>
        <v>170781.88056806911</v>
      </c>
      <c r="E173" s="100">
        <f>SUM(E160:E172)</f>
        <v>2036.2253748497596</v>
      </c>
      <c r="F173" s="101">
        <f>SUM(F160:F172)</f>
        <v>35221.565608761419</v>
      </c>
    </row>
    <row r="175" spans="1:8" ht="15.75" thickBot="1"/>
    <row r="176" spans="1:8" ht="30">
      <c r="A176" s="139" t="s">
        <v>56</v>
      </c>
      <c r="B176" s="97"/>
      <c r="C176" s="97"/>
      <c r="D176" s="97"/>
      <c r="E176" s="97"/>
      <c r="F176" s="97"/>
      <c r="G176" s="97"/>
      <c r="H176" s="67"/>
    </row>
    <row r="177" spans="1:8">
      <c r="A177" s="95"/>
      <c r="B177" s="96"/>
      <c r="C177" s="112"/>
      <c r="D177" s="112"/>
      <c r="E177" s="112"/>
      <c r="F177" s="112"/>
      <c r="G177" s="112"/>
      <c r="H177" s="113"/>
    </row>
    <row r="178" spans="1:8">
      <c r="A178" s="95"/>
      <c r="B178" s="96"/>
      <c r="C178" s="96"/>
      <c r="D178" s="96"/>
      <c r="E178" s="96"/>
      <c r="F178" s="96"/>
      <c r="G178" s="96"/>
      <c r="H178" s="69"/>
    </row>
    <row r="179" spans="1:8">
      <c r="A179" s="95"/>
      <c r="B179" s="96"/>
      <c r="C179" s="71"/>
      <c r="D179" s="71"/>
      <c r="E179" s="71"/>
      <c r="F179" s="71"/>
      <c r="G179" s="96"/>
      <c r="H179" s="84"/>
    </row>
    <row r="180" spans="1:8">
      <c r="A180" s="236" t="s">
        <v>0</v>
      </c>
      <c r="B180" s="96" t="s">
        <v>1</v>
      </c>
      <c r="C180" s="247" t="s">
        <v>58</v>
      </c>
      <c r="D180" s="247"/>
      <c r="E180" s="226" t="s">
        <v>59</v>
      </c>
      <c r="F180" s="226"/>
      <c r="G180" s="248" t="s">
        <v>284</v>
      </c>
      <c r="H180" s="249"/>
    </row>
    <row r="181" spans="1:8">
      <c r="A181" s="236"/>
      <c r="B181" s="96" t="s">
        <v>2</v>
      </c>
      <c r="C181" s="96" t="s">
        <v>13</v>
      </c>
      <c r="D181" s="96" t="s">
        <v>12</v>
      </c>
      <c r="E181" s="96" t="s">
        <v>13</v>
      </c>
      <c r="F181" s="96" t="s">
        <v>12</v>
      </c>
      <c r="G181" s="96" t="s">
        <v>13</v>
      </c>
      <c r="H181" s="69" t="s">
        <v>12</v>
      </c>
    </row>
    <row r="182" spans="1:8">
      <c r="A182" s="95" t="s">
        <v>3</v>
      </c>
      <c r="B182" s="71">
        <v>277.11195999999995</v>
      </c>
      <c r="C182" s="71">
        <f>D182/B182</f>
        <v>0</v>
      </c>
      <c r="D182" s="71">
        <f>F160</f>
        <v>0</v>
      </c>
      <c r="E182" s="71">
        <f>0</f>
        <v>0</v>
      </c>
      <c r="F182" s="88">
        <f t="shared" ref="F182:F194" si="50">E182*B182</f>
        <v>0</v>
      </c>
      <c r="G182" s="88">
        <f t="shared" ref="G182:G194" si="51">H182/B182</f>
        <v>0</v>
      </c>
      <c r="H182" s="84">
        <f t="shared" ref="H182:H187" si="52">F160+H119</f>
        <v>0</v>
      </c>
    </row>
    <row r="183" spans="1:8">
      <c r="A183" s="95" t="s">
        <v>4</v>
      </c>
      <c r="B183" s="71">
        <v>115.10849999999999</v>
      </c>
      <c r="C183" s="71">
        <f>D183/B183</f>
        <v>1483.6600300418224</v>
      </c>
      <c r="D183" s="71">
        <f>D161</f>
        <v>170781.88056806911</v>
      </c>
      <c r="E183" s="71">
        <f>C183</f>
        <v>1483.6600300418224</v>
      </c>
      <c r="F183" s="88">
        <f t="shared" si="50"/>
        <v>170781.88056806911</v>
      </c>
      <c r="G183" s="88">
        <f t="shared" si="51"/>
        <v>0</v>
      </c>
      <c r="H183" s="84">
        <f t="shared" si="52"/>
        <v>0</v>
      </c>
    </row>
    <row r="184" spans="1:8">
      <c r="A184" s="95" t="s">
        <v>5</v>
      </c>
      <c r="B184" s="71">
        <v>120.3676</v>
      </c>
      <c r="C184" s="71">
        <f t="shared" ref="C184:C194" si="53">D184/B184</f>
        <v>0</v>
      </c>
      <c r="D184" s="71">
        <f t="shared" ref="D184:D194" si="54">D162</f>
        <v>0</v>
      </c>
      <c r="E184" s="71">
        <f>0</f>
        <v>0</v>
      </c>
      <c r="F184" s="88">
        <f t="shared" si="50"/>
        <v>0</v>
      </c>
      <c r="G184" s="88">
        <f t="shared" si="51"/>
        <v>0</v>
      </c>
      <c r="H184" s="84">
        <f t="shared" si="52"/>
        <v>0</v>
      </c>
    </row>
    <row r="185" spans="1:8">
      <c r="A185" s="95" t="s">
        <v>6</v>
      </c>
      <c r="B185" s="71">
        <v>60.084299999999999</v>
      </c>
      <c r="C185" s="71">
        <f t="shared" si="53"/>
        <v>0</v>
      </c>
      <c r="D185" s="71">
        <f t="shared" si="54"/>
        <v>0</v>
      </c>
      <c r="E185" s="71">
        <f>0</f>
        <v>0</v>
      </c>
      <c r="F185" s="88">
        <f t="shared" si="50"/>
        <v>0</v>
      </c>
      <c r="G185" s="88">
        <f t="shared" si="51"/>
        <v>0</v>
      </c>
      <c r="H185" s="84">
        <f t="shared" si="52"/>
        <v>0</v>
      </c>
    </row>
    <row r="186" spans="1:8">
      <c r="A186" s="95" t="s">
        <v>7</v>
      </c>
      <c r="B186" s="71">
        <v>18.015080000000001</v>
      </c>
      <c r="C186" s="71">
        <f t="shared" si="53"/>
        <v>0</v>
      </c>
      <c r="D186" s="71">
        <f t="shared" si="54"/>
        <v>0</v>
      </c>
      <c r="E186" s="71">
        <f>F186/B186</f>
        <v>13790.578457492826</v>
      </c>
      <c r="F186" s="88">
        <f>E183*1000/$G$6*$I$6</f>
        <v>248438.37415800986</v>
      </c>
      <c r="G186" s="88">
        <f>H186/B186</f>
        <v>13790.578457492826</v>
      </c>
      <c r="H186" s="84">
        <f>F186</f>
        <v>248438.37415800986</v>
      </c>
    </row>
    <row r="187" spans="1:8">
      <c r="A187" s="95" t="s">
        <v>8</v>
      </c>
      <c r="B187" s="71">
        <v>132.13872000000001</v>
      </c>
      <c r="C187" s="71">
        <f t="shared" si="53"/>
        <v>0</v>
      </c>
      <c r="D187" s="71">
        <f t="shared" si="54"/>
        <v>0</v>
      </c>
      <c r="E187" s="71">
        <f>0</f>
        <v>0</v>
      </c>
      <c r="F187" s="88">
        <f t="shared" si="50"/>
        <v>0</v>
      </c>
      <c r="G187" s="88">
        <f t="shared" si="51"/>
        <v>0</v>
      </c>
      <c r="H187" s="84">
        <f t="shared" si="52"/>
        <v>0</v>
      </c>
    </row>
    <row r="188" spans="1:8">
      <c r="A188" s="95" t="s">
        <v>9</v>
      </c>
      <c r="B188" s="71">
        <v>399.87780000000004</v>
      </c>
      <c r="C188" s="71">
        <f t="shared" si="53"/>
        <v>0</v>
      </c>
      <c r="D188" s="71">
        <f t="shared" si="54"/>
        <v>0</v>
      </c>
      <c r="E188" s="71">
        <f>0</f>
        <v>0</v>
      </c>
      <c r="F188" s="88">
        <f t="shared" si="50"/>
        <v>0</v>
      </c>
      <c r="G188" s="88">
        <f t="shared" si="51"/>
        <v>0</v>
      </c>
      <c r="H188" s="84">
        <f>F166+H126</f>
        <v>0</v>
      </c>
    </row>
    <row r="189" spans="1:8">
      <c r="A189" s="95" t="s">
        <v>27</v>
      </c>
      <c r="B189" s="71">
        <v>35.045299999999997</v>
      </c>
      <c r="C189" s="71">
        <f t="shared" si="53"/>
        <v>0</v>
      </c>
      <c r="D189" s="71">
        <f t="shared" si="54"/>
        <v>0</v>
      </c>
      <c r="E189" s="71">
        <f>0</f>
        <v>0</v>
      </c>
      <c r="F189" s="88">
        <f t="shared" si="50"/>
        <v>0</v>
      </c>
      <c r="G189" s="88">
        <f t="shared" si="51"/>
        <v>0</v>
      </c>
      <c r="H189" s="84">
        <f>F167+H127</f>
        <v>0</v>
      </c>
    </row>
    <row r="190" spans="1:8">
      <c r="A190" s="95" t="s">
        <v>28</v>
      </c>
      <c r="B190" s="71">
        <v>106.86672</v>
      </c>
      <c r="C190" s="71">
        <f t="shared" si="53"/>
        <v>0</v>
      </c>
      <c r="D190" s="71">
        <f t="shared" si="54"/>
        <v>0</v>
      </c>
      <c r="E190" s="71">
        <f>0</f>
        <v>0</v>
      </c>
      <c r="F190" s="88">
        <f t="shared" si="50"/>
        <v>0</v>
      </c>
      <c r="G190" s="88">
        <f t="shared" si="51"/>
        <v>0</v>
      </c>
      <c r="H190" s="84">
        <f>F168+H128</f>
        <v>0</v>
      </c>
    </row>
    <row r="191" spans="1:8">
      <c r="A191" s="95" t="s">
        <v>39</v>
      </c>
      <c r="B191" s="71">
        <v>138.35914</v>
      </c>
      <c r="C191" s="71">
        <f t="shared" si="53"/>
        <v>0</v>
      </c>
      <c r="D191" s="71">
        <f t="shared" si="54"/>
        <v>0</v>
      </c>
      <c r="E191" s="71">
        <f>0</f>
        <v>0</v>
      </c>
      <c r="F191" s="88">
        <f t="shared" si="50"/>
        <v>0</v>
      </c>
      <c r="G191" s="88">
        <f t="shared" si="51"/>
        <v>0</v>
      </c>
      <c r="H191" s="84">
        <f>F169+H129</f>
        <v>0</v>
      </c>
    </row>
    <row r="192" spans="1:8">
      <c r="A192" s="95" t="s">
        <v>38</v>
      </c>
      <c r="B192" s="71">
        <v>79.0548</v>
      </c>
      <c r="C192" s="71">
        <f t="shared" si="53"/>
        <v>0</v>
      </c>
      <c r="D192" s="71">
        <f t="shared" si="54"/>
        <v>0</v>
      </c>
      <c r="E192" s="71">
        <f>0</f>
        <v>0</v>
      </c>
      <c r="F192" s="88">
        <f t="shared" si="50"/>
        <v>0</v>
      </c>
      <c r="G192" s="88">
        <f t="shared" si="51"/>
        <v>0</v>
      </c>
      <c r="H192" s="84">
        <f>F170+H129</f>
        <v>0</v>
      </c>
    </row>
    <row r="193" spans="1:18">
      <c r="A193" s="95" t="s">
        <v>40</v>
      </c>
      <c r="B193" s="71">
        <v>44.009500000000003</v>
      </c>
      <c r="C193" s="71">
        <f t="shared" si="53"/>
        <v>0</v>
      </c>
      <c r="D193" s="71">
        <f t="shared" si="54"/>
        <v>0</v>
      </c>
      <c r="E193" s="71">
        <f>0</f>
        <v>0</v>
      </c>
      <c r="F193" s="88">
        <f t="shared" si="50"/>
        <v>0</v>
      </c>
      <c r="G193" s="88">
        <f t="shared" si="51"/>
        <v>301.99282635374402</v>
      </c>
      <c r="H193" s="84">
        <f>H130*$H$186/$H$123</f>
        <v>13290.553291415099</v>
      </c>
    </row>
    <row r="194" spans="1:18">
      <c r="A194" s="95" t="s">
        <v>54</v>
      </c>
      <c r="B194" s="96">
        <v>17.03022</v>
      </c>
      <c r="C194" s="71">
        <f t="shared" si="53"/>
        <v>0</v>
      </c>
      <c r="D194" s="71">
        <f t="shared" si="54"/>
        <v>0</v>
      </c>
      <c r="E194" s="71">
        <f>0</f>
        <v>0</v>
      </c>
      <c r="F194" s="88">
        <f t="shared" si="50"/>
        <v>0</v>
      </c>
      <c r="G194" s="88">
        <f t="shared" si="51"/>
        <v>0</v>
      </c>
      <c r="H194" s="84">
        <v>0</v>
      </c>
    </row>
    <row r="195" spans="1:18" ht="16.5" thickBot="1">
      <c r="A195" s="78" t="s">
        <v>10</v>
      </c>
      <c r="B195" s="79"/>
      <c r="C195" s="100">
        <f t="shared" ref="C195:H195" si="55">SUM(C182:C194)</f>
        <v>1483.6600300418224</v>
      </c>
      <c r="D195" s="100">
        <f t="shared" si="55"/>
        <v>170781.88056806911</v>
      </c>
      <c r="E195" s="100">
        <f t="shared" si="55"/>
        <v>15274.238487534649</v>
      </c>
      <c r="F195" s="100">
        <f t="shared" si="55"/>
        <v>419220.25472607894</v>
      </c>
      <c r="G195" s="100">
        <f t="shared" si="55"/>
        <v>14092.57128384657</v>
      </c>
      <c r="H195" s="101">
        <f t="shared" si="55"/>
        <v>261728.92744942495</v>
      </c>
      <c r="M195" s="181"/>
      <c r="N195" s="181"/>
      <c r="O195" s="181"/>
      <c r="P195" s="181"/>
      <c r="Q195" s="181"/>
      <c r="R195" s="181"/>
    </row>
    <row r="196" spans="1:18" ht="16.5" thickBot="1">
      <c r="F196" s="5"/>
      <c r="G196" s="5"/>
      <c r="M196" s="181"/>
      <c r="N196" s="181"/>
      <c r="O196" s="181"/>
      <c r="P196" s="181"/>
      <c r="Q196" s="181"/>
      <c r="R196" s="181"/>
    </row>
    <row r="197" spans="1:18" ht="15.75">
      <c r="A197" s="139" t="s">
        <v>57</v>
      </c>
      <c r="B197" s="97"/>
      <c r="C197" s="97"/>
      <c r="D197" s="97"/>
      <c r="E197" s="97"/>
      <c r="F197" s="102"/>
      <c r="G197" s="97"/>
      <c r="H197" s="97"/>
      <c r="I197" s="97"/>
      <c r="J197" s="97"/>
      <c r="K197" s="67"/>
      <c r="M197" s="181"/>
      <c r="N197" s="181"/>
      <c r="O197" s="181"/>
      <c r="P197" s="181"/>
      <c r="Q197" s="181"/>
      <c r="R197" s="181"/>
    </row>
    <row r="198" spans="1:18" ht="15.75">
      <c r="A198" s="95" t="s">
        <v>285</v>
      </c>
      <c r="B198" s="96"/>
      <c r="C198" s="96"/>
      <c r="D198" s="96"/>
      <c r="E198" s="96"/>
      <c r="F198" s="96"/>
      <c r="G198" s="71"/>
      <c r="H198" s="96"/>
      <c r="I198" s="71"/>
      <c r="J198" s="96"/>
      <c r="K198" s="69"/>
      <c r="M198" s="181"/>
      <c r="N198" s="181"/>
      <c r="O198" s="181"/>
      <c r="P198" s="181"/>
      <c r="Q198" s="181"/>
      <c r="R198" s="181"/>
    </row>
    <row r="199" spans="1:18" ht="15.75">
      <c r="A199" s="95"/>
      <c r="B199" s="96"/>
      <c r="C199" s="96">
        <f>0.5*(277/44)/3</f>
        <v>1.0492424242424243</v>
      </c>
      <c r="D199" s="96"/>
      <c r="E199" s="96"/>
      <c r="F199" s="71"/>
      <c r="G199" s="96"/>
      <c r="H199" s="96"/>
      <c r="I199" s="96"/>
      <c r="J199" s="96"/>
      <c r="K199" s="69"/>
      <c r="M199" s="181"/>
      <c r="N199" s="181"/>
      <c r="O199" s="181"/>
      <c r="P199" s="181"/>
      <c r="Q199" s="181"/>
      <c r="R199" s="181"/>
    </row>
    <row r="200" spans="1:18" ht="15.75">
      <c r="A200" s="95"/>
      <c r="B200" s="96"/>
      <c r="C200" s="96"/>
      <c r="D200" s="96"/>
      <c r="E200" s="96"/>
      <c r="F200" s="96"/>
      <c r="G200" s="96"/>
      <c r="H200" s="96"/>
      <c r="I200" s="96"/>
      <c r="J200" s="96"/>
      <c r="K200" s="69"/>
      <c r="M200" s="181"/>
      <c r="N200" s="181"/>
      <c r="O200" s="181"/>
      <c r="P200" s="181"/>
      <c r="Q200" s="181"/>
      <c r="R200" s="181"/>
    </row>
    <row r="201" spans="1:18" ht="15.75">
      <c r="A201" s="236" t="s">
        <v>0</v>
      </c>
      <c r="B201" s="96" t="s">
        <v>1</v>
      </c>
      <c r="C201" s="226" t="s">
        <v>279</v>
      </c>
      <c r="D201" s="226"/>
      <c r="E201" s="226" t="s">
        <v>287</v>
      </c>
      <c r="F201" s="226"/>
      <c r="G201" s="226" t="s">
        <v>60</v>
      </c>
      <c r="H201" s="226"/>
      <c r="I201" s="96"/>
      <c r="J201" s="227" t="s">
        <v>32</v>
      </c>
      <c r="K201" s="246"/>
      <c r="M201" s="181"/>
      <c r="N201" s="181"/>
      <c r="O201" s="181"/>
      <c r="P201" s="181"/>
      <c r="Q201" s="181"/>
      <c r="R201" s="181"/>
    </row>
    <row r="202" spans="1:18" ht="15.75">
      <c r="A202" s="236"/>
      <c r="B202" s="96" t="s">
        <v>2</v>
      </c>
      <c r="C202" s="96" t="s">
        <v>13</v>
      </c>
      <c r="D202" s="96" t="s">
        <v>12</v>
      </c>
      <c r="E202" s="96" t="s">
        <v>13</v>
      </c>
      <c r="F202" s="96" t="s">
        <v>12</v>
      </c>
      <c r="G202" s="96" t="s">
        <v>13</v>
      </c>
      <c r="H202" s="96" t="s">
        <v>12</v>
      </c>
      <c r="I202" s="116" t="s">
        <v>263</v>
      </c>
      <c r="J202" s="96" t="s">
        <v>13</v>
      </c>
      <c r="K202" s="69" t="s">
        <v>12</v>
      </c>
      <c r="M202" s="181"/>
      <c r="N202" s="181"/>
      <c r="O202" s="181"/>
      <c r="P202" s="181"/>
      <c r="Q202" s="181"/>
      <c r="R202" s="181"/>
    </row>
    <row r="203" spans="1:18" ht="15.75">
      <c r="A203" s="95" t="s">
        <v>3</v>
      </c>
      <c r="B203" s="71">
        <v>277.11195999999995</v>
      </c>
      <c r="C203" s="71">
        <f>D203/B203</f>
        <v>0</v>
      </c>
      <c r="D203" s="71">
        <f>H182/2</f>
        <v>0</v>
      </c>
      <c r="E203" s="96">
        <v>0</v>
      </c>
      <c r="F203" s="71">
        <f>E203*B203</f>
        <v>0</v>
      </c>
      <c r="G203" s="96">
        <v>0</v>
      </c>
      <c r="H203" s="96">
        <f>G203*B203</f>
        <v>0</v>
      </c>
      <c r="I203" s="116"/>
      <c r="J203" s="88">
        <v>0</v>
      </c>
      <c r="K203" s="115">
        <f>J203*B203</f>
        <v>0</v>
      </c>
      <c r="M203" s="181"/>
      <c r="N203" s="181"/>
      <c r="O203" s="181"/>
      <c r="P203" s="181"/>
      <c r="Q203" s="181"/>
      <c r="R203" s="181"/>
    </row>
    <row r="204" spans="1:18" ht="15.75">
      <c r="A204" s="95" t="s">
        <v>4</v>
      </c>
      <c r="B204" s="71">
        <v>115.10849999999999</v>
      </c>
      <c r="C204" s="71">
        <f t="shared" ref="C204:C215" si="56">D204/B204</f>
        <v>0</v>
      </c>
      <c r="D204" s="71">
        <f t="shared" ref="D204:D213" si="57">H183/2</f>
        <v>0</v>
      </c>
      <c r="E204" s="96">
        <v>0</v>
      </c>
      <c r="F204" s="71">
        <f t="shared" ref="F204:F215" si="58">E204*B204</f>
        <v>0</v>
      </c>
      <c r="G204" s="96">
        <v>0</v>
      </c>
      <c r="H204" s="96">
        <f t="shared" ref="H204:H215" si="59">G204*B204</f>
        <v>0</v>
      </c>
      <c r="I204" s="116"/>
      <c r="J204" s="88">
        <v>0</v>
      </c>
      <c r="K204" s="115">
        <f t="shared" ref="K204:K215" si="60">J204*B204</f>
        <v>0</v>
      </c>
      <c r="M204" s="245"/>
      <c r="N204" s="245"/>
      <c r="O204" s="181"/>
      <c r="P204" s="181"/>
      <c r="Q204" s="181"/>
      <c r="R204" s="181"/>
    </row>
    <row r="205" spans="1:18" ht="15.75">
      <c r="A205" s="95" t="s">
        <v>5</v>
      </c>
      <c r="B205" s="71">
        <v>120.3676</v>
      </c>
      <c r="C205" s="71">
        <f t="shared" si="56"/>
        <v>0</v>
      </c>
      <c r="D205" s="71">
        <f t="shared" si="57"/>
        <v>0</v>
      </c>
      <c r="E205" s="96">
        <v>0</v>
      </c>
      <c r="F205" s="71">
        <f t="shared" si="58"/>
        <v>0</v>
      </c>
      <c r="G205" s="96">
        <v>0</v>
      </c>
      <c r="H205" s="96">
        <f t="shared" si="59"/>
        <v>0</v>
      </c>
      <c r="I205" s="116"/>
      <c r="J205" s="88">
        <v>0</v>
      </c>
      <c r="K205" s="115">
        <f t="shared" si="60"/>
        <v>0</v>
      </c>
      <c r="M205" s="181"/>
      <c r="N205" s="181"/>
      <c r="O205" s="181"/>
      <c r="P205" s="181"/>
      <c r="Q205" s="181"/>
      <c r="R205" s="181"/>
    </row>
    <row r="206" spans="1:18" ht="15.75">
      <c r="A206" s="95" t="s">
        <v>6</v>
      </c>
      <c r="B206" s="71">
        <v>60.084299999999999</v>
      </c>
      <c r="C206" s="71">
        <f t="shared" si="56"/>
        <v>0</v>
      </c>
      <c r="D206" s="71">
        <f t="shared" si="57"/>
        <v>0</v>
      </c>
      <c r="E206" s="96">
        <v>0</v>
      </c>
      <c r="F206" s="71">
        <f t="shared" si="58"/>
        <v>0</v>
      </c>
      <c r="G206" s="96">
        <v>0</v>
      </c>
      <c r="H206" s="96">
        <f t="shared" si="59"/>
        <v>0</v>
      </c>
      <c r="I206" s="116"/>
      <c r="J206" s="88">
        <v>0</v>
      </c>
      <c r="K206" s="115">
        <f t="shared" si="60"/>
        <v>0</v>
      </c>
      <c r="M206" s="181"/>
      <c r="N206" s="181"/>
      <c r="O206" s="181"/>
      <c r="P206" s="181"/>
      <c r="Q206" s="181"/>
      <c r="R206" s="181"/>
    </row>
    <row r="207" spans="1:18">
      <c r="A207" s="95" t="s">
        <v>7</v>
      </c>
      <c r="B207" s="71">
        <v>18.015080000000001</v>
      </c>
      <c r="C207" s="71">
        <f t="shared" si="56"/>
        <v>11602.413626324422</v>
      </c>
      <c r="D207" s="71">
        <f>C210*1000/$N$6*$I$6</f>
        <v>209018.40967132457</v>
      </c>
      <c r="E207" s="107">
        <v>0</v>
      </c>
      <c r="F207" s="71">
        <f>E207*B207</f>
        <v>0</v>
      </c>
      <c r="G207" s="96">
        <v>0</v>
      </c>
      <c r="H207" s="96">
        <f t="shared" si="59"/>
        <v>0</v>
      </c>
      <c r="I207" s="116"/>
      <c r="J207" s="88">
        <v>0</v>
      </c>
      <c r="K207" s="115">
        <f t="shared" si="60"/>
        <v>0</v>
      </c>
    </row>
    <row r="208" spans="1:18">
      <c r="A208" s="95" t="s">
        <v>8</v>
      </c>
      <c r="B208" s="71">
        <v>132.13872000000001</v>
      </c>
      <c r="C208" s="71">
        <f t="shared" si="56"/>
        <v>0</v>
      </c>
      <c r="D208" s="71">
        <f t="shared" si="57"/>
        <v>0</v>
      </c>
      <c r="E208" s="107">
        <v>0</v>
      </c>
      <c r="F208" s="71">
        <f t="shared" si="58"/>
        <v>0</v>
      </c>
      <c r="G208" s="96">
        <v>0</v>
      </c>
      <c r="H208" s="96">
        <f t="shared" si="59"/>
        <v>0</v>
      </c>
      <c r="I208" s="116"/>
      <c r="J208" s="88">
        <v>0</v>
      </c>
      <c r="K208" s="115">
        <f t="shared" si="60"/>
        <v>0</v>
      </c>
    </row>
    <row r="209" spans="1:11">
      <c r="A209" s="95" t="s">
        <v>9</v>
      </c>
      <c r="B209" s="71">
        <v>399.87780000000004</v>
      </c>
      <c r="C209" s="71">
        <f t="shared" si="56"/>
        <v>0</v>
      </c>
      <c r="D209" s="71">
        <f t="shared" si="57"/>
        <v>0</v>
      </c>
      <c r="E209" s="107">
        <v>0</v>
      </c>
      <c r="F209" s="71">
        <f t="shared" si="58"/>
        <v>0</v>
      </c>
      <c r="G209" s="96">
        <v>0</v>
      </c>
      <c r="H209" s="96">
        <f t="shared" si="59"/>
        <v>0</v>
      </c>
      <c r="I209" s="116"/>
      <c r="J209" s="88">
        <v>0</v>
      </c>
      <c r="K209" s="115">
        <f t="shared" si="60"/>
        <v>0</v>
      </c>
    </row>
    <row r="210" spans="1:11">
      <c r="A210" s="95" t="s">
        <v>27</v>
      </c>
      <c r="B210" s="71">
        <v>35.045299999999997</v>
      </c>
      <c r="C210" s="71">
        <f>J210</f>
        <v>1248.2462140692328</v>
      </c>
      <c r="D210" s="71">
        <f>C210*B210</f>
        <v>43745.163045920483</v>
      </c>
      <c r="E210" s="96">
        <v>0</v>
      </c>
      <c r="F210" s="71">
        <f t="shared" si="58"/>
        <v>0</v>
      </c>
      <c r="G210" s="96">
        <v>0</v>
      </c>
      <c r="H210" s="96">
        <f t="shared" si="59"/>
        <v>0</v>
      </c>
      <c r="I210" s="116">
        <v>1</v>
      </c>
      <c r="J210" s="72">
        <f>J213</f>
        <v>1248.2462140692328</v>
      </c>
      <c r="K210" s="150">
        <f t="shared" si="60"/>
        <v>43745.163045920483</v>
      </c>
    </row>
    <row r="211" spans="1:11">
      <c r="A211" s="95" t="s">
        <v>28</v>
      </c>
      <c r="B211" s="71">
        <v>106.86672</v>
      </c>
      <c r="C211" s="71">
        <f t="shared" si="56"/>
        <v>0</v>
      </c>
      <c r="D211" s="71">
        <f t="shared" si="57"/>
        <v>0</v>
      </c>
      <c r="E211" s="96">
        <v>0</v>
      </c>
      <c r="F211" s="71">
        <f t="shared" si="58"/>
        <v>0</v>
      </c>
      <c r="G211" s="96">
        <v>0</v>
      </c>
      <c r="H211" s="96">
        <f t="shared" si="59"/>
        <v>0</v>
      </c>
      <c r="I211" s="116"/>
      <c r="J211" s="88">
        <v>0</v>
      </c>
      <c r="K211" s="115">
        <f t="shared" si="60"/>
        <v>0</v>
      </c>
    </row>
    <row r="212" spans="1:11">
      <c r="A212" s="95" t="s">
        <v>39</v>
      </c>
      <c r="B212" s="71">
        <v>138.35914</v>
      </c>
      <c r="C212" s="71">
        <f t="shared" si="56"/>
        <v>0</v>
      </c>
      <c r="D212" s="71">
        <f t="shared" si="57"/>
        <v>0</v>
      </c>
      <c r="E212" s="96">
        <v>0</v>
      </c>
      <c r="F212" s="71">
        <f t="shared" si="58"/>
        <v>0</v>
      </c>
      <c r="G212" s="96">
        <v>0</v>
      </c>
      <c r="H212" s="96">
        <f t="shared" si="59"/>
        <v>0</v>
      </c>
      <c r="I212" s="116"/>
      <c r="J212" s="88">
        <v>0</v>
      </c>
      <c r="K212" s="115">
        <f t="shared" si="60"/>
        <v>0</v>
      </c>
    </row>
    <row r="213" spans="1:11">
      <c r="A213" s="95" t="s">
        <v>38</v>
      </c>
      <c r="B213" s="71">
        <v>79.0548</v>
      </c>
      <c r="C213" s="71">
        <f t="shared" si="56"/>
        <v>0</v>
      </c>
      <c r="D213" s="71">
        <f t="shared" si="57"/>
        <v>0</v>
      </c>
      <c r="E213" s="96">
        <v>0</v>
      </c>
      <c r="F213" s="71">
        <f t="shared" si="58"/>
        <v>0</v>
      </c>
      <c r="G213" s="71">
        <f>C215</f>
        <v>0</v>
      </c>
      <c r="H213" s="71">
        <f t="shared" si="59"/>
        <v>0</v>
      </c>
      <c r="I213" s="116">
        <v>1</v>
      </c>
      <c r="J213" s="75">
        <f>E92</f>
        <v>1248.2462140692328</v>
      </c>
      <c r="K213" s="151">
        <f t="shared" si="60"/>
        <v>98679.854804000381</v>
      </c>
    </row>
    <row r="214" spans="1:11">
      <c r="A214" s="95" t="s">
        <v>40</v>
      </c>
      <c r="B214" s="71">
        <v>44.009500000000003</v>
      </c>
      <c r="C214" s="71">
        <f>D214/B214</f>
        <v>290.92412532914148</v>
      </c>
      <c r="D214" s="71">
        <f>H130-H193</f>
        <v>12803.425293672854</v>
      </c>
      <c r="E214" s="71">
        <f>F214/B214</f>
        <v>957.32208874009132</v>
      </c>
      <c r="F214" s="71">
        <f>K214-D214</f>
        <v>42131.266464407054</v>
      </c>
      <c r="G214" s="96">
        <v>0</v>
      </c>
      <c r="H214" s="96">
        <f t="shared" si="59"/>
        <v>0</v>
      </c>
      <c r="I214" s="116">
        <v>1</v>
      </c>
      <c r="J214" s="72">
        <f>J213</f>
        <v>1248.2462140692328</v>
      </c>
      <c r="K214" s="150">
        <f t="shared" si="60"/>
        <v>54934.691758079905</v>
      </c>
    </row>
    <row r="215" spans="1:11">
      <c r="A215" s="95" t="s">
        <v>54</v>
      </c>
      <c r="B215" s="96">
        <v>17.03022</v>
      </c>
      <c r="C215" s="71">
        <f t="shared" si="56"/>
        <v>0</v>
      </c>
      <c r="D215" s="71">
        <f>H194/2</f>
        <v>0</v>
      </c>
      <c r="E215" s="96">
        <v>0</v>
      </c>
      <c r="F215" s="71">
        <f t="shared" si="58"/>
        <v>0</v>
      </c>
      <c r="G215" s="96">
        <v>0</v>
      </c>
      <c r="H215" s="96">
        <f t="shared" si="59"/>
        <v>0</v>
      </c>
      <c r="I215" s="116"/>
      <c r="J215" s="88">
        <v>0</v>
      </c>
      <c r="K215" s="115">
        <f t="shared" si="60"/>
        <v>0</v>
      </c>
    </row>
    <row r="216" spans="1:11" ht="15.75" thickBot="1">
      <c r="A216" s="78" t="s">
        <v>10</v>
      </c>
      <c r="B216" s="79"/>
      <c r="C216" s="100">
        <f>SUM(C203:C215)</f>
        <v>13141.583965722797</v>
      </c>
      <c r="D216" s="100">
        <f>SUM(D203:D215)</f>
        <v>265566.99801091792</v>
      </c>
      <c r="E216" s="100">
        <f t="shared" ref="E216:H216" si="61">SUM(E203:E215)</f>
        <v>957.32208874009132</v>
      </c>
      <c r="F216" s="100">
        <f t="shared" si="61"/>
        <v>42131.266464407054</v>
      </c>
      <c r="G216" s="100">
        <f t="shared" si="61"/>
        <v>0</v>
      </c>
      <c r="H216" s="100">
        <f t="shared" si="61"/>
        <v>0</v>
      </c>
      <c r="I216" s="117"/>
      <c r="J216" s="117"/>
      <c r="K216" s="118"/>
    </row>
    <row r="217" spans="1:11">
      <c r="I217" s="95"/>
      <c r="J217" s="77"/>
      <c r="K217" s="69" t="s">
        <v>17</v>
      </c>
    </row>
    <row r="218" spans="1:11" ht="18" thickBot="1">
      <c r="A218" s="232" t="s">
        <v>137</v>
      </c>
      <c r="B218" s="232"/>
      <c r="C218" s="232"/>
      <c r="D218" s="232"/>
      <c r="E218" s="232"/>
      <c r="F218" s="232"/>
      <c r="I218" s="78"/>
      <c r="J218" s="80"/>
      <c r="K218" s="81" t="s">
        <v>18</v>
      </c>
    </row>
    <row r="219" spans="1:11" ht="15.75">
      <c r="A219" s="13" t="s">
        <v>67</v>
      </c>
      <c r="B219" s="14" t="s">
        <v>69</v>
      </c>
      <c r="C219" s="14" t="s">
        <v>61</v>
      </c>
      <c r="D219" s="14" t="s">
        <v>290</v>
      </c>
      <c r="E219" s="14" t="s">
        <v>250</v>
      </c>
      <c r="F219" s="14" t="s">
        <v>138</v>
      </c>
      <c r="G219" s="6" t="s">
        <v>250</v>
      </c>
      <c r="I219" s="6" t="s">
        <v>320</v>
      </c>
      <c r="J219" s="6" t="s">
        <v>195</v>
      </c>
    </row>
    <row r="220" spans="1:11">
      <c r="A220" s="126"/>
      <c r="B220" s="224" t="s">
        <v>306</v>
      </c>
      <c r="C220" s="127" t="s">
        <v>3</v>
      </c>
      <c r="D220" s="128">
        <f t="shared" ref="D220:E226" si="62">G10</f>
        <v>228.61652272330269</v>
      </c>
      <c r="E220" s="128">
        <f t="shared" si="62"/>
        <v>63352.372700238935</v>
      </c>
      <c r="F220" s="129">
        <f t="shared" ref="F220:F232" si="63">E220/SUM($E$220:$E$232)</f>
        <v>0.13157397376160798</v>
      </c>
      <c r="G220" s="140">
        <v>55701.119958664203</v>
      </c>
      <c r="H220" s="140">
        <f>G220-E220</f>
        <v>-7651.2527415747318</v>
      </c>
      <c r="I220" s="63">
        <v>1664328.2854256399</v>
      </c>
      <c r="J220" s="6">
        <f>I220/8280</f>
        <v>201.00583157314492</v>
      </c>
      <c r="K220" s="140">
        <f>D220-J220</f>
        <v>27.610691150157777</v>
      </c>
    </row>
    <row r="221" spans="1:11">
      <c r="A221" s="126"/>
      <c r="B221" s="224"/>
      <c r="C221" s="127" t="s">
        <v>293</v>
      </c>
      <c r="D221" s="128">
        <f t="shared" si="62"/>
        <v>1440.2840931568069</v>
      </c>
      <c r="E221" s="128">
        <f t="shared" si="62"/>
        <v>165788.94153714029</v>
      </c>
      <c r="F221" s="129">
        <f t="shared" si="63"/>
        <v>0.34432032951609065</v>
      </c>
      <c r="G221" s="63">
        <v>145766.122510916</v>
      </c>
      <c r="H221" s="140">
        <f t="shared" ref="H221:H284" si="64">G221-E221</f>
        <v>-20022.819026224286</v>
      </c>
      <c r="I221" s="63">
        <v>10485268.198181599</v>
      </c>
      <c r="J221" s="63">
        <f t="shared" ref="J221:J284" si="65">I221/8280</f>
        <v>1266.3367389108212</v>
      </c>
      <c r="K221" s="140">
        <f t="shared" ref="K221:K284" si="66">D221-J221</f>
        <v>173.94735424598571</v>
      </c>
    </row>
    <row r="222" spans="1:11" s="62" customFormat="1">
      <c r="A222" s="126"/>
      <c r="B222" s="224"/>
      <c r="C222" s="127" t="s">
        <v>5</v>
      </c>
      <c r="D222" s="128">
        <f t="shared" si="62"/>
        <v>0</v>
      </c>
      <c r="E222" s="128">
        <f t="shared" si="62"/>
        <v>0</v>
      </c>
      <c r="F222" s="129">
        <f t="shared" si="63"/>
        <v>0</v>
      </c>
      <c r="G222" s="63">
        <v>0</v>
      </c>
      <c r="H222" s="140">
        <f t="shared" si="64"/>
        <v>0</v>
      </c>
      <c r="I222" s="63">
        <v>0</v>
      </c>
      <c r="J222" s="63">
        <f t="shared" si="65"/>
        <v>0</v>
      </c>
      <c r="K222" s="140">
        <f t="shared" si="66"/>
        <v>0</v>
      </c>
    </row>
    <row r="223" spans="1:11">
      <c r="A223" s="126"/>
      <c r="B223" s="224"/>
      <c r="C223" s="127" t="s">
        <v>6</v>
      </c>
      <c r="D223" s="128">
        <f t="shared" si="62"/>
        <v>0</v>
      </c>
      <c r="E223" s="128">
        <f t="shared" si="62"/>
        <v>0</v>
      </c>
      <c r="F223" s="129">
        <f t="shared" si="63"/>
        <v>0</v>
      </c>
      <c r="G223" s="63">
        <v>0</v>
      </c>
      <c r="H223" s="140">
        <f t="shared" si="64"/>
        <v>0</v>
      </c>
      <c r="I223" s="63">
        <v>0</v>
      </c>
      <c r="J223" s="63">
        <f t="shared" si="65"/>
        <v>0</v>
      </c>
      <c r="K223" s="140">
        <f t="shared" si="66"/>
        <v>0</v>
      </c>
    </row>
    <row r="224" spans="1:11">
      <c r="A224" s="126"/>
      <c r="B224" s="224"/>
      <c r="C224" s="127" t="s">
        <v>7</v>
      </c>
      <c r="D224" s="128">
        <f t="shared" si="62"/>
        <v>13387.400338066638</v>
      </c>
      <c r="E224" s="128">
        <f t="shared" si="62"/>
        <v>241175.08808229753</v>
      </c>
      <c r="F224" s="129">
        <f t="shared" si="63"/>
        <v>0.50088676017613509</v>
      </c>
      <c r="G224" s="63">
        <v>902717.18959499605</v>
      </c>
      <c r="H224" s="140">
        <f t="shared" si="64"/>
        <v>661542.10151269846</v>
      </c>
      <c r="I224" s="63">
        <v>414902311.27736098</v>
      </c>
      <c r="J224" s="63">
        <f t="shared" si="65"/>
        <v>50108.974791951812</v>
      </c>
      <c r="K224" s="140">
        <f t="shared" si="66"/>
        <v>-36721.574453885172</v>
      </c>
    </row>
    <row r="225" spans="1:11">
      <c r="A225" s="126"/>
      <c r="B225" s="224"/>
      <c r="C225" s="127" t="s">
        <v>292</v>
      </c>
      <c r="D225" s="128">
        <f t="shared" si="62"/>
        <v>0</v>
      </c>
      <c r="E225" s="128">
        <f t="shared" si="62"/>
        <v>0</v>
      </c>
      <c r="F225" s="129">
        <f t="shared" si="63"/>
        <v>0</v>
      </c>
      <c r="G225" s="63">
        <v>0</v>
      </c>
      <c r="H225" s="140">
        <f t="shared" si="64"/>
        <v>0</v>
      </c>
      <c r="I225" s="63">
        <v>0</v>
      </c>
      <c r="J225" s="63">
        <f t="shared" si="65"/>
        <v>0</v>
      </c>
      <c r="K225" s="140">
        <f t="shared" si="66"/>
        <v>0</v>
      </c>
    </row>
    <row r="226" spans="1:11">
      <c r="A226" s="126"/>
      <c r="B226" s="224"/>
      <c r="C226" s="127" t="s">
        <v>9</v>
      </c>
      <c r="D226" s="128">
        <f t="shared" si="62"/>
        <v>27.95811739614641</v>
      </c>
      <c r="E226" s="128">
        <f t="shared" si="62"/>
        <v>11179.830476512756</v>
      </c>
      <c r="F226" s="129">
        <f t="shared" si="63"/>
        <v>2.3218936546166122E-2</v>
      </c>
      <c r="G226" s="63">
        <v>9829.6094044701495</v>
      </c>
      <c r="H226" s="140">
        <f t="shared" si="64"/>
        <v>-1350.2210720426065</v>
      </c>
      <c r="I226" s="63">
        <v>203535.09464394601</v>
      </c>
      <c r="J226" s="63">
        <f t="shared" si="65"/>
        <v>24.581533169558696</v>
      </c>
      <c r="K226" s="140">
        <f t="shared" si="66"/>
        <v>3.3765842265877133</v>
      </c>
    </row>
    <row r="227" spans="1:11">
      <c r="A227" s="126"/>
      <c r="B227" s="224"/>
      <c r="C227" s="127" t="s">
        <v>27</v>
      </c>
      <c r="D227" s="128">
        <v>0</v>
      </c>
      <c r="E227" s="128">
        <v>0</v>
      </c>
      <c r="F227" s="129">
        <f t="shared" si="63"/>
        <v>0</v>
      </c>
      <c r="G227" s="63">
        <v>0</v>
      </c>
      <c r="H227" s="140">
        <f t="shared" si="64"/>
        <v>0</v>
      </c>
      <c r="I227" s="63">
        <v>0</v>
      </c>
      <c r="J227" s="63">
        <f t="shared" si="65"/>
        <v>0</v>
      </c>
      <c r="K227" s="140">
        <f t="shared" si="66"/>
        <v>0</v>
      </c>
    </row>
    <row r="228" spans="1:11">
      <c r="A228" s="126"/>
      <c r="B228" s="224"/>
      <c r="C228" s="127" t="s">
        <v>28</v>
      </c>
      <c r="D228" s="128">
        <v>0</v>
      </c>
      <c r="E228" s="128">
        <v>0</v>
      </c>
      <c r="F228" s="129">
        <f t="shared" si="63"/>
        <v>0</v>
      </c>
      <c r="G228" s="63">
        <v>0</v>
      </c>
      <c r="H228" s="140">
        <f t="shared" si="64"/>
        <v>0</v>
      </c>
      <c r="I228" s="63">
        <v>0</v>
      </c>
      <c r="J228" s="63">
        <f t="shared" si="65"/>
        <v>0</v>
      </c>
      <c r="K228" s="140">
        <f t="shared" si="66"/>
        <v>0</v>
      </c>
    </row>
    <row r="229" spans="1:11">
      <c r="A229" s="126"/>
      <c r="B229" s="224"/>
      <c r="C229" s="127" t="s">
        <v>39</v>
      </c>
      <c r="D229" s="128">
        <v>0</v>
      </c>
      <c r="E229" s="128">
        <v>0</v>
      </c>
      <c r="F229" s="129">
        <f t="shared" si="63"/>
        <v>0</v>
      </c>
      <c r="G229" s="63">
        <v>0</v>
      </c>
      <c r="H229" s="140">
        <f t="shared" si="64"/>
        <v>0</v>
      </c>
      <c r="I229" s="63">
        <v>0</v>
      </c>
      <c r="J229" s="63">
        <f t="shared" si="65"/>
        <v>0</v>
      </c>
      <c r="K229" s="140">
        <f t="shared" si="66"/>
        <v>0</v>
      </c>
    </row>
    <row r="230" spans="1:11">
      <c r="A230" s="126"/>
      <c r="B230" s="224"/>
      <c r="C230" s="127" t="s">
        <v>291</v>
      </c>
      <c r="D230" s="128">
        <v>0</v>
      </c>
      <c r="E230" s="128">
        <v>0</v>
      </c>
      <c r="F230" s="129">
        <f t="shared" si="63"/>
        <v>0</v>
      </c>
      <c r="G230" s="63">
        <v>0</v>
      </c>
      <c r="H230" s="140">
        <f t="shared" si="64"/>
        <v>0</v>
      </c>
      <c r="I230" s="63">
        <v>0</v>
      </c>
      <c r="J230" s="63">
        <f t="shared" si="65"/>
        <v>0</v>
      </c>
      <c r="K230" s="140">
        <f t="shared" si="66"/>
        <v>0</v>
      </c>
    </row>
    <row r="231" spans="1:11">
      <c r="A231" s="126"/>
      <c r="B231" s="224"/>
      <c r="C231" s="127" t="s">
        <v>40</v>
      </c>
      <c r="D231" s="128">
        <v>0</v>
      </c>
      <c r="E231" s="128">
        <v>0</v>
      </c>
      <c r="F231" s="129">
        <f t="shared" si="63"/>
        <v>0</v>
      </c>
      <c r="G231" s="63">
        <v>0</v>
      </c>
      <c r="H231" s="140">
        <f t="shared" si="64"/>
        <v>0</v>
      </c>
      <c r="I231" s="63">
        <v>0</v>
      </c>
      <c r="J231" s="63">
        <f t="shared" si="65"/>
        <v>0</v>
      </c>
      <c r="K231" s="140">
        <f t="shared" si="66"/>
        <v>0</v>
      </c>
    </row>
    <row r="232" spans="1:11">
      <c r="A232" s="130"/>
      <c r="B232" s="225"/>
      <c r="C232" s="131" t="s">
        <v>54</v>
      </c>
      <c r="D232" s="128">
        <v>0</v>
      </c>
      <c r="E232" s="128">
        <v>0</v>
      </c>
      <c r="F232" s="132">
        <f t="shared" si="63"/>
        <v>0</v>
      </c>
      <c r="G232" s="1">
        <v>0</v>
      </c>
      <c r="H232" s="140">
        <f t="shared" si="64"/>
        <v>0</v>
      </c>
      <c r="I232" s="63">
        <v>0</v>
      </c>
      <c r="J232" s="63">
        <f t="shared" si="65"/>
        <v>0</v>
      </c>
      <c r="K232" s="140">
        <f t="shared" si="66"/>
        <v>0</v>
      </c>
    </row>
    <row r="233" spans="1:11" s="62" customFormat="1">
      <c r="A233" s="133"/>
      <c r="B233" s="223" t="s">
        <v>294</v>
      </c>
      <c r="C233" s="134" t="s">
        <v>3</v>
      </c>
      <c r="D233" s="135">
        <f t="shared" ref="D233:E239" si="67">M10</f>
        <v>20.575487045097248</v>
      </c>
      <c r="E233" s="135">
        <f t="shared" si="67"/>
        <v>5701.7135430215058</v>
      </c>
      <c r="F233" s="136">
        <f t="shared" ref="F233:F245" si="68">E233/SUM($E$233:$E$245)</f>
        <v>1.1841657638544723E-2</v>
      </c>
      <c r="G233" s="140">
        <v>0</v>
      </c>
      <c r="H233" s="140">
        <f t="shared" si="64"/>
        <v>-5701.7135430215058</v>
      </c>
      <c r="I233" s="63">
        <v>0</v>
      </c>
      <c r="J233" s="63">
        <f t="shared" si="65"/>
        <v>0</v>
      </c>
      <c r="K233" s="140">
        <f t="shared" si="66"/>
        <v>20.575487045097248</v>
      </c>
    </row>
    <row r="234" spans="1:11" s="62" customFormat="1">
      <c r="A234" s="126"/>
      <c r="B234" s="224"/>
      <c r="C234" s="127" t="s">
        <v>293</v>
      </c>
      <c r="D234" s="128">
        <f t="shared" si="67"/>
        <v>192.03787908757397</v>
      </c>
      <c r="E234" s="128">
        <f t="shared" si="67"/>
        <v>22105.192204952007</v>
      </c>
      <c r="F234" s="129">
        <f t="shared" si="68"/>
        <v>4.5909377268812022E-2</v>
      </c>
      <c r="G234" s="89">
        <v>6941.2439290912298</v>
      </c>
      <c r="H234" s="140">
        <f t="shared" si="64"/>
        <v>-15163.948275860777</v>
      </c>
      <c r="I234" s="63">
        <v>499298.485627694</v>
      </c>
      <c r="J234" s="63">
        <f t="shared" si="65"/>
        <v>60.301749471943722</v>
      </c>
      <c r="K234" s="140">
        <f t="shared" si="66"/>
        <v>131.73612961563026</v>
      </c>
    </row>
    <row r="235" spans="1:11">
      <c r="A235" s="126"/>
      <c r="B235" s="224"/>
      <c r="C235" s="127" t="s">
        <v>5</v>
      </c>
      <c r="D235" s="128">
        <f t="shared" si="67"/>
        <v>624.1231070346164</v>
      </c>
      <c r="E235" s="128">
        <f t="shared" si="67"/>
        <v>75124.200498299891</v>
      </c>
      <c r="F235" s="129">
        <f t="shared" si="68"/>
        <v>0.15602240553790353</v>
      </c>
      <c r="G235" s="63">
        <v>72583.768597391201</v>
      </c>
      <c r="H235" s="140">
        <f t="shared" si="64"/>
        <v>-2540.4319009086903</v>
      </c>
      <c r="I235" s="63">
        <v>4992984.8562769303</v>
      </c>
      <c r="J235" s="63">
        <f t="shared" si="65"/>
        <v>603.01749471943606</v>
      </c>
      <c r="K235" s="140">
        <f t="shared" si="66"/>
        <v>21.105612315180338</v>
      </c>
    </row>
    <row r="236" spans="1:11">
      <c r="A236" s="137"/>
      <c r="B236" s="224"/>
      <c r="C236" s="127" t="s">
        <v>6</v>
      </c>
      <c r="D236" s="128">
        <f t="shared" si="67"/>
        <v>416.08207135641089</v>
      </c>
      <c r="E236" s="128">
        <f t="shared" si="67"/>
        <v>25000</v>
      </c>
      <c r="F236" s="129">
        <f t="shared" si="68"/>
        <v>5.1921486186543318E-2</v>
      </c>
      <c r="G236" s="63">
        <v>24154.589371980699</v>
      </c>
      <c r="H236" s="140">
        <f t="shared" si="64"/>
        <v>-845.41062801930093</v>
      </c>
      <c r="I236" s="63">
        <v>3328656.5708512901</v>
      </c>
      <c r="J236" s="63">
        <f t="shared" si="65"/>
        <v>402.01166314629108</v>
      </c>
      <c r="K236" s="140">
        <f t="shared" si="66"/>
        <v>14.070408210119808</v>
      </c>
    </row>
    <row r="237" spans="1:11">
      <c r="A237" s="137"/>
      <c r="B237" s="224"/>
      <c r="C237" s="127" t="s">
        <v>7</v>
      </c>
      <c r="D237" s="128">
        <f t="shared" si="67"/>
        <v>14427.605516457665</v>
      </c>
      <c r="E237" s="128">
        <f t="shared" si="67"/>
        <v>259914.46758742616</v>
      </c>
      <c r="F237" s="129">
        <f t="shared" si="68"/>
        <v>0.53980581754093226</v>
      </c>
      <c r="G237" s="63">
        <v>920822.87027627998</v>
      </c>
      <c r="H237" s="140">
        <f t="shared" si="64"/>
        <v>660908.40268885379</v>
      </c>
      <c r="I237" s="63">
        <v>423223952.70448899</v>
      </c>
      <c r="J237" s="63">
        <f t="shared" si="65"/>
        <v>51114.00394981751</v>
      </c>
      <c r="K237" s="140">
        <f t="shared" si="66"/>
        <v>-36686.398433359849</v>
      </c>
    </row>
    <row r="238" spans="1:11">
      <c r="A238" s="137"/>
      <c r="B238" s="224"/>
      <c r="C238" s="127" t="s">
        <v>292</v>
      </c>
      <c r="D238" s="128">
        <f t="shared" si="67"/>
        <v>624.1231070346164</v>
      </c>
      <c r="E238" s="128">
        <f t="shared" si="67"/>
        <v>82470.82848597721</v>
      </c>
      <c r="F238" s="129">
        <f t="shared" si="68"/>
        <v>0.17128031928109794</v>
      </c>
      <c r="G238" s="63">
        <v>79681.959889833102</v>
      </c>
      <c r="H238" s="140">
        <f t="shared" si="64"/>
        <v>-2788.8685961441079</v>
      </c>
      <c r="I238" s="63">
        <v>4992984.8562769303</v>
      </c>
      <c r="J238" s="63">
        <f t="shared" si="65"/>
        <v>603.01749471943606</v>
      </c>
      <c r="K238" s="140">
        <f t="shared" si="66"/>
        <v>21.105612315180338</v>
      </c>
    </row>
    <row r="239" spans="1:11" s="62" customFormat="1">
      <c r="A239" s="137"/>
      <c r="B239" s="224"/>
      <c r="C239" s="127" t="s">
        <v>9</v>
      </c>
      <c r="D239" s="128">
        <f t="shared" si="67"/>
        <v>27.95811739614641</v>
      </c>
      <c r="E239" s="128">
        <f t="shared" si="67"/>
        <v>11179.830476512756</v>
      </c>
      <c r="F239" s="129">
        <f t="shared" si="68"/>
        <v>2.3218936546166122E-2</v>
      </c>
      <c r="G239" s="63">
        <v>9829.6094044701495</v>
      </c>
      <c r="H239" s="140">
        <f t="shared" si="64"/>
        <v>-1350.2210720426065</v>
      </c>
      <c r="I239" s="63">
        <v>203535.09464394601</v>
      </c>
      <c r="J239" s="63">
        <f t="shared" si="65"/>
        <v>24.581533169558696</v>
      </c>
      <c r="K239" s="140">
        <f t="shared" si="66"/>
        <v>3.3765842265877133</v>
      </c>
    </row>
    <row r="240" spans="1:11">
      <c r="A240" s="137"/>
      <c r="B240" s="224"/>
      <c r="C240" s="127" t="s">
        <v>27</v>
      </c>
      <c r="D240" s="128">
        <v>0</v>
      </c>
      <c r="E240" s="128">
        <v>0</v>
      </c>
      <c r="F240" s="129">
        <f t="shared" si="68"/>
        <v>0</v>
      </c>
      <c r="G240" s="63">
        <v>0</v>
      </c>
      <c r="H240" s="140">
        <f t="shared" si="64"/>
        <v>0</v>
      </c>
      <c r="I240" s="63">
        <v>0</v>
      </c>
      <c r="J240" s="63">
        <f t="shared" si="65"/>
        <v>0</v>
      </c>
      <c r="K240" s="140">
        <f t="shared" si="66"/>
        <v>0</v>
      </c>
    </row>
    <row r="241" spans="1:11">
      <c r="A241" s="126"/>
      <c r="B241" s="224"/>
      <c r="C241" s="127" t="s">
        <v>28</v>
      </c>
      <c r="D241" s="128">
        <v>0</v>
      </c>
      <c r="E241" s="128">
        <v>0</v>
      </c>
      <c r="F241" s="129">
        <f t="shared" si="68"/>
        <v>0</v>
      </c>
      <c r="G241" s="120">
        <v>0</v>
      </c>
      <c r="H241" s="140">
        <f t="shared" si="64"/>
        <v>0</v>
      </c>
      <c r="I241" s="63">
        <v>0</v>
      </c>
      <c r="J241" s="63">
        <f t="shared" si="65"/>
        <v>0</v>
      </c>
      <c r="K241" s="140">
        <f t="shared" si="66"/>
        <v>0</v>
      </c>
    </row>
    <row r="242" spans="1:11">
      <c r="A242" s="126"/>
      <c r="B242" s="224"/>
      <c r="C242" s="127" t="s">
        <v>39</v>
      </c>
      <c r="D242" s="128">
        <v>0</v>
      </c>
      <c r="E242" s="128">
        <v>0</v>
      </c>
      <c r="F242" s="129">
        <f t="shared" si="68"/>
        <v>0</v>
      </c>
      <c r="G242" s="120">
        <v>0</v>
      </c>
      <c r="H242" s="140">
        <f t="shared" si="64"/>
        <v>0</v>
      </c>
      <c r="I242" s="63">
        <v>0</v>
      </c>
      <c r="J242" s="63">
        <f t="shared" si="65"/>
        <v>0</v>
      </c>
      <c r="K242" s="140">
        <f t="shared" si="66"/>
        <v>0</v>
      </c>
    </row>
    <row r="243" spans="1:11">
      <c r="A243" s="126"/>
      <c r="B243" s="224"/>
      <c r="C243" s="127" t="s">
        <v>291</v>
      </c>
      <c r="D243" s="128">
        <v>0</v>
      </c>
      <c r="E243" s="128">
        <v>0</v>
      </c>
      <c r="F243" s="129">
        <f t="shared" si="68"/>
        <v>0</v>
      </c>
      <c r="G243" s="120">
        <v>0</v>
      </c>
      <c r="H243" s="140">
        <f t="shared" si="64"/>
        <v>0</v>
      </c>
      <c r="I243" s="63">
        <v>0</v>
      </c>
      <c r="J243" s="63">
        <f t="shared" si="65"/>
        <v>0</v>
      </c>
      <c r="K243" s="140">
        <f t="shared" si="66"/>
        <v>0</v>
      </c>
    </row>
    <row r="244" spans="1:11" s="62" customFormat="1">
      <c r="A244" s="126"/>
      <c r="B244" s="224"/>
      <c r="C244" s="127" t="s">
        <v>40</v>
      </c>
      <c r="D244" s="128">
        <v>0</v>
      </c>
      <c r="E244" s="128">
        <v>0</v>
      </c>
      <c r="F244" s="129">
        <f t="shared" si="68"/>
        <v>0</v>
      </c>
      <c r="G244" s="120">
        <v>0</v>
      </c>
      <c r="H244" s="140">
        <f t="shared" si="64"/>
        <v>0</v>
      </c>
      <c r="I244" s="63">
        <v>0</v>
      </c>
      <c r="J244" s="63">
        <f t="shared" si="65"/>
        <v>0</v>
      </c>
      <c r="K244" s="140">
        <f t="shared" si="66"/>
        <v>0</v>
      </c>
    </row>
    <row r="245" spans="1:11">
      <c r="A245" s="130"/>
      <c r="B245" s="225"/>
      <c r="C245" s="131" t="s">
        <v>54</v>
      </c>
      <c r="D245" s="138">
        <v>0</v>
      </c>
      <c r="E245" s="138">
        <v>0</v>
      </c>
      <c r="F245" s="132">
        <f t="shared" si="68"/>
        <v>0</v>
      </c>
      <c r="G245" s="120">
        <v>0</v>
      </c>
      <c r="H245" s="140">
        <f t="shared" si="64"/>
        <v>0</v>
      </c>
      <c r="I245" s="63">
        <v>0</v>
      </c>
      <c r="J245" s="63">
        <f t="shared" si="65"/>
        <v>0</v>
      </c>
      <c r="K245" s="140">
        <f t="shared" si="66"/>
        <v>0</v>
      </c>
    </row>
    <row r="246" spans="1:11">
      <c r="A246" s="133"/>
      <c r="B246" s="228" t="s">
        <v>298</v>
      </c>
      <c r="C246" s="134" t="s">
        <v>3</v>
      </c>
      <c r="D246" s="135">
        <f t="shared" ref="D246:D254" si="69">G45</f>
        <v>0</v>
      </c>
      <c r="E246" s="135">
        <f t="shared" ref="E246:E254" si="70">H45</f>
        <v>0</v>
      </c>
      <c r="F246" s="136">
        <f t="shared" ref="F246:F258" si="71">E246/SUM($E$246:$E$258)</f>
        <v>0</v>
      </c>
      <c r="G246" s="140">
        <v>0</v>
      </c>
      <c r="H246" s="140">
        <f t="shared" si="64"/>
        <v>0</v>
      </c>
      <c r="I246" s="63">
        <v>0</v>
      </c>
      <c r="J246" s="63">
        <f t="shared" si="65"/>
        <v>0</v>
      </c>
      <c r="K246" s="140">
        <f t="shared" si="66"/>
        <v>0</v>
      </c>
    </row>
    <row r="247" spans="1:11">
      <c r="A247" s="126"/>
      <c r="B247" s="229"/>
      <c r="C247" s="127" t="s">
        <v>293</v>
      </c>
      <c r="D247" s="128">
        <f t="shared" si="69"/>
        <v>192.03787908757397</v>
      </c>
      <c r="E247" s="128">
        <f t="shared" si="70"/>
        <v>22105.192204952007</v>
      </c>
      <c r="F247" s="129">
        <f t="shared" si="71"/>
        <v>4.2627766511101367E-2</v>
      </c>
      <c r="G247" s="120">
        <v>6941.2439290912298</v>
      </c>
      <c r="H247" s="140">
        <f t="shared" si="64"/>
        <v>-15163.948275860777</v>
      </c>
      <c r="I247" s="63">
        <v>499298.485627694</v>
      </c>
      <c r="J247" s="63">
        <f t="shared" si="65"/>
        <v>60.301749471943722</v>
      </c>
      <c r="K247" s="140">
        <f t="shared" si="66"/>
        <v>131.73612961563026</v>
      </c>
    </row>
    <row r="248" spans="1:11">
      <c r="A248" s="126"/>
      <c r="B248" s="229"/>
      <c r="C248" s="127" t="s">
        <v>5</v>
      </c>
      <c r="D248" s="128">
        <f t="shared" si="69"/>
        <v>624.1231070346164</v>
      </c>
      <c r="E248" s="128">
        <f t="shared" si="70"/>
        <v>75124.200498299891</v>
      </c>
      <c r="F248" s="129">
        <f t="shared" si="71"/>
        <v>0.1448698952030508</v>
      </c>
      <c r="G248" s="120">
        <v>72583.768597391201</v>
      </c>
      <c r="H248" s="140">
        <f t="shared" si="64"/>
        <v>-2540.4319009086903</v>
      </c>
      <c r="I248" s="63">
        <v>4992984.8562769303</v>
      </c>
      <c r="J248" s="63">
        <f t="shared" si="65"/>
        <v>603.01749471943606</v>
      </c>
      <c r="K248" s="140">
        <f t="shared" si="66"/>
        <v>21.105612315180338</v>
      </c>
    </row>
    <row r="249" spans="1:11">
      <c r="A249" s="126"/>
      <c r="B249" s="229"/>
      <c r="C249" s="127" t="s">
        <v>6</v>
      </c>
      <c r="D249" s="128">
        <f t="shared" si="69"/>
        <v>0</v>
      </c>
      <c r="E249" s="128">
        <f t="shared" si="70"/>
        <v>0</v>
      </c>
      <c r="F249" s="129">
        <f t="shared" si="71"/>
        <v>0</v>
      </c>
      <c r="G249" s="120">
        <v>0</v>
      </c>
      <c r="H249" s="140">
        <f t="shared" si="64"/>
        <v>0</v>
      </c>
      <c r="I249" s="63">
        <v>0</v>
      </c>
      <c r="J249" s="63">
        <f t="shared" si="65"/>
        <v>0</v>
      </c>
      <c r="K249" s="140">
        <f t="shared" si="66"/>
        <v>0</v>
      </c>
    </row>
    <row r="250" spans="1:11">
      <c r="A250" s="126"/>
      <c r="B250" s="229"/>
      <c r="C250" s="127" t="s">
        <v>7</v>
      </c>
      <c r="D250" s="128">
        <f t="shared" si="69"/>
        <v>17561.989329628257</v>
      </c>
      <c r="E250" s="128">
        <f t="shared" si="70"/>
        <v>316380.64273239946</v>
      </c>
      <c r="F250" s="129">
        <f t="shared" si="71"/>
        <v>0.61011006111078447</v>
      </c>
      <c r="G250" s="63">
        <v>1065957.8500489399</v>
      </c>
      <c r="H250" s="140">
        <f t="shared" si="64"/>
        <v>749577.20731654041</v>
      </c>
      <c r="I250" s="63">
        <v>489930158.42312002</v>
      </c>
      <c r="J250" s="63">
        <f t="shared" si="65"/>
        <v>59170.308988299519</v>
      </c>
      <c r="K250" s="140">
        <f t="shared" si="66"/>
        <v>-41608.319658671258</v>
      </c>
    </row>
    <row r="251" spans="1:11">
      <c r="A251" s="126"/>
      <c r="B251" s="229"/>
      <c r="C251" s="127" t="s">
        <v>292</v>
      </c>
      <c r="D251" s="128">
        <f t="shared" si="69"/>
        <v>615.93167346819087</v>
      </c>
      <c r="E251" s="128">
        <f t="shared" si="70"/>
        <v>81388.422939544704</v>
      </c>
      <c r="F251" s="129">
        <f t="shared" si="71"/>
        <v>0.15694985402553802</v>
      </c>
      <c r="G251" s="63">
        <v>79449.717731020399</v>
      </c>
      <c r="H251" s="140">
        <f t="shared" si="64"/>
        <v>-1938.7052085243049</v>
      </c>
      <c r="I251" s="63">
        <v>4978432.2325269096</v>
      </c>
      <c r="J251" s="63">
        <f t="shared" si="65"/>
        <v>601.25993146460257</v>
      </c>
      <c r="K251" s="140">
        <f t="shared" si="66"/>
        <v>14.671742003588292</v>
      </c>
    </row>
    <row r="252" spans="1:11">
      <c r="A252" s="126"/>
      <c r="B252" s="229"/>
      <c r="C252" s="127" t="s">
        <v>9</v>
      </c>
      <c r="D252" s="128">
        <f t="shared" si="69"/>
        <v>27.591175267724051</v>
      </c>
      <c r="E252" s="128">
        <f t="shared" si="70"/>
        <v>11033.098465471905</v>
      </c>
      <c r="F252" s="129">
        <f t="shared" si="71"/>
        <v>2.1276283911920334E-2</v>
      </c>
      <c r="G252" s="63">
        <v>9800.9598869189304</v>
      </c>
      <c r="H252" s="140">
        <f t="shared" si="64"/>
        <v>-1232.1385785529746</v>
      </c>
      <c r="I252" s="63">
        <v>202941.86840001799</v>
      </c>
      <c r="J252" s="63">
        <f t="shared" si="65"/>
        <v>24.509887487924878</v>
      </c>
      <c r="K252" s="140">
        <f t="shared" si="66"/>
        <v>3.0812877797991725</v>
      </c>
    </row>
    <row r="253" spans="1:11">
      <c r="A253" s="126"/>
      <c r="B253" s="229"/>
      <c r="C253" s="127" t="s">
        <v>27</v>
      </c>
      <c r="D253" s="128">
        <f t="shared" si="69"/>
        <v>357.5849306939183</v>
      </c>
      <c r="E253" s="128">
        <f t="shared" si="70"/>
        <v>12531.671171647575</v>
      </c>
      <c r="F253" s="129">
        <f t="shared" si="71"/>
        <v>2.4166139237605092E-2</v>
      </c>
      <c r="G253" s="63">
        <v>7267.03106065255</v>
      </c>
      <c r="H253" s="140">
        <f t="shared" si="64"/>
        <v>-5264.6401109950248</v>
      </c>
      <c r="I253" s="63">
        <v>1716949.6960278</v>
      </c>
      <c r="J253" s="63">
        <f t="shared" si="65"/>
        <v>207.36107439949276</v>
      </c>
      <c r="K253" s="140">
        <f t="shared" si="66"/>
        <v>150.22385629442553</v>
      </c>
    </row>
    <row r="254" spans="1:11">
      <c r="A254" s="126"/>
      <c r="B254" s="229"/>
      <c r="C254" s="127" t="s">
        <v>28</v>
      </c>
      <c r="D254" s="128">
        <f t="shared" si="69"/>
        <v>0</v>
      </c>
      <c r="E254" s="128">
        <f t="shared" si="70"/>
        <v>0</v>
      </c>
      <c r="F254" s="129">
        <f t="shared" si="71"/>
        <v>0</v>
      </c>
      <c r="G254" s="63">
        <v>0</v>
      </c>
      <c r="H254" s="140">
        <f t="shared" si="64"/>
        <v>0</v>
      </c>
      <c r="I254" s="63">
        <v>0</v>
      </c>
      <c r="J254" s="63">
        <f t="shared" si="65"/>
        <v>0</v>
      </c>
      <c r="K254" s="140">
        <f>D254-J254</f>
        <v>0</v>
      </c>
    </row>
    <row r="255" spans="1:11">
      <c r="A255" s="126"/>
      <c r="B255" s="229"/>
      <c r="C255" s="127" t="s">
        <v>39</v>
      </c>
      <c r="D255" s="128">
        <v>0</v>
      </c>
      <c r="E255" s="128">
        <v>0</v>
      </c>
      <c r="F255" s="129">
        <f t="shared" si="71"/>
        <v>0</v>
      </c>
      <c r="G255" s="63">
        <v>0</v>
      </c>
      <c r="H255" s="140">
        <f t="shared" si="64"/>
        <v>0</v>
      </c>
      <c r="I255" s="63">
        <v>0</v>
      </c>
      <c r="J255" s="63">
        <f t="shared" si="65"/>
        <v>0</v>
      </c>
      <c r="K255" s="140">
        <f t="shared" si="66"/>
        <v>0</v>
      </c>
    </row>
    <row r="256" spans="1:11">
      <c r="A256" s="126"/>
      <c r="B256" s="229"/>
      <c r="C256" s="127" t="s">
        <v>291</v>
      </c>
      <c r="D256" s="128">
        <v>0</v>
      </c>
      <c r="E256" s="128">
        <v>0</v>
      </c>
      <c r="F256" s="129">
        <f t="shared" si="71"/>
        <v>0</v>
      </c>
      <c r="G256" s="63">
        <v>0</v>
      </c>
      <c r="H256" s="140">
        <f t="shared" si="64"/>
        <v>0</v>
      </c>
      <c r="I256" s="63">
        <v>0</v>
      </c>
      <c r="J256" s="63">
        <f t="shared" si="65"/>
        <v>0</v>
      </c>
      <c r="K256" s="140">
        <f t="shared" si="66"/>
        <v>0</v>
      </c>
    </row>
    <row r="257" spans="1:11">
      <c r="A257" s="126"/>
      <c r="B257" s="229"/>
      <c r="C257" s="127" t="s">
        <v>40</v>
      </c>
      <c r="D257" s="128">
        <v>0</v>
      </c>
      <c r="E257" s="128">
        <v>0</v>
      </c>
      <c r="F257" s="129">
        <f t="shared" si="71"/>
        <v>0</v>
      </c>
      <c r="G257" s="63">
        <v>0</v>
      </c>
      <c r="H257" s="140">
        <f t="shared" si="64"/>
        <v>0</v>
      </c>
      <c r="I257" s="63">
        <v>0</v>
      </c>
      <c r="J257" s="63">
        <f t="shared" si="65"/>
        <v>0</v>
      </c>
      <c r="K257" s="140">
        <f t="shared" si="66"/>
        <v>0</v>
      </c>
    </row>
    <row r="258" spans="1:11">
      <c r="A258" s="130"/>
      <c r="B258" s="230"/>
      <c r="C258" s="131" t="s">
        <v>54</v>
      </c>
      <c r="D258" s="138">
        <v>0</v>
      </c>
      <c r="E258" s="138">
        <v>0</v>
      </c>
      <c r="F258" s="132">
        <f t="shared" si="71"/>
        <v>0</v>
      </c>
      <c r="G258" s="63">
        <v>0</v>
      </c>
      <c r="H258" s="140">
        <f t="shared" si="64"/>
        <v>0</v>
      </c>
      <c r="I258" s="63">
        <v>0</v>
      </c>
      <c r="J258" s="63">
        <f t="shared" si="65"/>
        <v>0</v>
      </c>
      <c r="K258" s="140">
        <f t="shared" si="66"/>
        <v>0</v>
      </c>
    </row>
    <row r="259" spans="1:11">
      <c r="A259" s="133"/>
      <c r="B259" s="223" t="s">
        <v>295</v>
      </c>
      <c r="C259" s="134" t="s">
        <v>3</v>
      </c>
      <c r="D259" s="135">
        <f t="shared" ref="D259:D267" si="72">M45</f>
        <v>0</v>
      </c>
      <c r="E259" s="135">
        <f t="shared" ref="E259:E267" si="73">N45</f>
        <v>0</v>
      </c>
      <c r="F259" s="136">
        <f t="shared" ref="F259:F271" si="74">E259/SUM($E$259:$E$271)</f>
        <v>0</v>
      </c>
      <c r="G259" s="140">
        <v>0</v>
      </c>
      <c r="H259" s="140">
        <f t="shared" si="64"/>
        <v>0</v>
      </c>
      <c r="I259" s="63">
        <v>0</v>
      </c>
      <c r="J259" s="63">
        <f t="shared" si="65"/>
        <v>0</v>
      </c>
      <c r="K259" s="140">
        <f t="shared" si="66"/>
        <v>0</v>
      </c>
    </row>
    <row r="260" spans="1:11">
      <c r="A260" s="126"/>
      <c r="B260" s="224"/>
      <c r="C260" s="127" t="s">
        <v>293</v>
      </c>
      <c r="D260" s="128">
        <f t="shared" si="72"/>
        <v>0</v>
      </c>
      <c r="E260" s="128">
        <f t="shared" si="73"/>
        <v>0</v>
      </c>
      <c r="F260" s="129">
        <f t="shared" si="74"/>
        <v>0</v>
      </c>
      <c r="G260" s="63">
        <v>0</v>
      </c>
      <c r="H260" s="140">
        <f t="shared" si="64"/>
        <v>0</v>
      </c>
      <c r="I260" s="63">
        <v>0</v>
      </c>
      <c r="J260" s="63">
        <f t="shared" si="65"/>
        <v>0</v>
      </c>
      <c r="K260" s="140">
        <f t="shared" si="66"/>
        <v>0</v>
      </c>
    </row>
    <row r="261" spans="1:11">
      <c r="A261" s="126"/>
      <c r="B261" s="224"/>
      <c r="C261" s="127" t="s">
        <v>5</v>
      </c>
      <c r="D261" s="128">
        <f t="shared" si="72"/>
        <v>624.1231070346164</v>
      </c>
      <c r="E261" s="128">
        <f t="shared" si="73"/>
        <v>75124.200498299891</v>
      </c>
      <c r="F261" s="129">
        <f t="shared" si="74"/>
        <v>0.1448698952030508</v>
      </c>
      <c r="G261" s="63">
        <v>72583.768597391201</v>
      </c>
      <c r="H261" s="140">
        <f t="shared" si="64"/>
        <v>-2540.4319009086903</v>
      </c>
      <c r="I261" s="63">
        <v>4992984.8562769303</v>
      </c>
      <c r="J261" s="63">
        <f t="shared" si="65"/>
        <v>603.01749471943606</v>
      </c>
      <c r="K261" s="140">
        <f t="shared" si="66"/>
        <v>21.105612315180338</v>
      </c>
    </row>
    <row r="262" spans="1:11">
      <c r="A262" s="126"/>
      <c r="B262" s="224"/>
      <c r="C262" s="127" t="s">
        <v>6</v>
      </c>
      <c r="D262" s="128">
        <f t="shared" si="72"/>
        <v>0</v>
      </c>
      <c r="E262" s="128">
        <f t="shared" si="73"/>
        <v>0</v>
      </c>
      <c r="F262" s="129">
        <f t="shared" si="74"/>
        <v>0</v>
      </c>
      <c r="G262" s="63">
        <v>0</v>
      </c>
      <c r="H262" s="140">
        <f t="shared" si="64"/>
        <v>0</v>
      </c>
      <c r="I262" s="63">
        <v>0</v>
      </c>
      <c r="J262" s="63">
        <f t="shared" si="65"/>
        <v>0</v>
      </c>
      <c r="K262" s="140">
        <f t="shared" si="66"/>
        <v>0</v>
      </c>
    </row>
    <row r="263" spans="1:11">
      <c r="A263" s="126"/>
      <c r="B263" s="224"/>
      <c r="C263" s="127" t="s">
        <v>7</v>
      </c>
      <c r="D263" s="128">
        <f t="shared" si="72"/>
        <v>17754.02720871583</v>
      </c>
      <c r="E263" s="128">
        <f t="shared" si="73"/>
        <v>319840.22048719239</v>
      </c>
      <c r="F263" s="129">
        <f t="shared" si="74"/>
        <v>0.61678152867329117</v>
      </c>
      <c r="G263" s="63">
        <v>1067044.19088981</v>
      </c>
      <c r="H263" s="140">
        <f t="shared" si="64"/>
        <v>747203.97040261759</v>
      </c>
      <c r="I263" s="63">
        <v>490429456.90874797</v>
      </c>
      <c r="J263" s="63">
        <f t="shared" si="65"/>
        <v>59230.610737771494</v>
      </c>
      <c r="K263" s="140">
        <f t="shared" si="66"/>
        <v>-41476.583529055664</v>
      </c>
    </row>
    <row r="264" spans="1:11">
      <c r="A264" s="126"/>
      <c r="B264" s="224"/>
      <c r="C264" s="127" t="s">
        <v>292</v>
      </c>
      <c r="D264" s="128">
        <f t="shared" si="72"/>
        <v>890.74307835893694</v>
      </c>
      <c r="E264" s="128">
        <f t="shared" si="73"/>
        <v>117701.65022320964</v>
      </c>
      <c r="F264" s="129">
        <f t="shared" si="74"/>
        <v>0.22697646856752116</v>
      </c>
      <c r="G264" s="63">
        <v>97134.029199998899</v>
      </c>
      <c r="H264" s="140">
        <f t="shared" si="64"/>
        <v>-20567.621023210741</v>
      </c>
      <c r="I264" s="63">
        <v>6086556.3233546596</v>
      </c>
      <c r="J264" s="63">
        <f t="shared" si="65"/>
        <v>735.09134340032119</v>
      </c>
      <c r="K264" s="140">
        <f t="shared" si="66"/>
        <v>155.65173495861575</v>
      </c>
    </row>
    <row r="265" spans="1:11">
      <c r="A265" s="126"/>
      <c r="B265" s="224"/>
      <c r="C265" s="127" t="s">
        <v>9</v>
      </c>
      <c r="D265" s="128">
        <f t="shared" si="72"/>
        <v>0</v>
      </c>
      <c r="E265" s="128">
        <f t="shared" si="73"/>
        <v>0</v>
      </c>
      <c r="F265" s="129">
        <f t="shared" si="74"/>
        <v>0</v>
      </c>
      <c r="G265" s="63">
        <v>0</v>
      </c>
      <c r="H265" s="140">
        <f t="shared" si="64"/>
        <v>0</v>
      </c>
      <c r="I265" s="63">
        <v>0</v>
      </c>
      <c r="J265" s="63">
        <f t="shared" si="65"/>
        <v>0</v>
      </c>
      <c r="K265" s="140">
        <f t="shared" si="66"/>
        <v>0</v>
      </c>
    </row>
    <row r="266" spans="1:11">
      <c r="A266" s="126"/>
      <c r="B266" s="224"/>
      <c r="C266" s="127" t="s">
        <v>27</v>
      </c>
      <c r="D266" s="128">
        <f t="shared" si="72"/>
        <v>0</v>
      </c>
      <c r="E266" s="128">
        <f t="shared" si="73"/>
        <v>0</v>
      </c>
      <c r="F266" s="129">
        <f t="shared" si="74"/>
        <v>0</v>
      </c>
      <c r="G266" s="63">
        <v>0</v>
      </c>
      <c r="H266" s="140">
        <f t="shared" si="64"/>
        <v>0</v>
      </c>
      <c r="I266" s="63">
        <v>0</v>
      </c>
      <c r="J266" s="63">
        <f t="shared" si="65"/>
        <v>0</v>
      </c>
      <c r="K266" s="140">
        <f t="shared" si="66"/>
        <v>0</v>
      </c>
    </row>
    <row r="267" spans="1:11">
      <c r="A267" s="126"/>
      <c r="B267" s="224"/>
      <c r="C267" s="127" t="s">
        <v>28</v>
      </c>
      <c r="D267" s="128">
        <f t="shared" si="72"/>
        <v>55.182350535448101</v>
      </c>
      <c r="E267" s="128">
        <f t="shared" si="73"/>
        <v>5897.1568036135823</v>
      </c>
      <c r="F267" s="129">
        <f t="shared" si="74"/>
        <v>1.1372107556136874E-2</v>
      </c>
      <c r="G267" s="63">
        <v>5238.5825668071402</v>
      </c>
      <c r="H267" s="140">
        <f t="shared" si="64"/>
        <v>-658.57423680644206</v>
      </c>
      <c r="I267" s="63">
        <v>405883.73680003599</v>
      </c>
      <c r="J267" s="63">
        <f t="shared" si="65"/>
        <v>49.019774975849757</v>
      </c>
      <c r="K267" s="140">
        <f t="shared" si="66"/>
        <v>6.1625755595983449</v>
      </c>
    </row>
    <row r="268" spans="1:11">
      <c r="A268" s="126"/>
      <c r="B268" s="224"/>
      <c r="C268" s="127" t="s">
        <v>39</v>
      </c>
      <c r="D268" s="128">
        <f>0</f>
        <v>0</v>
      </c>
      <c r="E268" s="128">
        <f>0</f>
        <v>0</v>
      </c>
      <c r="F268" s="129">
        <f t="shared" si="74"/>
        <v>0</v>
      </c>
      <c r="G268" s="63">
        <v>0</v>
      </c>
      <c r="H268" s="140">
        <f t="shared" si="64"/>
        <v>0</v>
      </c>
      <c r="I268" s="63">
        <v>0</v>
      </c>
      <c r="J268" s="63">
        <f t="shared" si="65"/>
        <v>0</v>
      </c>
      <c r="K268" s="140">
        <f t="shared" si="66"/>
        <v>0</v>
      </c>
    </row>
    <row r="269" spans="1:11">
      <c r="A269" s="126"/>
      <c r="B269" s="224"/>
      <c r="C269" s="127" t="s">
        <v>291</v>
      </c>
      <c r="D269" s="128">
        <f>0</f>
        <v>0</v>
      </c>
      <c r="E269" s="128">
        <f>0</f>
        <v>0</v>
      </c>
      <c r="F269" s="129">
        <f t="shared" si="74"/>
        <v>0</v>
      </c>
      <c r="G269" s="63">
        <v>0</v>
      </c>
      <c r="H269" s="140">
        <f t="shared" si="64"/>
        <v>0</v>
      </c>
      <c r="I269" s="63">
        <v>0</v>
      </c>
      <c r="J269" s="63">
        <f t="shared" si="65"/>
        <v>0</v>
      </c>
      <c r="K269" s="140">
        <f>D269-J269</f>
        <v>0</v>
      </c>
    </row>
    <row r="270" spans="1:11">
      <c r="A270" s="126"/>
      <c r="B270" s="224"/>
      <c r="C270" s="127" t="s">
        <v>40</v>
      </c>
      <c r="D270" s="128">
        <f>0</f>
        <v>0</v>
      </c>
      <c r="E270" s="128">
        <f>0</f>
        <v>0</v>
      </c>
      <c r="F270" s="129">
        <f t="shared" si="74"/>
        <v>0</v>
      </c>
      <c r="G270" s="63">
        <v>0</v>
      </c>
      <c r="H270" s="140">
        <f t="shared" si="64"/>
        <v>0</v>
      </c>
      <c r="I270" s="63">
        <v>0</v>
      </c>
      <c r="J270" s="63">
        <f t="shared" si="65"/>
        <v>0</v>
      </c>
      <c r="K270" s="140">
        <f t="shared" si="66"/>
        <v>0</v>
      </c>
    </row>
    <row r="271" spans="1:11">
      <c r="A271" s="130"/>
      <c r="B271" s="225"/>
      <c r="C271" s="131" t="s">
        <v>54</v>
      </c>
      <c r="D271" s="138">
        <f>0</f>
        <v>0</v>
      </c>
      <c r="E271" s="138">
        <f>0</f>
        <v>0</v>
      </c>
      <c r="F271" s="132">
        <f t="shared" si="74"/>
        <v>0</v>
      </c>
      <c r="G271" s="63">
        <v>0</v>
      </c>
      <c r="H271" s="140">
        <f t="shared" si="64"/>
        <v>0</v>
      </c>
      <c r="I271" s="63">
        <v>0</v>
      </c>
      <c r="J271" s="63">
        <f t="shared" si="65"/>
        <v>0</v>
      </c>
      <c r="K271" s="140">
        <f t="shared" si="66"/>
        <v>0</v>
      </c>
    </row>
    <row r="272" spans="1:11">
      <c r="A272" s="133"/>
      <c r="B272" s="223" t="s">
        <v>297</v>
      </c>
      <c r="C272" s="134" t="s">
        <v>3</v>
      </c>
      <c r="D272" s="135">
        <f t="shared" ref="D272:D283" si="75">G82</f>
        <v>0</v>
      </c>
      <c r="E272" s="135">
        <f t="shared" ref="E272:E283" si="76">H82</f>
        <v>0</v>
      </c>
      <c r="F272" s="136">
        <f t="shared" ref="F272:F284" si="77">E272/SUM($E$272:$E$284)</f>
        <v>0</v>
      </c>
      <c r="G272" s="140">
        <v>0</v>
      </c>
      <c r="H272" s="140">
        <f t="shared" si="64"/>
        <v>0</v>
      </c>
      <c r="I272" s="63">
        <v>0</v>
      </c>
      <c r="J272" s="63">
        <f t="shared" si="65"/>
        <v>0</v>
      </c>
      <c r="K272" s="140">
        <f t="shared" si="66"/>
        <v>0</v>
      </c>
    </row>
    <row r="273" spans="1:11">
      <c r="A273" s="126"/>
      <c r="B273" s="224"/>
      <c r="C273" s="127" t="s">
        <v>293</v>
      </c>
      <c r="D273" s="128">
        <f t="shared" si="75"/>
        <v>0</v>
      </c>
      <c r="E273" s="128">
        <f t="shared" si="76"/>
        <v>0</v>
      </c>
      <c r="F273" s="129">
        <f t="shared" si="77"/>
        <v>0</v>
      </c>
      <c r="G273" s="63">
        <v>0</v>
      </c>
      <c r="H273" s="140">
        <f t="shared" si="64"/>
        <v>0</v>
      </c>
      <c r="I273" s="63">
        <v>0</v>
      </c>
      <c r="J273" s="63">
        <f t="shared" si="65"/>
        <v>0</v>
      </c>
      <c r="K273" s="140">
        <f t="shared" si="66"/>
        <v>0</v>
      </c>
    </row>
    <row r="274" spans="1:11">
      <c r="A274" s="126"/>
      <c r="B274" s="224"/>
      <c r="C274" s="127" t="s">
        <v>5</v>
      </c>
      <c r="D274" s="128">
        <f t="shared" si="75"/>
        <v>624.1231070346164</v>
      </c>
      <c r="E274" s="128">
        <f t="shared" si="76"/>
        <v>75124.200498299891</v>
      </c>
      <c r="F274" s="129">
        <f t="shared" si="77"/>
        <v>9.164739157012973E-2</v>
      </c>
      <c r="G274" s="63">
        <v>72583.768597391201</v>
      </c>
      <c r="H274" s="140">
        <f t="shared" si="64"/>
        <v>-2540.4319009086903</v>
      </c>
      <c r="I274" s="63">
        <v>4992984.8562769303</v>
      </c>
      <c r="J274" s="63">
        <f t="shared" si="65"/>
        <v>603.01749471943606</v>
      </c>
      <c r="K274" s="140">
        <f t="shared" si="66"/>
        <v>21.105612315180338</v>
      </c>
    </row>
    <row r="275" spans="1:11">
      <c r="A275" s="126"/>
      <c r="B275" s="224"/>
      <c r="C275" s="127" t="s">
        <v>6</v>
      </c>
      <c r="D275" s="128">
        <f t="shared" si="75"/>
        <v>0</v>
      </c>
      <c r="E275" s="128">
        <f t="shared" si="76"/>
        <v>0</v>
      </c>
      <c r="F275" s="129">
        <f t="shared" si="77"/>
        <v>0</v>
      </c>
      <c r="G275" s="63">
        <v>0</v>
      </c>
      <c r="H275" s="140">
        <f t="shared" si="64"/>
        <v>0</v>
      </c>
      <c r="I275" s="63">
        <v>0</v>
      </c>
      <c r="J275" s="63">
        <f t="shared" si="65"/>
        <v>0</v>
      </c>
      <c r="K275" s="140">
        <f t="shared" si="66"/>
        <v>0</v>
      </c>
    </row>
    <row r="276" spans="1:11">
      <c r="A276" s="126"/>
      <c r="B276" s="224"/>
      <c r="C276" s="127" t="s">
        <v>7</v>
      </c>
      <c r="D276" s="128">
        <f t="shared" si="75"/>
        <v>29320.069103976835</v>
      </c>
      <c r="E276" s="128">
        <f t="shared" si="76"/>
        <v>528203.39051367098</v>
      </c>
      <c r="F276" s="129">
        <f t="shared" si="77"/>
        <v>0.64437907675532691</v>
      </c>
      <c r="G276" s="63">
        <v>1890943.8259902601</v>
      </c>
      <c r="H276" s="140">
        <f t="shared" si="64"/>
        <v>1362740.435476589</v>
      </c>
      <c r="I276" s="63">
        <v>869106042.22681201</v>
      </c>
      <c r="J276" s="63">
        <f t="shared" si="65"/>
        <v>104964.49785347971</v>
      </c>
      <c r="K276" s="140">
        <f t="shared" si="66"/>
        <v>-75644.428749502869</v>
      </c>
    </row>
    <row r="277" spans="1:11">
      <c r="A277" s="126"/>
      <c r="B277" s="224"/>
      <c r="C277" s="127" t="s">
        <v>292</v>
      </c>
      <c r="D277" s="128">
        <f t="shared" si="75"/>
        <v>890.74307835893694</v>
      </c>
      <c r="E277" s="128">
        <f t="shared" si="76"/>
        <v>117701.65022320964</v>
      </c>
      <c r="F277" s="129">
        <f t="shared" si="77"/>
        <v>0.14358953779083558</v>
      </c>
      <c r="G277" s="63">
        <v>97134.029199998899</v>
      </c>
      <c r="H277" s="140">
        <f t="shared" si="64"/>
        <v>-20567.621023210741</v>
      </c>
      <c r="I277" s="63">
        <v>6086556.3233546596</v>
      </c>
      <c r="J277" s="63">
        <f t="shared" si="65"/>
        <v>735.09134340032119</v>
      </c>
      <c r="K277" s="140">
        <f t="shared" si="66"/>
        <v>155.65173495861575</v>
      </c>
    </row>
    <row r="278" spans="1:11">
      <c r="A278" s="126"/>
      <c r="B278" s="224"/>
      <c r="C278" s="127" t="s">
        <v>9</v>
      </c>
      <c r="D278" s="128">
        <f t="shared" si="75"/>
        <v>0</v>
      </c>
      <c r="E278" s="128">
        <f t="shared" si="76"/>
        <v>0</v>
      </c>
      <c r="F278" s="129">
        <f t="shared" si="77"/>
        <v>0</v>
      </c>
      <c r="G278" s="63">
        <v>0</v>
      </c>
      <c r="H278" s="140">
        <f t="shared" si="64"/>
        <v>0</v>
      </c>
      <c r="I278" s="63">
        <v>0</v>
      </c>
      <c r="J278" s="63">
        <f t="shared" si="65"/>
        <v>0</v>
      </c>
      <c r="K278" s="140">
        <f t="shared" si="66"/>
        <v>0</v>
      </c>
    </row>
    <row r="279" spans="1:11">
      <c r="A279" s="126"/>
      <c r="B279" s="224"/>
      <c r="C279" s="127" t="s">
        <v>27</v>
      </c>
      <c r="D279" s="128">
        <f t="shared" si="75"/>
        <v>0</v>
      </c>
      <c r="E279" s="128">
        <f t="shared" si="76"/>
        <v>0</v>
      </c>
      <c r="F279" s="129">
        <f t="shared" si="77"/>
        <v>0</v>
      </c>
      <c r="G279" s="63">
        <v>0</v>
      </c>
      <c r="H279" s="140">
        <f t="shared" si="64"/>
        <v>0</v>
      </c>
      <c r="I279" s="63">
        <v>0</v>
      </c>
      <c r="J279" s="63">
        <f t="shared" si="65"/>
        <v>0</v>
      </c>
      <c r="K279" s="140">
        <f t="shared" si="66"/>
        <v>0</v>
      </c>
    </row>
    <row r="280" spans="1:11">
      <c r="A280" s="126"/>
      <c r="B280" s="224"/>
      <c r="C280" s="127" t="s">
        <v>28</v>
      </c>
      <c r="D280" s="128">
        <f t="shared" si="75"/>
        <v>0</v>
      </c>
      <c r="E280" s="128">
        <f t="shared" si="76"/>
        <v>0</v>
      </c>
      <c r="F280" s="129">
        <f t="shared" si="77"/>
        <v>0</v>
      </c>
      <c r="G280" s="63">
        <v>0</v>
      </c>
      <c r="H280" s="140">
        <f t="shared" si="64"/>
        <v>0</v>
      </c>
      <c r="I280" s="63">
        <v>0</v>
      </c>
      <c r="J280" s="63">
        <f t="shared" si="65"/>
        <v>0</v>
      </c>
      <c r="K280" s="140">
        <f t="shared" si="66"/>
        <v>0</v>
      </c>
    </row>
    <row r="281" spans="1:11">
      <c r="A281" s="126"/>
      <c r="B281" s="224"/>
      <c r="C281" s="127" t="s">
        <v>39</v>
      </c>
      <c r="D281" s="128">
        <f t="shared" si="75"/>
        <v>0</v>
      </c>
      <c r="E281" s="128">
        <f t="shared" si="76"/>
        <v>0</v>
      </c>
      <c r="F281" s="129">
        <f t="shared" si="77"/>
        <v>0</v>
      </c>
      <c r="G281" s="63">
        <v>0</v>
      </c>
      <c r="H281" s="140">
        <f t="shared" si="64"/>
        <v>0</v>
      </c>
      <c r="I281" s="63">
        <v>0</v>
      </c>
      <c r="J281" s="63">
        <f t="shared" si="65"/>
        <v>0</v>
      </c>
      <c r="K281" s="140">
        <f t="shared" si="66"/>
        <v>0</v>
      </c>
    </row>
    <row r="282" spans="1:11">
      <c r="A282" s="126"/>
      <c r="B282" s="224"/>
      <c r="C282" s="127" t="s">
        <v>291</v>
      </c>
      <c r="D282" s="128">
        <f t="shared" si="75"/>
        <v>1248.2462140692328</v>
      </c>
      <c r="E282" s="128">
        <f t="shared" si="76"/>
        <v>98679.854804000381</v>
      </c>
      <c r="F282" s="129">
        <f t="shared" si="77"/>
        <v>0.12038399388370778</v>
      </c>
      <c r="G282" s="63">
        <v>91433.797832885393</v>
      </c>
      <c r="H282" s="140">
        <f t="shared" si="64"/>
        <v>-7246.0569711149874</v>
      </c>
      <c r="I282" s="63">
        <v>9576544.9543391503</v>
      </c>
      <c r="J282" s="63">
        <f t="shared" si="65"/>
        <v>1156.587554871878</v>
      </c>
      <c r="K282" s="140">
        <f t="shared" si="66"/>
        <v>91.658659197354837</v>
      </c>
    </row>
    <row r="283" spans="1:11">
      <c r="A283" s="126"/>
      <c r="B283" s="224"/>
      <c r="C283" s="127" t="s">
        <v>40</v>
      </c>
      <c r="D283" s="128">
        <f t="shared" si="75"/>
        <v>0</v>
      </c>
      <c r="E283" s="128">
        <f t="shared" si="76"/>
        <v>0</v>
      </c>
      <c r="F283" s="129">
        <f t="shared" si="77"/>
        <v>0</v>
      </c>
      <c r="G283" s="63">
        <v>0</v>
      </c>
      <c r="H283" s="140">
        <f t="shared" si="64"/>
        <v>0</v>
      </c>
      <c r="I283" s="63">
        <v>0</v>
      </c>
      <c r="J283" s="63">
        <f t="shared" si="65"/>
        <v>0</v>
      </c>
      <c r="K283" s="140">
        <f t="shared" si="66"/>
        <v>0</v>
      </c>
    </row>
    <row r="284" spans="1:11">
      <c r="A284" s="130"/>
      <c r="B284" s="225"/>
      <c r="C284" s="131" t="s">
        <v>54</v>
      </c>
      <c r="D284" s="138">
        <v>0</v>
      </c>
      <c r="E284" s="138">
        <v>0</v>
      </c>
      <c r="F284" s="132">
        <f t="shared" si="77"/>
        <v>0</v>
      </c>
      <c r="G284" s="63">
        <v>0</v>
      </c>
      <c r="H284" s="140">
        <f t="shared" si="64"/>
        <v>0</v>
      </c>
      <c r="I284" s="63">
        <v>0</v>
      </c>
      <c r="J284" s="63">
        <f t="shared" si="65"/>
        <v>0</v>
      </c>
      <c r="K284" s="140">
        <f t="shared" si="66"/>
        <v>0</v>
      </c>
    </row>
    <row r="285" spans="1:11">
      <c r="A285" s="133"/>
      <c r="B285" s="223" t="s">
        <v>299</v>
      </c>
      <c r="C285" s="134" t="s">
        <v>3</v>
      </c>
      <c r="D285" s="135">
        <f t="shared" ref="D285:D296" si="78">M82</f>
        <v>0</v>
      </c>
      <c r="E285" s="135">
        <f t="shared" ref="E285:E296" si="79">N82</f>
        <v>0</v>
      </c>
      <c r="F285" s="136">
        <f t="shared" ref="F285:F297" si="80">E285/SUM($E$285:$E$297)</f>
        <v>0</v>
      </c>
      <c r="G285" s="140">
        <v>0</v>
      </c>
      <c r="H285" s="140">
        <f t="shared" ref="H285:H348" si="81">G285-E285</f>
        <v>0</v>
      </c>
      <c r="I285" s="63">
        <v>0</v>
      </c>
      <c r="J285" s="63">
        <f t="shared" ref="J285:J348" si="82">I285/8280</f>
        <v>0</v>
      </c>
      <c r="K285" s="140">
        <f t="shared" ref="K285" si="83">D285-J285</f>
        <v>0</v>
      </c>
    </row>
    <row r="286" spans="1:11">
      <c r="A286" s="126"/>
      <c r="B286" s="224"/>
      <c r="C286" s="127" t="s">
        <v>293</v>
      </c>
      <c r="D286" s="128">
        <f t="shared" si="78"/>
        <v>0</v>
      </c>
      <c r="E286" s="128">
        <f t="shared" si="79"/>
        <v>0</v>
      </c>
      <c r="F286" s="129">
        <f t="shared" si="80"/>
        <v>0</v>
      </c>
      <c r="G286" s="63">
        <v>0</v>
      </c>
      <c r="H286" s="140">
        <f t="shared" si="81"/>
        <v>0</v>
      </c>
      <c r="I286" s="63">
        <v>0</v>
      </c>
      <c r="J286" s="63">
        <f t="shared" si="82"/>
        <v>0</v>
      </c>
      <c r="K286" s="140">
        <f>D286-J286</f>
        <v>0</v>
      </c>
    </row>
    <row r="287" spans="1:11">
      <c r="A287" s="126"/>
      <c r="B287" s="224"/>
      <c r="C287" s="127" t="s">
        <v>5</v>
      </c>
      <c r="D287" s="128">
        <f t="shared" si="78"/>
        <v>31.206155351730949</v>
      </c>
      <c r="E287" s="128">
        <f t="shared" si="79"/>
        <v>3756.2100249150099</v>
      </c>
      <c r="F287" s="129">
        <f t="shared" si="80"/>
        <v>4.5823695785065059E-3</v>
      </c>
      <c r="G287" s="63">
        <v>2975.9345124930401</v>
      </c>
      <c r="H287" s="140">
        <f t="shared" si="81"/>
        <v>-780.27551242196978</v>
      </c>
      <c r="I287" s="63">
        <v>204712.37910735401</v>
      </c>
      <c r="J287" s="63">
        <f t="shared" si="82"/>
        <v>24.72371728349686</v>
      </c>
      <c r="K287" s="140">
        <f t="shared" ref="K287:K309" si="84">D287-J287</f>
        <v>6.4824380682340887</v>
      </c>
    </row>
    <row r="288" spans="1:11">
      <c r="A288" s="126"/>
      <c r="B288" s="224"/>
      <c r="C288" s="127" t="s">
        <v>6</v>
      </c>
      <c r="D288" s="128">
        <f t="shared" si="78"/>
        <v>0</v>
      </c>
      <c r="E288" s="128">
        <f t="shared" si="79"/>
        <v>0</v>
      </c>
      <c r="F288" s="129">
        <f t="shared" si="80"/>
        <v>0</v>
      </c>
      <c r="G288" s="63">
        <v>0</v>
      </c>
      <c r="H288" s="140">
        <f t="shared" si="81"/>
        <v>0</v>
      </c>
      <c r="I288" s="63">
        <v>0</v>
      </c>
      <c r="J288" s="63">
        <f t="shared" si="82"/>
        <v>0</v>
      </c>
      <c r="K288" s="140">
        <f t="shared" si="84"/>
        <v>0</v>
      </c>
    </row>
    <row r="289" spans="1:11">
      <c r="A289" s="126"/>
      <c r="B289" s="224"/>
      <c r="C289" s="127" t="s">
        <v>7</v>
      </c>
      <c r="D289" s="128">
        <f t="shared" si="78"/>
        <v>28134.235200611063</v>
      </c>
      <c r="E289" s="128">
        <f t="shared" si="79"/>
        <v>506840.49787782435</v>
      </c>
      <c r="F289" s="129">
        <f t="shared" si="80"/>
        <v>0.61831752304185505</v>
      </c>
      <c r="G289" s="63">
        <v>1870107.8086622399</v>
      </c>
      <c r="H289" s="140">
        <f t="shared" si="81"/>
        <v>1363267.3107844156</v>
      </c>
      <c r="I289" s="63">
        <v>859529497.27247202</v>
      </c>
      <c r="J289" s="63">
        <f t="shared" si="82"/>
        <v>103807.91029860773</v>
      </c>
      <c r="K289" s="140">
        <f t="shared" si="84"/>
        <v>-75673.675097996675</v>
      </c>
    </row>
    <row r="290" spans="1:11">
      <c r="A290" s="126"/>
      <c r="B290" s="224"/>
      <c r="C290" s="127" t="s">
        <v>292</v>
      </c>
      <c r="D290" s="128">
        <f t="shared" si="78"/>
        <v>1483.6600300418224</v>
      </c>
      <c r="E290" s="128">
        <f t="shared" si="79"/>
        <v>196048.93728488797</v>
      </c>
      <c r="F290" s="129">
        <f t="shared" si="80"/>
        <v>0.23916891764675155</v>
      </c>
      <c r="G290" s="63">
        <v>173549.02873434901</v>
      </c>
      <c r="H290" s="140">
        <f t="shared" si="81"/>
        <v>-22499.908550538967</v>
      </c>
      <c r="I290" s="63">
        <v>10874828.800524199</v>
      </c>
      <c r="J290" s="63">
        <f t="shared" si="82"/>
        <v>1313.385120836256</v>
      </c>
      <c r="K290" s="140">
        <f t="shared" si="84"/>
        <v>170.27490920556647</v>
      </c>
    </row>
    <row r="291" spans="1:11">
      <c r="A291" s="126"/>
      <c r="B291" s="224"/>
      <c r="C291" s="127" t="s">
        <v>9</v>
      </c>
      <c r="D291" s="128">
        <f t="shared" si="78"/>
        <v>0</v>
      </c>
      <c r="E291" s="128">
        <f t="shared" si="79"/>
        <v>0</v>
      </c>
      <c r="F291" s="129">
        <f t="shared" si="80"/>
        <v>0</v>
      </c>
      <c r="G291" s="63">
        <v>0</v>
      </c>
      <c r="H291" s="140">
        <f t="shared" si="81"/>
        <v>0</v>
      </c>
      <c r="I291" s="63">
        <v>0</v>
      </c>
      <c r="J291" s="63">
        <f t="shared" si="82"/>
        <v>0</v>
      </c>
      <c r="K291" s="140">
        <f t="shared" si="84"/>
        <v>0</v>
      </c>
    </row>
    <row r="292" spans="1:11">
      <c r="A292" s="126"/>
      <c r="B292" s="224"/>
      <c r="C292" s="127" t="s">
        <v>27</v>
      </c>
      <c r="D292" s="128">
        <f t="shared" si="78"/>
        <v>0</v>
      </c>
      <c r="E292" s="128">
        <f t="shared" si="79"/>
        <v>0</v>
      </c>
      <c r="F292" s="129">
        <f t="shared" si="80"/>
        <v>0</v>
      </c>
      <c r="G292" s="63">
        <v>0</v>
      </c>
      <c r="H292" s="140">
        <f t="shared" si="81"/>
        <v>0</v>
      </c>
      <c r="I292" s="63">
        <v>0</v>
      </c>
      <c r="J292" s="63">
        <f t="shared" si="82"/>
        <v>0</v>
      </c>
      <c r="K292" s="140">
        <f t="shared" si="84"/>
        <v>0</v>
      </c>
    </row>
    <row r="293" spans="1:11">
      <c r="A293" s="126"/>
      <c r="B293" s="224"/>
      <c r="C293" s="127" t="s">
        <v>28</v>
      </c>
      <c r="D293" s="128">
        <f t="shared" si="78"/>
        <v>0</v>
      </c>
      <c r="E293" s="128">
        <f t="shared" si="79"/>
        <v>0</v>
      </c>
      <c r="F293" s="129">
        <f t="shared" si="80"/>
        <v>0</v>
      </c>
      <c r="G293" s="63">
        <v>0</v>
      </c>
      <c r="H293" s="140">
        <f t="shared" si="81"/>
        <v>0</v>
      </c>
      <c r="I293" s="63">
        <v>0</v>
      </c>
      <c r="J293" s="63">
        <f t="shared" si="82"/>
        <v>0</v>
      </c>
      <c r="K293" s="140">
        <f t="shared" si="84"/>
        <v>0</v>
      </c>
    </row>
    <row r="294" spans="1:11">
      <c r="A294" s="126"/>
      <c r="B294" s="224"/>
      <c r="C294" s="127" t="s">
        <v>39</v>
      </c>
      <c r="D294" s="128">
        <f t="shared" si="78"/>
        <v>592.9169516828855</v>
      </c>
      <c r="E294" s="128">
        <f t="shared" si="79"/>
        <v>82035.479526265583</v>
      </c>
      <c r="F294" s="129">
        <f t="shared" si="80"/>
        <v>0.100078771752881</v>
      </c>
      <c r="G294" s="63">
        <v>80012.229713388006</v>
      </c>
      <c r="H294" s="140">
        <f t="shared" si="81"/>
        <v>-2023.2498128775769</v>
      </c>
      <c r="I294" s="63">
        <v>4788272.4771695798</v>
      </c>
      <c r="J294" s="63">
        <f t="shared" si="82"/>
        <v>578.29377743593955</v>
      </c>
      <c r="K294" s="140">
        <f t="shared" si="84"/>
        <v>14.62317424694595</v>
      </c>
    </row>
    <row r="295" spans="1:11">
      <c r="A295" s="126"/>
      <c r="B295" s="224"/>
      <c r="C295" s="127" t="s">
        <v>291</v>
      </c>
      <c r="D295" s="128">
        <f t="shared" si="78"/>
        <v>62.412310703461806</v>
      </c>
      <c r="E295" s="128">
        <f t="shared" si="79"/>
        <v>4933.9927402000321</v>
      </c>
      <c r="F295" s="129">
        <f t="shared" si="80"/>
        <v>6.0191996941854056E-3</v>
      </c>
      <c r="G295" s="63">
        <v>0</v>
      </c>
      <c r="H295" s="140">
        <f t="shared" si="81"/>
        <v>-4933.9927402000321</v>
      </c>
      <c r="I295" s="63">
        <v>0</v>
      </c>
      <c r="J295" s="63">
        <f t="shared" si="82"/>
        <v>0</v>
      </c>
      <c r="K295" s="140">
        <f t="shared" si="84"/>
        <v>62.412310703461806</v>
      </c>
    </row>
    <row r="296" spans="1:11">
      <c r="A296" s="126"/>
      <c r="B296" s="224"/>
      <c r="C296" s="127" t="s">
        <v>40</v>
      </c>
      <c r="D296" s="128">
        <f t="shared" si="78"/>
        <v>592.9169516828855</v>
      </c>
      <c r="E296" s="128">
        <f t="shared" si="79"/>
        <v>26093.978585087953</v>
      </c>
      <c r="F296" s="129">
        <f t="shared" si="80"/>
        <v>3.1833218285820634E-2</v>
      </c>
      <c r="G296" s="63">
        <v>25450.419998066998</v>
      </c>
      <c r="H296" s="140">
        <f t="shared" si="81"/>
        <v>-643.55858702095429</v>
      </c>
      <c r="I296" s="63">
        <v>4788272.4771695798</v>
      </c>
      <c r="J296" s="63">
        <f t="shared" si="82"/>
        <v>578.29377743593955</v>
      </c>
      <c r="K296" s="140">
        <f t="shared" si="84"/>
        <v>14.62317424694595</v>
      </c>
    </row>
    <row r="297" spans="1:11">
      <c r="A297" s="130"/>
      <c r="B297" s="225"/>
      <c r="C297" s="131" t="s">
        <v>54</v>
      </c>
      <c r="D297" s="138">
        <v>0</v>
      </c>
      <c r="E297" s="138">
        <v>0</v>
      </c>
      <c r="F297" s="132">
        <f t="shared" si="80"/>
        <v>0</v>
      </c>
      <c r="G297" s="63">
        <v>0</v>
      </c>
      <c r="H297" s="140">
        <f t="shared" si="81"/>
        <v>0</v>
      </c>
      <c r="I297" s="63">
        <v>0</v>
      </c>
      <c r="J297" s="63">
        <f t="shared" si="82"/>
        <v>0</v>
      </c>
      <c r="K297" s="140">
        <f t="shared" si="84"/>
        <v>0</v>
      </c>
    </row>
    <row r="298" spans="1:11">
      <c r="A298" s="133"/>
      <c r="B298" s="223" t="s">
        <v>300</v>
      </c>
      <c r="C298" s="134" t="s">
        <v>3</v>
      </c>
      <c r="D298" s="135">
        <f t="shared" ref="D298:E309" si="85">C119</f>
        <v>0</v>
      </c>
      <c r="E298" s="135">
        <f t="shared" si="85"/>
        <v>0</v>
      </c>
      <c r="F298" s="136">
        <f t="shared" ref="F298:F310" si="86">E298/SUM($E$298:$E$310)</f>
        <v>0</v>
      </c>
      <c r="G298" s="140">
        <v>0</v>
      </c>
      <c r="H298" s="140">
        <f t="shared" si="81"/>
        <v>0</v>
      </c>
      <c r="I298" s="63">
        <v>0</v>
      </c>
      <c r="J298" s="63">
        <f t="shared" si="82"/>
        <v>0</v>
      </c>
      <c r="K298" s="140">
        <f t="shared" si="84"/>
        <v>0</v>
      </c>
    </row>
    <row r="299" spans="1:11">
      <c r="A299" s="126"/>
      <c r="B299" s="224"/>
      <c r="C299" s="127" t="s">
        <v>293</v>
      </c>
      <c r="D299" s="128">
        <f t="shared" si="85"/>
        <v>0</v>
      </c>
      <c r="E299" s="128">
        <f t="shared" si="85"/>
        <v>0</v>
      </c>
      <c r="F299" s="129">
        <f t="shared" si="86"/>
        <v>0</v>
      </c>
      <c r="G299" s="63">
        <v>0</v>
      </c>
      <c r="H299" s="140">
        <f t="shared" si="81"/>
        <v>0</v>
      </c>
      <c r="I299" s="63">
        <v>0</v>
      </c>
      <c r="J299" s="63">
        <f t="shared" si="82"/>
        <v>0</v>
      </c>
      <c r="K299" s="140">
        <f t="shared" si="84"/>
        <v>0</v>
      </c>
    </row>
    <row r="300" spans="1:11">
      <c r="A300" s="126"/>
      <c r="B300" s="224"/>
      <c r="C300" s="127" t="s">
        <v>5</v>
      </c>
      <c r="D300" s="128">
        <f t="shared" si="85"/>
        <v>0</v>
      </c>
      <c r="E300" s="128">
        <f t="shared" si="85"/>
        <v>0</v>
      </c>
      <c r="F300" s="129">
        <f t="shared" si="86"/>
        <v>0</v>
      </c>
      <c r="G300" s="63">
        <v>0</v>
      </c>
      <c r="H300" s="140">
        <f t="shared" si="81"/>
        <v>0</v>
      </c>
      <c r="I300" s="63">
        <v>0</v>
      </c>
      <c r="J300" s="63">
        <f t="shared" si="82"/>
        <v>0</v>
      </c>
      <c r="K300" s="140">
        <f t="shared" si="84"/>
        <v>0</v>
      </c>
    </row>
    <row r="301" spans="1:11">
      <c r="A301" s="126"/>
      <c r="B301" s="224"/>
      <c r="C301" s="127" t="s">
        <v>6</v>
      </c>
      <c r="D301" s="128">
        <f t="shared" si="85"/>
        <v>0</v>
      </c>
      <c r="E301" s="128">
        <f t="shared" si="85"/>
        <v>0</v>
      </c>
      <c r="F301" s="129">
        <f t="shared" si="86"/>
        <v>0</v>
      </c>
      <c r="G301" s="63">
        <v>0</v>
      </c>
      <c r="H301" s="140">
        <f t="shared" si="81"/>
        <v>0</v>
      </c>
      <c r="I301" s="63">
        <v>0</v>
      </c>
      <c r="J301" s="63">
        <f t="shared" si="82"/>
        <v>0</v>
      </c>
      <c r="K301" s="140">
        <f t="shared" si="84"/>
        <v>0</v>
      </c>
    </row>
    <row r="302" spans="1:11">
      <c r="A302" s="126"/>
      <c r="B302" s="224"/>
      <c r="C302" s="127" t="s">
        <v>7</v>
      </c>
      <c r="D302" s="128">
        <f t="shared" si="85"/>
        <v>27628.267240396832</v>
      </c>
      <c r="E302" s="128">
        <f t="shared" si="85"/>
        <v>497725.4445971282</v>
      </c>
      <c r="F302" s="129">
        <f t="shared" si="86"/>
        <v>0.69141175238507069</v>
      </c>
      <c r="G302" s="63">
        <v>1861217.5609163099</v>
      </c>
      <c r="H302" s="140">
        <f t="shared" si="81"/>
        <v>1363492.1163191819</v>
      </c>
      <c r="I302" s="63">
        <v>855443406.54535306</v>
      </c>
      <c r="J302" s="63">
        <f t="shared" si="82"/>
        <v>103314.42108035665</v>
      </c>
      <c r="K302" s="140">
        <f t="shared" si="84"/>
        <v>-75686.153839959821</v>
      </c>
    </row>
    <row r="303" spans="1:11">
      <c r="A303" s="126"/>
      <c r="B303" s="224"/>
      <c r="C303" s="127" t="s">
        <v>292</v>
      </c>
      <c r="D303" s="128">
        <f t="shared" si="85"/>
        <v>1483.6600300418224</v>
      </c>
      <c r="E303" s="128">
        <f t="shared" si="85"/>
        <v>196048.93728488797</v>
      </c>
      <c r="F303" s="129">
        <f t="shared" si="86"/>
        <v>0.27233998332372439</v>
      </c>
      <c r="G303" s="63">
        <v>173549.02873434901</v>
      </c>
      <c r="H303" s="140">
        <f t="shared" si="81"/>
        <v>-22499.908550538967</v>
      </c>
      <c r="I303" s="63">
        <v>10874828.800524199</v>
      </c>
      <c r="J303" s="63">
        <f t="shared" si="82"/>
        <v>1313.385120836256</v>
      </c>
      <c r="K303" s="140">
        <f t="shared" si="84"/>
        <v>170.27490920556647</v>
      </c>
    </row>
    <row r="304" spans="1:11">
      <c r="A304" s="126"/>
      <c r="B304" s="224"/>
      <c r="C304" s="127" t="s">
        <v>9</v>
      </c>
      <c r="D304" s="128">
        <f t="shared" si="85"/>
        <v>0</v>
      </c>
      <c r="E304" s="128">
        <f t="shared" si="85"/>
        <v>0</v>
      </c>
      <c r="F304" s="129">
        <f t="shared" si="86"/>
        <v>0</v>
      </c>
      <c r="G304" s="63">
        <v>0</v>
      </c>
      <c r="H304" s="140">
        <f t="shared" si="81"/>
        <v>0</v>
      </c>
      <c r="I304" s="63">
        <v>0</v>
      </c>
      <c r="J304" s="63">
        <f t="shared" si="82"/>
        <v>0</v>
      </c>
      <c r="K304" s="140">
        <f t="shared" si="84"/>
        <v>0</v>
      </c>
    </row>
    <row r="305" spans="1:11">
      <c r="A305" s="126"/>
      <c r="B305" s="224"/>
      <c r="C305" s="127" t="s">
        <v>27</v>
      </c>
      <c r="D305" s="128">
        <f t="shared" si="85"/>
        <v>0</v>
      </c>
      <c r="E305" s="128">
        <f t="shared" si="85"/>
        <v>0</v>
      </c>
      <c r="F305" s="129">
        <f t="shared" si="86"/>
        <v>0</v>
      </c>
      <c r="G305" s="63">
        <v>0</v>
      </c>
      <c r="H305" s="140">
        <f t="shared" si="81"/>
        <v>0</v>
      </c>
      <c r="I305" s="63">
        <v>0</v>
      </c>
      <c r="J305" s="63">
        <f t="shared" si="82"/>
        <v>0</v>
      </c>
      <c r="K305" s="140">
        <f t="shared" si="84"/>
        <v>0</v>
      </c>
    </row>
    <row r="306" spans="1:11">
      <c r="A306" s="126"/>
      <c r="B306" s="224"/>
      <c r="C306" s="127" t="s">
        <v>28</v>
      </c>
      <c r="D306" s="128">
        <f t="shared" si="85"/>
        <v>0</v>
      </c>
      <c r="E306" s="128">
        <f t="shared" si="85"/>
        <v>0</v>
      </c>
      <c r="F306" s="129">
        <f t="shared" si="86"/>
        <v>0</v>
      </c>
      <c r="G306" s="63">
        <v>0</v>
      </c>
      <c r="H306" s="140">
        <f t="shared" si="81"/>
        <v>0</v>
      </c>
      <c r="I306" s="63">
        <v>0</v>
      </c>
      <c r="J306" s="63">
        <f t="shared" si="82"/>
        <v>0</v>
      </c>
      <c r="K306" s="140">
        <f t="shared" si="84"/>
        <v>0</v>
      </c>
    </row>
    <row r="307" spans="1:11">
      <c r="A307" s="126"/>
      <c r="B307" s="224"/>
      <c r="C307" s="127" t="s">
        <v>39</v>
      </c>
      <c r="D307" s="128">
        <f t="shared" si="85"/>
        <v>0</v>
      </c>
      <c r="E307" s="128">
        <f t="shared" si="85"/>
        <v>0</v>
      </c>
      <c r="F307" s="129">
        <f t="shared" si="86"/>
        <v>0</v>
      </c>
      <c r="G307" s="63">
        <v>0</v>
      </c>
      <c r="H307" s="140">
        <f t="shared" si="81"/>
        <v>0</v>
      </c>
      <c r="I307" s="63">
        <v>0</v>
      </c>
      <c r="J307" s="63">
        <f t="shared" si="82"/>
        <v>0</v>
      </c>
      <c r="K307" s="140">
        <f t="shared" si="84"/>
        <v>0</v>
      </c>
    </row>
    <row r="308" spans="1:11">
      <c r="A308" s="126"/>
      <c r="B308" s="224"/>
      <c r="C308" s="127" t="s">
        <v>291</v>
      </c>
      <c r="D308" s="128">
        <f t="shared" si="85"/>
        <v>0</v>
      </c>
      <c r="E308" s="128">
        <f t="shared" si="85"/>
        <v>0</v>
      </c>
      <c r="F308" s="129">
        <f t="shared" si="86"/>
        <v>0</v>
      </c>
      <c r="G308" s="63">
        <v>0</v>
      </c>
      <c r="H308" s="140">
        <f t="shared" si="81"/>
        <v>0</v>
      </c>
      <c r="I308" s="63">
        <v>0</v>
      </c>
      <c r="J308" s="63">
        <f t="shared" si="82"/>
        <v>0</v>
      </c>
      <c r="K308" s="140">
        <f t="shared" si="84"/>
        <v>0</v>
      </c>
    </row>
    <row r="309" spans="1:11">
      <c r="A309" s="126"/>
      <c r="B309" s="224"/>
      <c r="C309" s="127" t="s">
        <v>40</v>
      </c>
      <c r="D309" s="128">
        <f t="shared" si="85"/>
        <v>592.9169516828855</v>
      </c>
      <c r="E309" s="128">
        <f t="shared" si="85"/>
        <v>26093.978585087953</v>
      </c>
      <c r="F309" s="129">
        <f t="shared" si="86"/>
        <v>3.624826429120491E-2</v>
      </c>
      <c r="G309" s="63">
        <v>25450.419998066998</v>
      </c>
      <c r="H309" s="140">
        <f t="shared" si="81"/>
        <v>-643.55858702095429</v>
      </c>
      <c r="I309" s="63">
        <v>4788272.4771695798</v>
      </c>
      <c r="J309" s="63">
        <f t="shared" si="82"/>
        <v>578.29377743593955</v>
      </c>
      <c r="K309" s="140">
        <f t="shared" si="84"/>
        <v>14.62317424694595</v>
      </c>
    </row>
    <row r="310" spans="1:11">
      <c r="A310" s="130"/>
      <c r="B310" s="225"/>
      <c r="C310" s="131" t="s">
        <v>54</v>
      </c>
      <c r="D310" s="138">
        <v>0</v>
      </c>
      <c r="E310" s="138">
        <v>0</v>
      </c>
      <c r="F310" s="132">
        <f t="shared" si="86"/>
        <v>0</v>
      </c>
      <c r="G310" s="63">
        <v>0</v>
      </c>
      <c r="H310" s="140">
        <f t="shared" si="81"/>
        <v>0</v>
      </c>
      <c r="I310" s="63">
        <v>0</v>
      </c>
      <c r="J310" s="63">
        <f t="shared" si="82"/>
        <v>0</v>
      </c>
      <c r="K310" s="140">
        <f>D310-J310</f>
        <v>0</v>
      </c>
    </row>
    <row r="311" spans="1:11">
      <c r="A311" s="133"/>
      <c r="B311" s="223" t="s">
        <v>301</v>
      </c>
      <c r="C311" s="134" t="s">
        <v>3</v>
      </c>
      <c r="D311" s="135">
        <f t="shared" ref="D311:E322" si="87">E119</f>
        <v>0</v>
      </c>
      <c r="E311" s="135">
        <f t="shared" si="87"/>
        <v>0</v>
      </c>
      <c r="F311" s="136">
        <f t="shared" ref="F311:F323" si="88">E311/SUM($E$311:$E$323)</f>
        <v>0</v>
      </c>
      <c r="G311" s="63">
        <v>0</v>
      </c>
      <c r="H311" s="140">
        <f t="shared" si="81"/>
        <v>0</v>
      </c>
      <c r="I311" s="63">
        <v>0</v>
      </c>
      <c r="J311" s="63">
        <f t="shared" si="82"/>
        <v>0</v>
      </c>
      <c r="K311" s="140">
        <f t="shared" ref="K311:K328" si="89">D311-J311</f>
        <v>0</v>
      </c>
    </row>
    <row r="312" spans="1:11">
      <c r="A312" s="126"/>
      <c r="B312" s="224"/>
      <c r="C312" s="127" t="s">
        <v>293</v>
      </c>
      <c r="D312" s="128">
        <f t="shared" si="87"/>
        <v>0</v>
      </c>
      <c r="E312" s="128">
        <f t="shared" si="87"/>
        <v>0</v>
      </c>
      <c r="F312" s="129">
        <f t="shared" si="88"/>
        <v>0</v>
      </c>
      <c r="G312" s="63">
        <v>0</v>
      </c>
      <c r="H312" s="140">
        <f t="shared" si="81"/>
        <v>0</v>
      </c>
      <c r="I312" s="63">
        <v>0</v>
      </c>
      <c r="J312" s="63">
        <f t="shared" si="82"/>
        <v>0</v>
      </c>
      <c r="K312" s="140">
        <f t="shared" si="89"/>
        <v>0</v>
      </c>
    </row>
    <row r="313" spans="1:11">
      <c r="A313" s="126"/>
      <c r="B313" s="224"/>
      <c r="C313" s="127" t="s">
        <v>5</v>
      </c>
      <c r="D313" s="128">
        <f t="shared" si="87"/>
        <v>0</v>
      </c>
      <c r="E313" s="128">
        <f t="shared" si="87"/>
        <v>0</v>
      </c>
      <c r="F313" s="129">
        <f t="shared" si="88"/>
        <v>0</v>
      </c>
      <c r="G313" s="63">
        <v>0</v>
      </c>
      <c r="H313" s="140">
        <f t="shared" si="81"/>
        <v>0</v>
      </c>
      <c r="I313" s="63">
        <v>0</v>
      </c>
      <c r="J313" s="63">
        <f t="shared" si="82"/>
        <v>0</v>
      </c>
      <c r="K313" s="140">
        <f t="shared" si="89"/>
        <v>0</v>
      </c>
    </row>
    <row r="314" spans="1:11">
      <c r="A314" s="126"/>
      <c r="B314" s="224"/>
      <c r="C314" s="127" t="s">
        <v>6</v>
      </c>
      <c r="D314" s="128">
        <f t="shared" si="87"/>
        <v>0</v>
      </c>
      <c r="E314" s="128">
        <f t="shared" si="87"/>
        <v>0</v>
      </c>
      <c r="F314" s="129">
        <f t="shared" si="88"/>
        <v>0</v>
      </c>
      <c r="G314" s="63">
        <v>0</v>
      </c>
      <c r="H314" s="140">
        <f t="shared" si="81"/>
        <v>0</v>
      </c>
      <c r="I314" s="63">
        <v>0</v>
      </c>
      <c r="J314" s="63">
        <f t="shared" si="82"/>
        <v>0</v>
      </c>
      <c r="K314" s="140">
        <f t="shared" si="89"/>
        <v>0</v>
      </c>
    </row>
    <row r="315" spans="1:11">
      <c r="A315" s="126"/>
      <c r="B315" s="224"/>
      <c r="C315" s="127" t="s">
        <v>7</v>
      </c>
      <c r="D315" s="128">
        <f t="shared" si="87"/>
        <v>552.56534480793709</v>
      </c>
      <c r="E315" s="128">
        <f t="shared" si="87"/>
        <v>9954.5088919425725</v>
      </c>
      <c r="F315" s="129">
        <f t="shared" si="88"/>
        <v>4.8322050318506608E-2</v>
      </c>
      <c r="G315" s="63">
        <v>37224.351218326301</v>
      </c>
      <c r="H315" s="140">
        <f t="shared" si="81"/>
        <v>27269.842326383729</v>
      </c>
      <c r="I315" s="63">
        <v>17108868.1309071</v>
      </c>
      <c r="J315" s="63">
        <f t="shared" si="82"/>
        <v>2066.2884216071375</v>
      </c>
      <c r="K315" s="140">
        <f t="shared" si="89"/>
        <v>-1513.7230767992005</v>
      </c>
    </row>
    <row r="316" spans="1:11">
      <c r="A316" s="126"/>
      <c r="B316" s="224"/>
      <c r="C316" s="127" t="s">
        <v>292</v>
      </c>
      <c r="D316" s="128">
        <f t="shared" si="87"/>
        <v>1483.6600300418224</v>
      </c>
      <c r="E316" s="128">
        <f t="shared" si="87"/>
        <v>196048.93728488797</v>
      </c>
      <c r="F316" s="129">
        <f t="shared" si="88"/>
        <v>0.95167794968149344</v>
      </c>
      <c r="G316" s="63">
        <v>173549.02873434901</v>
      </c>
      <c r="H316" s="140">
        <f t="shared" si="81"/>
        <v>-22499.908550538967</v>
      </c>
      <c r="I316" s="63">
        <v>10874828.800524199</v>
      </c>
      <c r="J316" s="63">
        <f t="shared" si="82"/>
        <v>1313.385120836256</v>
      </c>
      <c r="K316" s="140">
        <f t="shared" si="89"/>
        <v>170.27490920556647</v>
      </c>
    </row>
    <row r="317" spans="1:11">
      <c r="A317" s="126"/>
      <c r="B317" s="224"/>
      <c r="C317" s="127" t="s">
        <v>9</v>
      </c>
      <c r="D317" s="128">
        <f t="shared" si="87"/>
        <v>0</v>
      </c>
      <c r="E317" s="128">
        <f t="shared" si="87"/>
        <v>0</v>
      </c>
      <c r="F317" s="129">
        <f t="shared" si="88"/>
        <v>0</v>
      </c>
      <c r="G317" s="63">
        <v>0</v>
      </c>
      <c r="H317" s="140">
        <f t="shared" si="81"/>
        <v>0</v>
      </c>
      <c r="I317" s="63">
        <v>0</v>
      </c>
      <c r="J317" s="63">
        <f t="shared" si="82"/>
        <v>0</v>
      </c>
      <c r="K317" s="140">
        <f t="shared" si="89"/>
        <v>0</v>
      </c>
    </row>
    <row r="318" spans="1:11">
      <c r="A318" s="126"/>
      <c r="B318" s="224"/>
      <c r="C318" s="127" t="s">
        <v>27</v>
      </c>
      <c r="D318" s="128">
        <f t="shared" si="87"/>
        <v>0</v>
      </c>
      <c r="E318" s="128">
        <f t="shared" si="87"/>
        <v>0</v>
      </c>
      <c r="F318" s="129">
        <f t="shared" si="88"/>
        <v>0</v>
      </c>
      <c r="G318" s="63">
        <v>0</v>
      </c>
      <c r="H318" s="140">
        <f t="shared" si="81"/>
        <v>0</v>
      </c>
      <c r="I318" s="63">
        <v>0</v>
      </c>
      <c r="J318" s="63">
        <f t="shared" si="82"/>
        <v>0</v>
      </c>
      <c r="K318" s="140">
        <f t="shared" si="89"/>
        <v>0</v>
      </c>
    </row>
    <row r="319" spans="1:11">
      <c r="A319" s="126"/>
      <c r="B319" s="224"/>
      <c r="C319" s="127" t="s">
        <v>28</v>
      </c>
      <c r="D319" s="128">
        <f t="shared" si="87"/>
        <v>0</v>
      </c>
      <c r="E319" s="128">
        <f t="shared" si="87"/>
        <v>0</v>
      </c>
      <c r="F319" s="129">
        <f t="shared" si="88"/>
        <v>0</v>
      </c>
      <c r="G319" s="63">
        <v>0</v>
      </c>
      <c r="H319" s="140">
        <f t="shared" si="81"/>
        <v>0</v>
      </c>
      <c r="I319" s="63">
        <v>0</v>
      </c>
      <c r="J319" s="63">
        <f t="shared" si="82"/>
        <v>0</v>
      </c>
      <c r="K319" s="140">
        <f t="shared" si="89"/>
        <v>0</v>
      </c>
    </row>
    <row r="320" spans="1:11">
      <c r="A320" s="126"/>
      <c r="B320" s="224"/>
      <c r="C320" s="127" t="s">
        <v>39</v>
      </c>
      <c r="D320" s="128">
        <f t="shared" si="87"/>
        <v>0</v>
      </c>
      <c r="E320" s="128">
        <f t="shared" si="87"/>
        <v>0</v>
      </c>
      <c r="F320" s="129">
        <f t="shared" si="88"/>
        <v>0</v>
      </c>
      <c r="G320" s="63">
        <v>0</v>
      </c>
      <c r="H320" s="140">
        <f t="shared" si="81"/>
        <v>0</v>
      </c>
      <c r="I320" s="63">
        <v>0</v>
      </c>
      <c r="J320" s="63">
        <f t="shared" si="82"/>
        <v>0</v>
      </c>
      <c r="K320" s="140">
        <f t="shared" si="89"/>
        <v>0</v>
      </c>
    </row>
    <row r="321" spans="1:11">
      <c r="A321" s="126"/>
      <c r="B321" s="224"/>
      <c r="C321" s="127" t="s">
        <v>291</v>
      </c>
      <c r="D321" s="128">
        <f t="shared" si="87"/>
        <v>0</v>
      </c>
      <c r="E321" s="128">
        <f t="shared" si="87"/>
        <v>0</v>
      </c>
      <c r="F321" s="129">
        <f t="shared" si="88"/>
        <v>0</v>
      </c>
      <c r="G321" s="63">
        <v>0</v>
      </c>
      <c r="H321" s="140">
        <f t="shared" si="81"/>
        <v>0</v>
      </c>
      <c r="I321" s="63">
        <v>0</v>
      </c>
      <c r="J321" s="63">
        <f t="shared" si="82"/>
        <v>0</v>
      </c>
      <c r="K321" s="140">
        <f t="shared" si="89"/>
        <v>0</v>
      </c>
    </row>
    <row r="322" spans="1:11">
      <c r="A322" s="126"/>
      <c r="B322" s="224"/>
      <c r="C322" s="127" t="s">
        <v>40</v>
      </c>
      <c r="D322" s="128">
        <f t="shared" si="87"/>
        <v>0</v>
      </c>
      <c r="E322" s="128">
        <f t="shared" si="87"/>
        <v>0</v>
      </c>
      <c r="F322" s="129">
        <f t="shared" si="88"/>
        <v>0</v>
      </c>
      <c r="G322" s="63">
        <v>0</v>
      </c>
      <c r="H322" s="140">
        <f t="shared" si="81"/>
        <v>0</v>
      </c>
      <c r="I322" s="63">
        <v>0</v>
      </c>
      <c r="J322" s="63">
        <f t="shared" si="82"/>
        <v>0</v>
      </c>
      <c r="K322" s="140">
        <f t="shared" si="89"/>
        <v>0</v>
      </c>
    </row>
    <row r="323" spans="1:11">
      <c r="A323" s="130"/>
      <c r="B323" s="225"/>
      <c r="C323" s="131" t="s">
        <v>54</v>
      </c>
      <c r="D323" s="138">
        <v>0</v>
      </c>
      <c r="E323" s="138">
        <v>0</v>
      </c>
      <c r="F323" s="132">
        <f t="shared" si="88"/>
        <v>0</v>
      </c>
      <c r="G323" s="63">
        <v>0</v>
      </c>
      <c r="H323" s="140">
        <f t="shared" si="81"/>
        <v>0</v>
      </c>
      <c r="I323" s="63">
        <v>0</v>
      </c>
      <c r="J323" s="63">
        <f t="shared" si="82"/>
        <v>0</v>
      </c>
      <c r="K323" s="140">
        <f t="shared" si="89"/>
        <v>0</v>
      </c>
    </row>
    <row r="324" spans="1:11">
      <c r="A324" s="133"/>
      <c r="B324" s="223" t="s">
        <v>302</v>
      </c>
      <c r="C324" s="134" t="s">
        <v>3</v>
      </c>
      <c r="D324" s="135">
        <f t="shared" ref="D324:D335" si="90">G119</f>
        <v>0</v>
      </c>
      <c r="E324" s="135">
        <f t="shared" ref="E324:E335" si="91">H119</f>
        <v>0</v>
      </c>
      <c r="F324" s="136">
        <f t="shared" ref="F324:F336" si="92">E324/SUM($E$324:$E$336)</f>
        <v>0</v>
      </c>
      <c r="G324" s="63">
        <v>0</v>
      </c>
      <c r="H324" s="140">
        <f t="shared" si="81"/>
        <v>0</v>
      </c>
      <c r="I324" s="63">
        <v>0</v>
      </c>
      <c r="J324" s="63">
        <f t="shared" si="82"/>
        <v>0</v>
      </c>
      <c r="K324" s="140">
        <f t="shared" si="89"/>
        <v>0</v>
      </c>
    </row>
    <row r="325" spans="1:11">
      <c r="A325" s="126"/>
      <c r="B325" s="224"/>
      <c r="C325" s="127" t="s">
        <v>293</v>
      </c>
      <c r="D325" s="128">
        <f t="shared" si="90"/>
        <v>0</v>
      </c>
      <c r="E325" s="128">
        <f t="shared" si="91"/>
        <v>0</v>
      </c>
      <c r="F325" s="129">
        <f t="shared" si="92"/>
        <v>0</v>
      </c>
      <c r="G325" s="63">
        <v>0</v>
      </c>
      <c r="H325" s="140">
        <f t="shared" si="81"/>
        <v>0</v>
      </c>
      <c r="I325" s="63">
        <v>0</v>
      </c>
      <c r="J325" s="63">
        <f t="shared" si="82"/>
        <v>0</v>
      </c>
      <c r="K325" s="140">
        <f t="shared" si="89"/>
        <v>0</v>
      </c>
    </row>
    <row r="326" spans="1:11">
      <c r="A326" s="126"/>
      <c r="B326" s="224"/>
      <c r="C326" s="127" t="s">
        <v>5</v>
      </c>
      <c r="D326" s="128">
        <f t="shared" si="90"/>
        <v>0</v>
      </c>
      <c r="E326" s="128">
        <f t="shared" si="91"/>
        <v>0</v>
      </c>
      <c r="F326" s="129">
        <f t="shared" si="92"/>
        <v>0</v>
      </c>
      <c r="G326" s="63">
        <v>0</v>
      </c>
      <c r="H326" s="140">
        <f t="shared" si="81"/>
        <v>0</v>
      </c>
      <c r="I326" s="63">
        <v>0</v>
      </c>
      <c r="J326" s="63">
        <f t="shared" si="82"/>
        <v>0</v>
      </c>
      <c r="K326" s="140">
        <f t="shared" si="89"/>
        <v>0</v>
      </c>
    </row>
    <row r="327" spans="1:11">
      <c r="A327" s="126"/>
      <c r="B327" s="224"/>
      <c r="C327" s="127" t="s">
        <v>6</v>
      </c>
      <c r="D327" s="128">
        <f t="shared" si="90"/>
        <v>0</v>
      </c>
      <c r="E327" s="128">
        <f t="shared" si="91"/>
        <v>0</v>
      </c>
      <c r="F327" s="129">
        <f t="shared" si="92"/>
        <v>0</v>
      </c>
      <c r="G327" s="63">
        <v>0</v>
      </c>
      <c r="H327" s="140">
        <f t="shared" si="81"/>
        <v>0</v>
      </c>
      <c r="I327" s="63">
        <v>0</v>
      </c>
      <c r="J327" s="63">
        <f t="shared" si="82"/>
        <v>0</v>
      </c>
      <c r="K327" s="140">
        <f t="shared" si="89"/>
        <v>0</v>
      </c>
    </row>
    <row r="328" spans="1:11">
      <c r="A328" s="126"/>
      <c r="B328" s="224"/>
      <c r="C328" s="127" t="s">
        <v>7</v>
      </c>
      <c r="D328" s="128">
        <f t="shared" si="90"/>
        <v>27075.701895588896</v>
      </c>
      <c r="E328" s="128">
        <f t="shared" si="91"/>
        <v>487770.93570518564</v>
      </c>
      <c r="F328" s="129">
        <f t="shared" si="92"/>
        <v>0.94922015911296898</v>
      </c>
      <c r="G328" s="63">
        <v>1823993.20969798</v>
      </c>
      <c r="H328" s="140">
        <f t="shared" si="81"/>
        <v>1336222.2739927943</v>
      </c>
      <c r="I328" s="63">
        <v>838334538.414446</v>
      </c>
      <c r="J328" s="63">
        <f t="shared" si="82"/>
        <v>101248.13265874951</v>
      </c>
      <c r="K328" s="140">
        <f t="shared" si="89"/>
        <v>-74172.430763160621</v>
      </c>
    </row>
    <row r="329" spans="1:11">
      <c r="A329" s="126"/>
      <c r="B329" s="224"/>
      <c r="C329" s="127" t="s">
        <v>292</v>
      </c>
      <c r="D329" s="128">
        <f t="shared" si="90"/>
        <v>0</v>
      </c>
      <c r="E329" s="128">
        <f t="shared" si="91"/>
        <v>0</v>
      </c>
      <c r="F329" s="129">
        <f t="shared" si="92"/>
        <v>0</v>
      </c>
      <c r="G329" s="63">
        <v>0</v>
      </c>
      <c r="H329" s="140">
        <f t="shared" si="81"/>
        <v>0</v>
      </c>
      <c r="I329" s="63">
        <v>0</v>
      </c>
      <c r="J329" s="63">
        <f t="shared" si="82"/>
        <v>0</v>
      </c>
      <c r="K329" s="140">
        <f>D329-J329</f>
        <v>0</v>
      </c>
    </row>
    <row r="330" spans="1:11">
      <c r="A330" s="126"/>
      <c r="B330" s="224"/>
      <c r="C330" s="127" t="s">
        <v>9</v>
      </c>
      <c r="D330" s="128">
        <f t="shared" si="90"/>
        <v>0</v>
      </c>
      <c r="E330" s="128">
        <f t="shared" si="91"/>
        <v>0</v>
      </c>
      <c r="F330" s="129">
        <f t="shared" si="92"/>
        <v>0</v>
      </c>
      <c r="G330" s="63">
        <v>0</v>
      </c>
      <c r="H330" s="140">
        <f t="shared" si="81"/>
        <v>0</v>
      </c>
      <c r="I330" s="63">
        <v>0</v>
      </c>
      <c r="J330" s="63">
        <f t="shared" si="82"/>
        <v>0</v>
      </c>
      <c r="K330" s="140">
        <f t="shared" ref="K330:K393" si="93">D330-J330</f>
        <v>0</v>
      </c>
    </row>
    <row r="331" spans="1:11">
      <c r="A331" s="126"/>
      <c r="B331" s="224"/>
      <c r="C331" s="127" t="s">
        <v>27</v>
      </c>
      <c r="D331" s="128">
        <f t="shared" si="90"/>
        <v>0</v>
      </c>
      <c r="E331" s="128">
        <f t="shared" si="91"/>
        <v>0</v>
      </c>
      <c r="F331" s="129">
        <f t="shared" si="92"/>
        <v>0</v>
      </c>
      <c r="G331" s="63">
        <v>0</v>
      </c>
      <c r="H331" s="140">
        <f t="shared" si="81"/>
        <v>0</v>
      </c>
      <c r="I331" s="63">
        <v>0</v>
      </c>
      <c r="J331" s="63">
        <f t="shared" si="82"/>
        <v>0</v>
      </c>
      <c r="K331" s="140">
        <f t="shared" si="93"/>
        <v>0</v>
      </c>
    </row>
    <row r="332" spans="1:11">
      <c r="A332" s="126"/>
      <c r="B332" s="224"/>
      <c r="C332" s="127" t="s">
        <v>28</v>
      </c>
      <c r="D332" s="128">
        <f t="shared" si="90"/>
        <v>0</v>
      </c>
      <c r="E332" s="128">
        <f t="shared" si="91"/>
        <v>0</v>
      </c>
      <c r="F332" s="129">
        <f t="shared" si="92"/>
        <v>0</v>
      </c>
      <c r="G332" s="63">
        <v>0</v>
      </c>
      <c r="H332" s="140">
        <f t="shared" si="81"/>
        <v>0</v>
      </c>
      <c r="I332" s="63">
        <v>0</v>
      </c>
      <c r="J332" s="63">
        <f t="shared" si="82"/>
        <v>0</v>
      </c>
      <c r="K332" s="140">
        <f t="shared" si="93"/>
        <v>0</v>
      </c>
    </row>
    <row r="333" spans="1:11">
      <c r="A333" s="126"/>
      <c r="B333" s="224"/>
      <c r="C333" s="127" t="s">
        <v>39</v>
      </c>
      <c r="D333" s="128">
        <f t="shared" si="90"/>
        <v>0</v>
      </c>
      <c r="E333" s="128">
        <f t="shared" si="91"/>
        <v>0</v>
      </c>
      <c r="F333" s="129">
        <f t="shared" si="92"/>
        <v>0</v>
      </c>
      <c r="G333" s="63">
        <v>0</v>
      </c>
      <c r="H333" s="140">
        <f t="shared" si="81"/>
        <v>0</v>
      </c>
      <c r="I333" s="63">
        <v>0</v>
      </c>
      <c r="J333" s="63">
        <f t="shared" si="82"/>
        <v>0</v>
      </c>
      <c r="K333" s="140">
        <f t="shared" si="93"/>
        <v>0</v>
      </c>
    </row>
    <row r="334" spans="1:11">
      <c r="A334" s="126"/>
      <c r="B334" s="224"/>
      <c r="C334" s="127" t="s">
        <v>291</v>
      </c>
      <c r="D334" s="128">
        <f t="shared" si="90"/>
        <v>0</v>
      </c>
      <c r="E334" s="128">
        <f t="shared" si="91"/>
        <v>0</v>
      </c>
      <c r="F334" s="129">
        <f t="shared" si="92"/>
        <v>0</v>
      </c>
      <c r="G334" s="63">
        <v>0</v>
      </c>
      <c r="H334" s="140">
        <f t="shared" si="81"/>
        <v>0</v>
      </c>
      <c r="I334" s="63">
        <v>0</v>
      </c>
      <c r="J334" s="63">
        <f t="shared" si="82"/>
        <v>0</v>
      </c>
      <c r="K334" s="140">
        <f t="shared" si="93"/>
        <v>0</v>
      </c>
    </row>
    <row r="335" spans="1:11">
      <c r="A335" s="126"/>
      <c r="B335" s="224"/>
      <c r="C335" s="127" t="s">
        <v>40</v>
      </c>
      <c r="D335" s="128">
        <f t="shared" si="90"/>
        <v>592.9169516828855</v>
      </c>
      <c r="E335" s="128">
        <f t="shared" si="91"/>
        <v>26093.978585087953</v>
      </c>
      <c r="F335" s="129">
        <f t="shared" si="92"/>
        <v>5.0779840887031073E-2</v>
      </c>
      <c r="G335" s="63">
        <v>25450.419998066998</v>
      </c>
      <c r="H335" s="140">
        <f t="shared" si="81"/>
        <v>-643.55858702095429</v>
      </c>
      <c r="I335" s="63">
        <v>4788272.4771695798</v>
      </c>
      <c r="J335" s="63">
        <f t="shared" si="82"/>
        <v>578.29377743593955</v>
      </c>
      <c r="K335" s="140">
        <f t="shared" si="93"/>
        <v>14.62317424694595</v>
      </c>
    </row>
    <row r="336" spans="1:11">
      <c r="A336" s="130"/>
      <c r="B336" s="225"/>
      <c r="C336" s="131" t="s">
        <v>54</v>
      </c>
      <c r="D336" s="138">
        <v>0</v>
      </c>
      <c r="E336" s="138">
        <v>0</v>
      </c>
      <c r="F336" s="132">
        <f t="shared" si="92"/>
        <v>0</v>
      </c>
      <c r="G336" s="63">
        <v>0</v>
      </c>
      <c r="H336" s="140">
        <f t="shared" si="81"/>
        <v>0</v>
      </c>
      <c r="I336" s="63">
        <v>0</v>
      </c>
      <c r="J336" s="63">
        <f t="shared" si="82"/>
        <v>0</v>
      </c>
      <c r="K336" s="140">
        <f t="shared" si="93"/>
        <v>0</v>
      </c>
    </row>
    <row r="337" spans="1:11">
      <c r="A337" s="133"/>
      <c r="B337" s="223" t="s">
        <v>303</v>
      </c>
      <c r="C337" s="134" t="s">
        <v>3</v>
      </c>
      <c r="D337" s="135">
        <f>D311</f>
        <v>0</v>
      </c>
      <c r="E337" s="135">
        <f>E311</f>
        <v>0</v>
      </c>
      <c r="F337" s="136">
        <f t="shared" ref="F337:F349" si="94">E337/SUM($E$337:$E$349)</f>
        <v>0</v>
      </c>
      <c r="G337" s="63">
        <v>0</v>
      </c>
      <c r="H337" s="140">
        <f t="shared" si="81"/>
        <v>0</v>
      </c>
      <c r="I337" s="63">
        <v>0</v>
      </c>
      <c r="J337" s="63">
        <f t="shared" si="82"/>
        <v>0</v>
      </c>
      <c r="K337" s="140">
        <f t="shared" si="93"/>
        <v>0</v>
      </c>
    </row>
    <row r="338" spans="1:11">
      <c r="A338" s="126"/>
      <c r="B338" s="224"/>
      <c r="C338" s="127" t="s">
        <v>293</v>
      </c>
      <c r="D338" s="128">
        <f t="shared" ref="D338:E338" si="95">D312</f>
        <v>0</v>
      </c>
      <c r="E338" s="128">
        <f t="shared" si="95"/>
        <v>0</v>
      </c>
      <c r="F338" s="129">
        <f t="shared" si="94"/>
        <v>0</v>
      </c>
      <c r="G338" s="63">
        <v>0</v>
      </c>
      <c r="H338" s="140">
        <f t="shared" si="81"/>
        <v>0</v>
      </c>
      <c r="I338" s="63">
        <v>0</v>
      </c>
      <c r="J338" s="63">
        <f t="shared" si="82"/>
        <v>0</v>
      </c>
      <c r="K338" s="140">
        <f t="shared" si="93"/>
        <v>0</v>
      </c>
    </row>
    <row r="339" spans="1:11">
      <c r="A339" s="126"/>
      <c r="B339" s="224"/>
      <c r="C339" s="127" t="s">
        <v>5</v>
      </c>
      <c r="D339" s="128">
        <f t="shared" ref="D339:E339" si="96">D313</f>
        <v>0</v>
      </c>
      <c r="E339" s="128">
        <f t="shared" si="96"/>
        <v>0</v>
      </c>
      <c r="F339" s="129">
        <f t="shared" si="94"/>
        <v>0</v>
      </c>
      <c r="G339" s="63">
        <v>0</v>
      </c>
      <c r="H339" s="140">
        <f t="shared" si="81"/>
        <v>0</v>
      </c>
      <c r="I339" s="63">
        <v>0</v>
      </c>
      <c r="J339" s="63">
        <f t="shared" si="82"/>
        <v>0</v>
      </c>
      <c r="K339" s="140">
        <f t="shared" si="93"/>
        <v>0</v>
      </c>
    </row>
    <row r="340" spans="1:11">
      <c r="A340" s="126"/>
      <c r="B340" s="224"/>
      <c r="C340" s="127" t="s">
        <v>6</v>
      </c>
      <c r="D340" s="128">
        <f t="shared" ref="D340:E340" si="97">D314</f>
        <v>0</v>
      </c>
      <c r="E340" s="128">
        <f t="shared" si="97"/>
        <v>0</v>
      </c>
      <c r="F340" s="129">
        <f t="shared" si="94"/>
        <v>0</v>
      </c>
      <c r="G340" s="63">
        <v>0</v>
      </c>
      <c r="H340" s="140">
        <f t="shared" si="81"/>
        <v>0</v>
      </c>
      <c r="I340" s="63">
        <v>0</v>
      </c>
      <c r="J340" s="63">
        <f t="shared" si="82"/>
        <v>0</v>
      </c>
      <c r="K340" s="140">
        <f t="shared" si="93"/>
        <v>0</v>
      </c>
    </row>
    <row r="341" spans="1:11">
      <c r="A341" s="126"/>
      <c r="B341" s="224"/>
      <c r="C341" s="127" t="s">
        <v>7</v>
      </c>
      <c r="D341" s="128">
        <f t="shared" ref="D341:E341" si="98">D315</f>
        <v>552.56534480793709</v>
      </c>
      <c r="E341" s="128">
        <f t="shared" si="98"/>
        <v>9954.5088919425725</v>
      </c>
      <c r="F341" s="129">
        <f t="shared" si="94"/>
        <v>4.8322050318506608E-2</v>
      </c>
      <c r="G341" s="63">
        <v>37224.351218326301</v>
      </c>
      <c r="H341" s="140">
        <f t="shared" si="81"/>
        <v>27269.842326383729</v>
      </c>
      <c r="I341" s="63">
        <v>17108868.1309071</v>
      </c>
      <c r="J341" s="63">
        <f t="shared" si="82"/>
        <v>2066.2884216071375</v>
      </c>
      <c r="K341" s="140">
        <f t="shared" si="93"/>
        <v>-1513.7230767992005</v>
      </c>
    </row>
    <row r="342" spans="1:11">
      <c r="A342" s="126"/>
      <c r="B342" s="224"/>
      <c r="C342" s="127" t="s">
        <v>292</v>
      </c>
      <c r="D342" s="128">
        <f t="shared" ref="D342:E342" si="99">D316</f>
        <v>1483.6600300418224</v>
      </c>
      <c r="E342" s="128">
        <f t="shared" si="99"/>
        <v>196048.93728488797</v>
      </c>
      <c r="F342" s="129">
        <f t="shared" si="94"/>
        <v>0.95167794968149344</v>
      </c>
      <c r="G342" s="63">
        <v>173549.02873434901</v>
      </c>
      <c r="H342" s="140">
        <f t="shared" si="81"/>
        <v>-22499.908550538967</v>
      </c>
      <c r="I342" s="63">
        <v>10874828.800524199</v>
      </c>
      <c r="J342" s="63">
        <f t="shared" si="82"/>
        <v>1313.385120836256</v>
      </c>
      <c r="K342" s="140">
        <f t="shared" si="93"/>
        <v>170.27490920556647</v>
      </c>
    </row>
    <row r="343" spans="1:11">
      <c r="A343" s="126"/>
      <c r="B343" s="224"/>
      <c r="C343" s="127" t="s">
        <v>9</v>
      </c>
      <c r="D343" s="128">
        <f t="shared" ref="D343:E343" si="100">D317</f>
        <v>0</v>
      </c>
      <c r="E343" s="128">
        <f t="shared" si="100"/>
        <v>0</v>
      </c>
      <c r="F343" s="129">
        <f t="shared" si="94"/>
        <v>0</v>
      </c>
      <c r="G343" s="63">
        <v>0</v>
      </c>
      <c r="H343" s="140">
        <f t="shared" si="81"/>
        <v>0</v>
      </c>
      <c r="I343" s="63">
        <v>0</v>
      </c>
      <c r="J343" s="63">
        <f t="shared" si="82"/>
        <v>0</v>
      </c>
      <c r="K343" s="140">
        <f t="shared" si="93"/>
        <v>0</v>
      </c>
    </row>
    <row r="344" spans="1:11">
      <c r="A344" s="126"/>
      <c r="B344" s="224"/>
      <c r="C344" s="127" t="s">
        <v>27</v>
      </c>
      <c r="D344" s="128">
        <f t="shared" ref="D344:E344" si="101">D318</f>
        <v>0</v>
      </c>
      <c r="E344" s="128">
        <f t="shared" si="101"/>
        <v>0</v>
      </c>
      <c r="F344" s="129">
        <f t="shared" si="94"/>
        <v>0</v>
      </c>
      <c r="G344" s="63">
        <v>0</v>
      </c>
      <c r="H344" s="140">
        <f t="shared" si="81"/>
        <v>0</v>
      </c>
      <c r="I344" s="63">
        <v>0</v>
      </c>
      <c r="J344" s="63">
        <f t="shared" si="82"/>
        <v>0</v>
      </c>
      <c r="K344" s="140">
        <f t="shared" si="93"/>
        <v>0</v>
      </c>
    </row>
    <row r="345" spans="1:11">
      <c r="A345" s="126"/>
      <c r="B345" s="224"/>
      <c r="C345" s="127" t="s">
        <v>28</v>
      </c>
      <c r="D345" s="128">
        <f t="shared" ref="D345:E345" si="102">D319</f>
        <v>0</v>
      </c>
      <c r="E345" s="128">
        <f t="shared" si="102"/>
        <v>0</v>
      </c>
      <c r="F345" s="129">
        <f t="shared" si="94"/>
        <v>0</v>
      </c>
      <c r="G345" s="63">
        <v>0</v>
      </c>
      <c r="H345" s="140">
        <f t="shared" si="81"/>
        <v>0</v>
      </c>
      <c r="I345" s="63">
        <v>0</v>
      </c>
      <c r="J345" s="63">
        <f t="shared" si="82"/>
        <v>0</v>
      </c>
      <c r="K345" s="140">
        <f t="shared" si="93"/>
        <v>0</v>
      </c>
    </row>
    <row r="346" spans="1:11">
      <c r="A346" s="126"/>
      <c r="B346" s="224"/>
      <c r="C346" s="127" t="s">
        <v>39</v>
      </c>
      <c r="D346" s="128">
        <f t="shared" ref="D346:E346" si="103">D320</f>
        <v>0</v>
      </c>
      <c r="E346" s="128">
        <f t="shared" si="103"/>
        <v>0</v>
      </c>
      <c r="F346" s="129">
        <f t="shared" si="94"/>
        <v>0</v>
      </c>
      <c r="G346" s="63">
        <v>0</v>
      </c>
      <c r="H346" s="140">
        <f t="shared" si="81"/>
        <v>0</v>
      </c>
      <c r="I346" s="63">
        <v>0</v>
      </c>
      <c r="J346" s="63">
        <f t="shared" si="82"/>
        <v>0</v>
      </c>
      <c r="K346" s="140">
        <f t="shared" si="93"/>
        <v>0</v>
      </c>
    </row>
    <row r="347" spans="1:11">
      <c r="A347" s="126"/>
      <c r="B347" s="224"/>
      <c r="C347" s="127" t="s">
        <v>291</v>
      </c>
      <c r="D347" s="128">
        <f t="shared" ref="D347:E347" si="104">D321</f>
        <v>0</v>
      </c>
      <c r="E347" s="128">
        <f t="shared" si="104"/>
        <v>0</v>
      </c>
      <c r="F347" s="129">
        <f t="shared" si="94"/>
        <v>0</v>
      </c>
      <c r="G347" s="63">
        <v>0</v>
      </c>
      <c r="H347" s="140">
        <f t="shared" si="81"/>
        <v>0</v>
      </c>
      <c r="I347" s="63">
        <v>0</v>
      </c>
      <c r="J347" s="63">
        <f t="shared" si="82"/>
        <v>0</v>
      </c>
      <c r="K347" s="140">
        <f t="shared" si="93"/>
        <v>0</v>
      </c>
    </row>
    <row r="348" spans="1:11">
      <c r="A348" s="126"/>
      <c r="B348" s="224"/>
      <c r="C348" s="127" t="s">
        <v>40</v>
      </c>
      <c r="D348" s="128">
        <f t="shared" ref="D348:E348" si="105">D322</f>
        <v>0</v>
      </c>
      <c r="E348" s="128">
        <f t="shared" si="105"/>
        <v>0</v>
      </c>
      <c r="F348" s="129">
        <f t="shared" si="94"/>
        <v>0</v>
      </c>
      <c r="G348" s="63">
        <v>0</v>
      </c>
      <c r="H348" s="140">
        <f t="shared" si="81"/>
        <v>0</v>
      </c>
      <c r="I348" s="63">
        <v>0</v>
      </c>
      <c r="J348" s="63">
        <f t="shared" si="82"/>
        <v>0</v>
      </c>
      <c r="K348" s="140">
        <f t="shared" si="93"/>
        <v>0</v>
      </c>
    </row>
    <row r="349" spans="1:11">
      <c r="A349" s="130"/>
      <c r="B349" s="225"/>
      <c r="C349" s="131" t="s">
        <v>54</v>
      </c>
      <c r="D349" s="138">
        <f t="shared" ref="D349:E349" si="106">D323</f>
        <v>0</v>
      </c>
      <c r="E349" s="138">
        <f t="shared" si="106"/>
        <v>0</v>
      </c>
      <c r="F349" s="132">
        <f t="shared" si="94"/>
        <v>0</v>
      </c>
      <c r="G349" s="63">
        <v>0</v>
      </c>
      <c r="H349" s="140">
        <f t="shared" ref="H349:H412" si="107">G349-E349</f>
        <v>0</v>
      </c>
      <c r="I349" s="63">
        <v>0</v>
      </c>
      <c r="J349" s="63">
        <f t="shared" ref="J349:J412" si="108">I349/8280</f>
        <v>0</v>
      </c>
      <c r="K349" s="140">
        <f t="shared" si="93"/>
        <v>0</v>
      </c>
    </row>
    <row r="350" spans="1:11">
      <c r="A350" s="133"/>
      <c r="B350" s="223" t="s">
        <v>304</v>
      </c>
      <c r="C350" s="134" t="s">
        <v>3</v>
      </c>
      <c r="D350" s="135">
        <f t="shared" ref="D350:E362" si="109">E160</f>
        <v>0</v>
      </c>
      <c r="E350" s="135">
        <f t="shared" si="109"/>
        <v>0</v>
      </c>
      <c r="F350" s="136">
        <f t="shared" ref="F350:F362" si="110">E350/SUM($E$350:$E$362)</f>
        <v>0</v>
      </c>
      <c r="G350" s="63">
        <v>0</v>
      </c>
      <c r="H350" s="140">
        <f t="shared" si="107"/>
        <v>0</v>
      </c>
      <c r="I350" s="63">
        <v>0</v>
      </c>
      <c r="J350" s="63">
        <f t="shared" si="108"/>
        <v>0</v>
      </c>
      <c r="K350" s="140">
        <f t="shared" si="93"/>
        <v>0</v>
      </c>
    </row>
    <row r="351" spans="1:11">
      <c r="A351" s="126"/>
      <c r="B351" s="224"/>
      <c r="C351" s="127" t="s">
        <v>293</v>
      </c>
      <c r="D351" s="128">
        <f t="shared" si="109"/>
        <v>0</v>
      </c>
      <c r="E351" s="128">
        <f t="shared" si="109"/>
        <v>0</v>
      </c>
      <c r="F351" s="129">
        <f t="shared" si="110"/>
        <v>0</v>
      </c>
      <c r="G351" s="63">
        <v>0</v>
      </c>
      <c r="H351" s="140">
        <f t="shared" si="107"/>
        <v>0</v>
      </c>
      <c r="I351" s="63">
        <v>0</v>
      </c>
      <c r="J351" s="63">
        <f t="shared" si="108"/>
        <v>0</v>
      </c>
      <c r="K351" s="140">
        <f t="shared" si="93"/>
        <v>0</v>
      </c>
    </row>
    <row r="352" spans="1:11">
      <c r="A352" s="126"/>
      <c r="B352" s="224"/>
      <c r="C352" s="127" t="s">
        <v>5</v>
      </c>
      <c r="D352" s="128">
        <f t="shared" si="109"/>
        <v>0</v>
      </c>
      <c r="E352" s="128">
        <f t="shared" si="109"/>
        <v>0</v>
      </c>
      <c r="F352" s="129">
        <f t="shared" si="110"/>
        <v>0</v>
      </c>
      <c r="G352" s="63">
        <v>0</v>
      </c>
      <c r="H352" s="140">
        <f t="shared" si="107"/>
        <v>0</v>
      </c>
      <c r="I352" s="63">
        <v>0</v>
      </c>
      <c r="J352" s="63">
        <f t="shared" si="108"/>
        <v>0</v>
      </c>
      <c r="K352" s="140">
        <f t="shared" si="93"/>
        <v>0</v>
      </c>
    </row>
    <row r="353" spans="1:11">
      <c r="A353" s="126"/>
      <c r="B353" s="224"/>
      <c r="C353" s="127" t="s">
        <v>6</v>
      </c>
      <c r="D353" s="128">
        <f t="shared" si="109"/>
        <v>0</v>
      </c>
      <c r="E353" s="128">
        <f t="shared" si="109"/>
        <v>0</v>
      </c>
      <c r="F353" s="129">
        <f t="shared" si="110"/>
        <v>0</v>
      </c>
      <c r="G353" s="63">
        <v>0</v>
      </c>
      <c r="H353" s="140">
        <f t="shared" si="107"/>
        <v>0</v>
      </c>
      <c r="I353" s="63">
        <v>0</v>
      </c>
      <c r="J353" s="63">
        <f t="shared" si="108"/>
        <v>0</v>
      </c>
      <c r="K353" s="140">
        <f t="shared" si="93"/>
        <v>0</v>
      </c>
    </row>
    <row r="354" spans="1:11">
      <c r="A354" s="126"/>
      <c r="B354" s="224"/>
      <c r="C354" s="127" t="s">
        <v>7</v>
      </c>
      <c r="D354" s="128">
        <f t="shared" si="109"/>
        <v>552.56534480793709</v>
      </c>
      <c r="E354" s="128">
        <f t="shared" si="109"/>
        <v>9954.5088919425725</v>
      </c>
      <c r="F354" s="129">
        <f t="shared" si="110"/>
        <v>0.28262539497864836</v>
      </c>
      <c r="G354" s="63">
        <v>37224.351218326301</v>
      </c>
      <c r="H354" s="140">
        <f t="shared" si="107"/>
        <v>27269.842326383729</v>
      </c>
      <c r="I354" s="63">
        <v>17108868.1309071</v>
      </c>
      <c r="J354" s="63">
        <f t="shared" si="108"/>
        <v>2066.2884216071375</v>
      </c>
      <c r="K354" s="140">
        <f t="shared" si="93"/>
        <v>-1513.7230767992005</v>
      </c>
    </row>
    <row r="355" spans="1:11">
      <c r="A355" s="126"/>
      <c r="B355" s="224"/>
      <c r="C355" s="127" t="s">
        <v>292</v>
      </c>
      <c r="D355" s="128">
        <f t="shared" si="109"/>
        <v>0</v>
      </c>
      <c r="E355" s="128">
        <f t="shared" si="109"/>
        <v>0</v>
      </c>
      <c r="F355" s="129">
        <f t="shared" si="110"/>
        <v>0</v>
      </c>
      <c r="G355" s="63">
        <v>0</v>
      </c>
      <c r="H355" s="140">
        <f t="shared" si="107"/>
        <v>0</v>
      </c>
      <c r="I355" s="63">
        <v>0</v>
      </c>
      <c r="J355" s="63">
        <f t="shared" si="108"/>
        <v>0</v>
      </c>
      <c r="K355" s="140">
        <f t="shared" si="93"/>
        <v>0</v>
      </c>
    </row>
    <row r="356" spans="1:11">
      <c r="A356" s="126"/>
      <c r="B356" s="224"/>
      <c r="C356" s="127" t="s">
        <v>9</v>
      </c>
      <c r="D356" s="128">
        <f t="shared" si="109"/>
        <v>0</v>
      </c>
      <c r="E356" s="128">
        <f t="shared" si="109"/>
        <v>0</v>
      </c>
      <c r="F356" s="129">
        <f t="shared" si="110"/>
        <v>0</v>
      </c>
      <c r="G356" s="63">
        <v>0</v>
      </c>
      <c r="H356" s="140">
        <f t="shared" si="107"/>
        <v>0</v>
      </c>
      <c r="I356" s="63">
        <v>0</v>
      </c>
      <c r="J356" s="63">
        <f t="shared" si="108"/>
        <v>0</v>
      </c>
      <c r="K356" s="140">
        <f t="shared" si="93"/>
        <v>0</v>
      </c>
    </row>
    <row r="357" spans="1:11">
      <c r="A357" s="126"/>
      <c r="B357" s="224"/>
      <c r="C357" s="127" t="s">
        <v>27</v>
      </c>
      <c r="D357" s="128">
        <f t="shared" si="109"/>
        <v>0</v>
      </c>
      <c r="E357" s="128">
        <f t="shared" si="109"/>
        <v>0</v>
      </c>
      <c r="F357" s="129">
        <f t="shared" si="110"/>
        <v>0</v>
      </c>
      <c r="G357" s="63">
        <v>0</v>
      </c>
      <c r="H357" s="140">
        <f t="shared" si="107"/>
        <v>0</v>
      </c>
      <c r="I357" s="63">
        <v>0</v>
      </c>
      <c r="J357" s="63">
        <f t="shared" si="108"/>
        <v>0</v>
      </c>
      <c r="K357" s="140">
        <f t="shared" si="93"/>
        <v>0</v>
      </c>
    </row>
    <row r="358" spans="1:11">
      <c r="A358" s="126"/>
      <c r="B358" s="224"/>
      <c r="C358" s="127" t="s">
        <v>28</v>
      </c>
      <c r="D358" s="128">
        <f t="shared" si="109"/>
        <v>0</v>
      </c>
      <c r="E358" s="128">
        <f t="shared" si="109"/>
        <v>0</v>
      </c>
      <c r="F358" s="129">
        <f t="shared" si="110"/>
        <v>0</v>
      </c>
      <c r="G358" s="63">
        <v>0</v>
      </c>
      <c r="H358" s="140">
        <f t="shared" si="107"/>
        <v>0</v>
      </c>
      <c r="I358" s="63">
        <v>0</v>
      </c>
      <c r="J358" s="63">
        <f t="shared" si="108"/>
        <v>0</v>
      </c>
      <c r="K358" s="140">
        <f t="shared" si="93"/>
        <v>0</v>
      </c>
    </row>
    <row r="359" spans="1:11">
      <c r="A359" s="126"/>
      <c r="B359" s="224"/>
      <c r="C359" s="127" t="s">
        <v>39</v>
      </c>
      <c r="D359" s="128">
        <f t="shared" si="109"/>
        <v>0</v>
      </c>
      <c r="E359" s="128">
        <f t="shared" si="109"/>
        <v>0</v>
      </c>
      <c r="F359" s="129">
        <f t="shared" si="110"/>
        <v>0</v>
      </c>
      <c r="G359" s="63">
        <v>0</v>
      </c>
      <c r="H359" s="140">
        <f t="shared" si="107"/>
        <v>0</v>
      </c>
      <c r="I359" s="63">
        <v>0</v>
      </c>
      <c r="J359" s="63">
        <f t="shared" si="108"/>
        <v>0</v>
      </c>
      <c r="K359" s="140">
        <f t="shared" si="93"/>
        <v>0</v>
      </c>
    </row>
    <row r="360" spans="1:11">
      <c r="A360" s="126"/>
      <c r="B360" s="224"/>
      <c r="C360" s="127" t="s">
        <v>291</v>
      </c>
      <c r="D360" s="128">
        <f t="shared" si="109"/>
        <v>0</v>
      </c>
      <c r="E360" s="128">
        <f t="shared" si="109"/>
        <v>0</v>
      </c>
      <c r="F360" s="129">
        <f t="shared" si="110"/>
        <v>0</v>
      </c>
      <c r="G360" s="63">
        <v>0</v>
      </c>
      <c r="H360" s="140">
        <f t="shared" si="107"/>
        <v>0</v>
      </c>
      <c r="I360" s="63">
        <v>0</v>
      </c>
      <c r="J360" s="63">
        <f t="shared" si="108"/>
        <v>0</v>
      </c>
      <c r="K360" s="140">
        <f t="shared" si="93"/>
        <v>0</v>
      </c>
    </row>
    <row r="361" spans="1:11">
      <c r="A361" s="126"/>
      <c r="B361" s="224"/>
      <c r="C361" s="127" t="s">
        <v>40</v>
      </c>
      <c r="D361" s="128">
        <f t="shared" si="109"/>
        <v>0</v>
      </c>
      <c r="E361" s="128">
        <f t="shared" si="109"/>
        <v>0</v>
      </c>
      <c r="F361" s="129">
        <f t="shared" si="110"/>
        <v>0</v>
      </c>
      <c r="G361" s="63">
        <v>0</v>
      </c>
      <c r="H361" s="140">
        <f t="shared" si="107"/>
        <v>0</v>
      </c>
      <c r="I361" s="63">
        <v>0</v>
      </c>
      <c r="J361" s="63">
        <f t="shared" si="108"/>
        <v>0</v>
      </c>
      <c r="K361" s="140">
        <f t="shared" si="93"/>
        <v>0</v>
      </c>
    </row>
    <row r="362" spans="1:11">
      <c r="A362" s="130"/>
      <c r="B362" s="225"/>
      <c r="C362" s="131" t="s">
        <v>54</v>
      </c>
      <c r="D362" s="138">
        <f t="shared" si="109"/>
        <v>1483.6600300418224</v>
      </c>
      <c r="E362" s="138">
        <f t="shared" si="109"/>
        <v>25267.056716818846</v>
      </c>
      <c r="F362" s="132">
        <f t="shared" si="110"/>
        <v>0.71737460502135164</v>
      </c>
      <c r="G362" s="63">
        <v>22367.237552568098</v>
      </c>
      <c r="H362" s="140">
        <f t="shared" si="107"/>
        <v>-2899.8191642507481</v>
      </c>
      <c r="I362" s="63">
        <v>10874828.800524199</v>
      </c>
      <c r="J362" s="63">
        <f t="shared" si="108"/>
        <v>1313.385120836256</v>
      </c>
      <c r="K362" s="140">
        <f t="shared" si="93"/>
        <v>170.27490920556647</v>
      </c>
    </row>
    <row r="363" spans="1:11">
      <c r="A363" s="133"/>
      <c r="B363" s="223" t="s">
        <v>305</v>
      </c>
      <c r="C363" s="134" t="s">
        <v>3</v>
      </c>
      <c r="D363" s="135">
        <f t="shared" ref="D363:E375" si="111">C160</f>
        <v>0</v>
      </c>
      <c r="E363" s="135">
        <f t="shared" si="111"/>
        <v>0</v>
      </c>
      <c r="F363" s="136">
        <f t="shared" ref="F363:F375" si="112">E363/SUM($E$363:$E$375)</f>
        <v>0</v>
      </c>
      <c r="G363" s="63">
        <v>0</v>
      </c>
      <c r="H363" s="140">
        <f t="shared" si="107"/>
        <v>0</v>
      </c>
      <c r="I363" s="63">
        <v>0</v>
      </c>
      <c r="J363" s="63">
        <f t="shared" si="108"/>
        <v>0</v>
      </c>
      <c r="K363" s="140">
        <f>D363-J363</f>
        <v>0</v>
      </c>
    </row>
    <row r="364" spans="1:11">
      <c r="A364" s="126"/>
      <c r="B364" s="224"/>
      <c r="C364" s="127" t="s">
        <v>293</v>
      </c>
      <c r="D364" s="128">
        <f t="shared" si="111"/>
        <v>1483.6600300418224</v>
      </c>
      <c r="E364" s="128">
        <f t="shared" si="111"/>
        <v>170781.88056806911</v>
      </c>
      <c r="F364" s="129">
        <f t="shared" si="112"/>
        <v>1</v>
      </c>
      <c r="G364" s="63">
        <v>151181.79118178101</v>
      </c>
      <c r="H364" s="140">
        <f t="shared" si="107"/>
        <v>-19600.089386288106</v>
      </c>
      <c r="I364" s="63">
        <v>10874828.800524199</v>
      </c>
      <c r="J364" s="63">
        <f t="shared" si="108"/>
        <v>1313.385120836256</v>
      </c>
      <c r="K364" s="140">
        <f t="shared" si="93"/>
        <v>170.27490920556647</v>
      </c>
    </row>
    <row r="365" spans="1:11">
      <c r="A365" s="126"/>
      <c r="B365" s="224"/>
      <c r="C365" s="127" t="s">
        <v>5</v>
      </c>
      <c r="D365" s="128">
        <f t="shared" si="111"/>
        <v>0</v>
      </c>
      <c r="E365" s="128">
        <f t="shared" si="111"/>
        <v>0</v>
      </c>
      <c r="F365" s="129">
        <f t="shared" si="112"/>
        <v>0</v>
      </c>
      <c r="G365" s="63">
        <v>0</v>
      </c>
      <c r="H365" s="140">
        <f t="shared" si="107"/>
        <v>0</v>
      </c>
      <c r="I365" s="63">
        <v>0</v>
      </c>
      <c r="J365" s="63">
        <f t="shared" si="108"/>
        <v>0</v>
      </c>
      <c r="K365" s="140">
        <f t="shared" si="93"/>
        <v>0</v>
      </c>
    </row>
    <row r="366" spans="1:11">
      <c r="A366" s="126"/>
      <c r="B366" s="224"/>
      <c r="C366" s="127" t="s">
        <v>6</v>
      </c>
      <c r="D366" s="128">
        <f t="shared" si="111"/>
        <v>0</v>
      </c>
      <c r="E366" s="128">
        <f t="shared" si="111"/>
        <v>0</v>
      </c>
      <c r="F366" s="129">
        <f t="shared" si="112"/>
        <v>0</v>
      </c>
      <c r="G366" s="63">
        <v>0</v>
      </c>
      <c r="H366" s="140">
        <f t="shared" si="107"/>
        <v>0</v>
      </c>
      <c r="I366" s="63">
        <v>0</v>
      </c>
      <c r="J366" s="63">
        <f t="shared" si="108"/>
        <v>0</v>
      </c>
      <c r="K366" s="140">
        <f t="shared" si="93"/>
        <v>0</v>
      </c>
    </row>
    <row r="367" spans="1:11">
      <c r="A367" s="126"/>
      <c r="B367" s="224"/>
      <c r="C367" s="127" t="s">
        <v>7</v>
      </c>
      <c r="D367" s="128">
        <f t="shared" si="111"/>
        <v>0</v>
      </c>
      <c r="E367" s="128">
        <f t="shared" si="111"/>
        <v>0</v>
      </c>
      <c r="F367" s="129">
        <f t="shared" si="112"/>
        <v>0</v>
      </c>
      <c r="G367" s="63">
        <v>0</v>
      </c>
      <c r="H367" s="140">
        <f t="shared" si="107"/>
        <v>0</v>
      </c>
      <c r="I367" s="63">
        <v>0</v>
      </c>
      <c r="J367" s="63">
        <f t="shared" si="108"/>
        <v>0</v>
      </c>
      <c r="K367" s="140">
        <f t="shared" si="93"/>
        <v>0</v>
      </c>
    </row>
    <row r="368" spans="1:11">
      <c r="A368" s="126"/>
      <c r="B368" s="224"/>
      <c r="C368" s="127" t="s">
        <v>292</v>
      </c>
      <c r="D368" s="128">
        <f t="shared" si="111"/>
        <v>0</v>
      </c>
      <c r="E368" s="128">
        <f t="shared" si="111"/>
        <v>0</v>
      </c>
      <c r="F368" s="129">
        <f t="shared" si="112"/>
        <v>0</v>
      </c>
      <c r="G368" s="63">
        <v>0</v>
      </c>
      <c r="H368" s="140">
        <f t="shared" si="107"/>
        <v>0</v>
      </c>
      <c r="I368" s="63">
        <v>0</v>
      </c>
      <c r="J368" s="63">
        <f t="shared" si="108"/>
        <v>0</v>
      </c>
      <c r="K368" s="140">
        <f t="shared" si="93"/>
        <v>0</v>
      </c>
    </row>
    <row r="369" spans="1:11">
      <c r="A369" s="126"/>
      <c r="B369" s="224"/>
      <c r="C369" s="127" t="s">
        <v>9</v>
      </c>
      <c r="D369" s="128">
        <f t="shared" si="111"/>
        <v>0</v>
      </c>
      <c r="E369" s="128">
        <f t="shared" si="111"/>
        <v>0</v>
      </c>
      <c r="F369" s="129">
        <f t="shared" si="112"/>
        <v>0</v>
      </c>
      <c r="G369" s="63">
        <v>0</v>
      </c>
      <c r="H369" s="140">
        <f t="shared" si="107"/>
        <v>0</v>
      </c>
      <c r="I369" s="63">
        <v>0</v>
      </c>
      <c r="J369" s="63">
        <f t="shared" si="108"/>
        <v>0</v>
      </c>
      <c r="K369" s="140">
        <f t="shared" si="93"/>
        <v>0</v>
      </c>
    </row>
    <row r="370" spans="1:11">
      <c r="A370" s="126"/>
      <c r="B370" s="224"/>
      <c r="C370" s="127" t="s">
        <v>27</v>
      </c>
      <c r="D370" s="128">
        <f t="shared" si="111"/>
        <v>0</v>
      </c>
      <c r="E370" s="128">
        <f t="shared" si="111"/>
        <v>0</v>
      </c>
      <c r="F370" s="129">
        <f t="shared" si="112"/>
        <v>0</v>
      </c>
      <c r="G370" s="63">
        <v>0</v>
      </c>
      <c r="H370" s="140">
        <f t="shared" si="107"/>
        <v>0</v>
      </c>
      <c r="I370" s="63">
        <v>0</v>
      </c>
      <c r="J370" s="63">
        <f t="shared" si="108"/>
        <v>0</v>
      </c>
      <c r="K370" s="140">
        <f t="shared" si="93"/>
        <v>0</v>
      </c>
    </row>
    <row r="371" spans="1:11">
      <c r="A371" s="126"/>
      <c r="B371" s="224"/>
      <c r="C371" s="127" t="s">
        <v>28</v>
      </c>
      <c r="D371" s="128">
        <f t="shared" si="111"/>
        <v>0</v>
      </c>
      <c r="E371" s="128">
        <f t="shared" si="111"/>
        <v>0</v>
      </c>
      <c r="F371" s="129">
        <f t="shared" si="112"/>
        <v>0</v>
      </c>
      <c r="G371" s="63">
        <v>0</v>
      </c>
      <c r="H371" s="140">
        <f t="shared" si="107"/>
        <v>0</v>
      </c>
      <c r="I371" s="63">
        <v>0</v>
      </c>
      <c r="J371" s="63">
        <f t="shared" si="108"/>
        <v>0</v>
      </c>
      <c r="K371" s="140">
        <f t="shared" si="93"/>
        <v>0</v>
      </c>
    </row>
    <row r="372" spans="1:11">
      <c r="A372" s="126"/>
      <c r="B372" s="224"/>
      <c r="C372" s="127" t="s">
        <v>39</v>
      </c>
      <c r="D372" s="128">
        <f t="shared" si="111"/>
        <v>0</v>
      </c>
      <c r="E372" s="128">
        <f t="shared" si="111"/>
        <v>0</v>
      </c>
      <c r="F372" s="129">
        <f t="shared" si="112"/>
        <v>0</v>
      </c>
      <c r="G372" s="63">
        <v>0</v>
      </c>
      <c r="H372" s="140">
        <f t="shared" si="107"/>
        <v>0</v>
      </c>
      <c r="I372" s="63">
        <v>0</v>
      </c>
      <c r="J372" s="63">
        <f t="shared" si="108"/>
        <v>0</v>
      </c>
      <c r="K372" s="140">
        <f t="shared" si="93"/>
        <v>0</v>
      </c>
    </row>
    <row r="373" spans="1:11">
      <c r="A373" s="126"/>
      <c r="B373" s="224"/>
      <c r="C373" s="127" t="s">
        <v>291</v>
      </c>
      <c r="D373" s="128">
        <f t="shared" si="111"/>
        <v>0</v>
      </c>
      <c r="E373" s="128">
        <f t="shared" si="111"/>
        <v>0</v>
      </c>
      <c r="F373" s="129">
        <f t="shared" si="112"/>
        <v>0</v>
      </c>
      <c r="G373" s="63">
        <v>0</v>
      </c>
      <c r="H373" s="140">
        <f t="shared" si="107"/>
        <v>0</v>
      </c>
      <c r="I373" s="63">
        <v>0</v>
      </c>
      <c r="J373" s="63">
        <f t="shared" si="108"/>
        <v>0</v>
      </c>
      <c r="K373" s="140">
        <f t="shared" si="93"/>
        <v>0</v>
      </c>
    </row>
    <row r="374" spans="1:11">
      <c r="A374" s="126"/>
      <c r="B374" s="224"/>
      <c r="C374" s="127" t="s">
        <v>40</v>
      </c>
      <c r="D374" s="128">
        <f t="shared" si="111"/>
        <v>0</v>
      </c>
      <c r="E374" s="128">
        <f t="shared" si="111"/>
        <v>0</v>
      </c>
      <c r="F374" s="129">
        <f t="shared" si="112"/>
        <v>0</v>
      </c>
      <c r="G374" s="63">
        <v>0</v>
      </c>
      <c r="H374" s="140">
        <f t="shared" si="107"/>
        <v>0</v>
      </c>
      <c r="I374" s="63">
        <v>0</v>
      </c>
      <c r="J374" s="63">
        <f t="shared" si="108"/>
        <v>0</v>
      </c>
      <c r="K374" s="140">
        <f t="shared" si="93"/>
        <v>0</v>
      </c>
    </row>
    <row r="375" spans="1:11">
      <c r="A375" s="130"/>
      <c r="B375" s="225"/>
      <c r="C375" s="131" t="s">
        <v>54</v>
      </c>
      <c r="D375" s="138">
        <f t="shared" si="111"/>
        <v>0</v>
      </c>
      <c r="E375" s="138">
        <f t="shared" si="111"/>
        <v>0</v>
      </c>
      <c r="F375" s="132">
        <f t="shared" si="112"/>
        <v>0</v>
      </c>
      <c r="G375" s="63">
        <v>0</v>
      </c>
      <c r="H375" s="140">
        <f t="shared" si="107"/>
        <v>0</v>
      </c>
      <c r="I375" s="63">
        <v>0</v>
      </c>
      <c r="J375" s="63">
        <f t="shared" si="108"/>
        <v>0</v>
      </c>
      <c r="K375" s="140">
        <f t="shared" si="93"/>
        <v>0</v>
      </c>
    </row>
    <row r="376" spans="1:11">
      <c r="A376" s="133"/>
      <c r="B376" s="223" t="s">
        <v>307</v>
      </c>
      <c r="C376" s="127" t="s">
        <v>3</v>
      </c>
      <c r="D376" s="128">
        <f t="shared" ref="D376:D388" si="113">G182</f>
        <v>0</v>
      </c>
      <c r="E376" s="128">
        <f t="shared" ref="E376:E388" si="114">H182</f>
        <v>0</v>
      </c>
      <c r="F376" s="129">
        <f t="shared" ref="F376:F388" si="115">E376/SUM($E$376:$E$388)</f>
        <v>0</v>
      </c>
      <c r="G376" s="63">
        <v>0</v>
      </c>
      <c r="H376" s="140">
        <f t="shared" si="107"/>
        <v>0</v>
      </c>
      <c r="I376" s="63">
        <v>0</v>
      </c>
      <c r="J376" s="63">
        <f t="shared" si="108"/>
        <v>0</v>
      </c>
      <c r="K376" s="140">
        <f t="shared" si="93"/>
        <v>0</v>
      </c>
    </row>
    <row r="377" spans="1:11">
      <c r="A377" s="126"/>
      <c r="B377" s="224"/>
      <c r="C377" s="127" t="s">
        <v>293</v>
      </c>
      <c r="D377" s="128">
        <f t="shared" si="113"/>
        <v>0</v>
      </c>
      <c r="E377" s="128">
        <f t="shared" si="114"/>
        <v>0</v>
      </c>
      <c r="F377" s="129">
        <f t="shared" si="115"/>
        <v>0</v>
      </c>
      <c r="G377" s="63">
        <v>0</v>
      </c>
      <c r="H377" s="140">
        <f t="shared" si="107"/>
        <v>0</v>
      </c>
      <c r="I377" s="63">
        <v>0</v>
      </c>
      <c r="J377" s="63">
        <f t="shared" si="108"/>
        <v>0</v>
      </c>
      <c r="K377" s="140">
        <f t="shared" si="93"/>
        <v>0</v>
      </c>
    </row>
    <row r="378" spans="1:11">
      <c r="A378" s="126"/>
      <c r="B378" s="224"/>
      <c r="C378" s="127" t="s">
        <v>5</v>
      </c>
      <c r="D378" s="128">
        <f t="shared" si="113"/>
        <v>0</v>
      </c>
      <c r="E378" s="128">
        <f t="shared" si="114"/>
        <v>0</v>
      </c>
      <c r="F378" s="129">
        <f t="shared" si="115"/>
        <v>0</v>
      </c>
      <c r="G378" s="63">
        <v>0</v>
      </c>
      <c r="H378" s="140">
        <f t="shared" si="107"/>
        <v>0</v>
      </c>
      <c r="I378" s="63">
        <v>0</v>
      </c>
      <c r="J378" s="63">
        <f t="shared" si="108"/>
        <v>0</v>
      </c>
      <c r="K378" s="140">
        <f>D378-J378</f>
        <v>0</v>
      </c>
    </row>
    <row r="379" spans="1:11">
      <c r="A379" s="126"/>
      <c r="B379" s="224"/>
      <c r="C379" s="127" t="s">
        <v>6</v>
      </c>
      <c r="D379" s="128">
        <f t="shared" si="113"/>
        <v>0</v>
      </c>
      <c r="E379" s="128">
        <f t="shared" si="114"/>
        <v>0</v>
      </c>
      <c r="F379" s="129">
        <f t="shared" si="115"/>
        <v>0</v>
      </c>
      <c r="G379" s="63">
        <v>0</v>
      </c>
      <c r="H379" s="140">
        <f t="shared" si="107"/>
        <v>0</v>
      </c>
      <c r="I379" s="63">
        <v>0</v>
      </c>
      <c r="J379" s="63">
        <f t="shared" si="108"/>
        <v>0</v>
      </c>
      <c r="K379" s="140">
        <f t="shared" si="93"/>
        <v>0</v>
      </c>
    </row>
    <row r="380" spans="1:11">
      <c r="A380" s="126"/>
      <c r="B380" s="224"/>
      <c r="C380" s="127" t="s">
        <v>7</v>
      </c>
      <c r="D380" s="128">
        <f t="shared" si="113"/>
        <v>13790.578457492826</v>
      </c>
      <c r="E380" s="128">
        <f t="shared" si="114"/>
        <v>248438.37415800986</v>
      </c>
      <c r="F380" s="129">
        <f t="shared" si="115"/>
        <v>0.94922015911296898</v>
      </c>
      <c r="G380" s="63">
        <v>936255.96471042</v>
      </c>
      <c r="H380" s="140">
        <f t="shared" si="107"/>
        <v>687817.59055241011</v>
      </c>
      <c r="I380" s="63">
        <v>430317233.55112898</v>
      </c>
      <c r="J380" s="63">
        <f t="shared" si="108"/>
        <v>51970.680380571132</v>
      </c>
      <c r="K380" s="140">
        <f t="shared" si="93"/>
        <v>-38180.101923078306</v>
      </c>
    </row>
    <row r="381" spans="1:11">
      <c r="A381" s="126"/>
      <c r="B381" s="224"/>
      <c r="C381" s="127" t="s">
        <v>292</v>
      </c>
      <c r="D381" s="128">
        <f t="shared" si="113"/>
        <v>0</v>
      </c>
      <c r="E381" s="128">
        <f t="shared" si="114"/>
        <v>0</v>
      </c>
      <c r="F381" s="129">
        <f t="shared" si="115"/>
        <v>0</v>
      </c>
      <c r="G381" s="63">
        <v>0</v>
      </c>
      <c r="H381" s="140">
        <f t="shared" si="107"/>
        <v>0</v>
      </c>
      <c r="I381" s="63">
        <v>0</v>
      </c>
      <c r="J381" s="63">
        <f t="shared" si="108"/>
        <v>0</v>
      </c>
      <c r="K381" s="140">
        <f t="shared" si="93"/>
        <v>0</v>
      </c>
    </row>
    <row r="382" spans="1:11">
      <c r="A382" s="126"/>
      <c r="B382" s="224"/>
      <c r="C382" s="127" t="s">
        <v>9</v>
      </c>
      <c r="D382" s="128">
        <f t="shared" si="113"/>
        <v>0</v>
      </c>
      <c r="E382" s="128">
        <f t="shared" si="114"/>
        <v>0</v>
      </c>
      <c r="F382" s="129">
        <f t="shared" si="115"/>
        <v>0</v>
      </c>
      <c r="G382" s="63">
        <v>0</v>
      </c>
      <c r="H382" s="140">
        <f t="shared" si="107"/>
        <v>0</v>
      </c>
      <c r="I382" s="63">
        <v>0</v>
      </c>
      <c r="J382" s="63">
        <f t="shared" si="108"/>
        <v>0</v>
      </c>
      <c r="K382" s="140">
        <f t="shared" si="93"/>
        <v>0</v>
      </c>
    </row>
    <row r="383" spans="1:11">
      <c r="A383" s="126"/>
      <c r="B383" s="224"/>
      <c r="C383" s="127" t="s">
        <v>27</v>
      </c>
      <c r="D383" s="128">
        <f t="shared" si="113"/>
        <v>0</v>
      </c>
      <c r="E383" s="128">
        <f t="shared" si="114"/>
        <v>0</v>
      </c>
      <c r="F383" s="129">
        <f t="shared" si="115"/>
        <v>0</v>
      </c>
      <c r="G383" s="63">
        <v>0</v>
      </c>
      <c r="H383" s="140">
        <f t="shared" si="107"/>
        <v>0</v>
      </c>
      <c r="I383" s="63">
        <v>0</v>
      </c>
      <c r="J383" s="63">
        <f t="shared" si="108"/>
        <v>0</v>
      </c>
      <c r="K383" s="140">
        <f t="shared" si="93"/>
        <v>0</v>
      </c>
    </row>
    <row r="384" spans="1:11">
      <c r="A384" s="126"/>
      <c r="B384" s="224"/>
      <c r="C384" s="127" t="s">
        <v>28</v>
      </c>
      <c r="D384" s="128">
        <f t="shared" si="113"/>
        <v>0</v>
      </c>
      <c r="E384" s="128">
        <f t="shared" si="114"/>
        <v>0</v>
      </c>
      <c r="F384" s="129">
        <f t="shared" si="115"/>
        <v>0</v>
      </c>
      <c r="G384" s="63">
        <v>0</v>
      </c>
      <c r="H384" s="140">
        <f t="shared" si="107"/>
        <v>0</v>
      </c>
      <c r="I384" s="63">
        <v>0</v>
      </c>
      <c r="J384" s="63">
        <f t="shared" si="108"/>
        <v>0</v>
      </c>
      <c r="K384" s="140">
        <f t="shared" si="93"/>
        <v>0</v>
      </c>
    </row>
    <row r="385" spans="1:11">
      <c r="A385" s="126"/>
      <c r="B385" s="224"/>
      <c r="C385" s="127" t="s">
        <v>39</v>
      </c>
      <c r="D385" s="128">
        <f t="shared" si="113"/>
        <v>0</v>
      </c>
      <c r="E385" s="128">
        <f t="shared" si="114"/>
        <v>0</v>
      </c>
      <c r="F385" s="129">
        <f t="shared" si="115"/>
        <v>0</v>
      </c>
      <c r="G385" s="63">
        <v>0</v>
      </c>
      <c r="H385" s="140">
        <f t="shared" si="107"/>
        <v>0</v>
      </c>
      <c r="I385" s="63">
        <v>0</v>
      </c>
      <c r="J385" s="63">
        <f t="shared" si="108"/>
        <v>0</v>
      </c>
      <c r="K385" s="140">
        <f t="shared" si="93"/>
        <v>0</v>
      </c>
    </row>
    <row r="386" spans="1:11">
      <c r="A386" s="126"/>
      <c r="B386" s="224"/>
      <c r="C386" s="127" t="s">
        <v>291</v>
      </c>
      <c r="D386" s="128">
        <f t="shared" si="113"/>
        <v>0</v>
      </c>
      <c r="E386" s="128">
        <f t="shared" si="114"/>
        <v>0</v>
      </c>
      <c r="F386" s="129">
        <f t="shared" si="115"/>
        <v>0</v>
      </c>
      <c r="G386" s="63">
        <v>0</v>
      </c>
      <c r="H386" s="140">
        <f t="shared" si="107"/>
        <v>0</v>
      </c>
      <c r="I386" s="63">
        <v>0</v>
      </c>
      <c r="J386" s="63">
        <f t="shared" si="108"/>
        <v>0</v>
      </c>
      <c r="K386" s="140">
        <f t="shared" si="93"/>
        <v>0</v>
      </c>
    </row>
    <row r="387" spans="1:11">
      <c r="A387" s="126"/>
      <c r="B387" s="224"/>
      <c r="C387" s="127" t="s">
        <v>40</v>
      </c>
      <c r="D387" s="128">
        <f t="shared" si="113"/>
        <v>301.99282635374402</v>
      </c>
      <c r="E387" s="128">
        <f t="shared" si="114"/>
        <v>13290.553291415099</v>
      </c>
      <c r="F387" s="129">
        <f t="shared" si="115"/>
        <v>5.0779840887031073E-2</v>
      </c>
      <c r="G387" s="63">
        <v>13063.7040756972</v>
      </c>
      <c r="H387" s="140">
        <f t="shared" si="107"/>
        <v>-226.84921571789891</v>
      </c>
      <c r="I387" s="63">
        <v>2457820.9192736298</v>
      </c>
      <c r="J387" s="63">
        <f t="shared" si="108"/>
        <v>296.83827527459295</v>
      </c>
      <c r="K387" s="140">
        <f t="shared" si="93"/>
        <v>5.1545510791510765</v>
      </c>
    </row>
    <row r="388" spans="1:11">
      <c r="A388" s="130"/>
      <c r="B388" s="225"/>
      <c r="C388" s="131" t="s">
        <v>54</v>
      </c>
      <c r="D388" s="138">
        <f t="shared" si="113"/>
        <v>0</v>
      </c>
      <c r="E388" s="138">
        <f t="shared" si="114"/>
        <v>0</v>
      </c>
      <c r="F388" s="132">
        <f t="shared" si="115"/>
        <v>0</v>
      </c>
      <c r="G388" s="63">
        <v>0</v>
      </c>
      <c r="H388" s="140">
        <f t="shared" si="107"/>
        <v>0</v>
      </c>
      <c r="I388" s="63">
        <v>0</v>
      </c>
      <c r="J388" s="63">
        <f t="shared" si="108"/>
        <v>0</v>
      </c>
      <c r="K388" s="140">
        <f t="shared" si="93"/>
        <v>0</v>
      </c>
    </row>
    <row r="389" spans="1:11">
      <c r="A389" s="133"/>
      <c r="B389" s="223" t="s">
        <v>308</v>
      </c>
      <c r="C389" s="127" t="s">
        <v>3</v>
      </c>
      <c r="D389" s="128">
        <f t="shared" ref="D389:E401" si="116">C203</f>
        <v>0</v>
      </c>
      <c r="E389" s="128">
        <f t="shared" si="116"/>
        <v>0</v>
      </c>
      <c r="F389" s="129">
        <f t="shared" ref="F389:F401" si="117">E389/SUM($E$389:$E$401)</f>
        <v>0</v>
      </c>
      <c r="G389" s="63">
        <v>0</v>
      </c>
      <c r="H389" s="140">
        <f t="shared" si="107"/>
        <v>0</v>
      </c>
      <c r="I389" s="63">
        <v>0</v>
      </c>
      <c r="J389" s="63">
        <f t="shared" si="108"/>
        <v>0</v>
      </c>
      <c r="K389" s="140">
        <f t="shared" si="93"/>
        <v>0</v>
      </c>
    </row>
    <row r="390" spans="1:11">
      <c r="A390" s="126"/>
      <c r="B390" s="224"/>
      <c r="C390" s="127" t="s">
        <v>293</v>
      </c>
      <c r="D390" s="128">
        <f t="shared" si="116"/>
        <v>0</v>
      </c>
      <c r="E390" s="128">
        <f t="shared" si="116"/>
        <v>0</v>
      </c>
      <c r="F390" s="129">
        <f t="shared" si="117"/>
        <v>0</v>
      </c>
      <c r="G390" s="63">
        <v>0</v>
      </c>
      <c r="H390" s="140">
        <f t="shared" si="107"/>
        <v>0</v>
      </c>
      <c r="I390" s="63">
        <v>0</v>
      </c>
      <c r="J390" s="63">
        <f t="shared" si="108"/>
        <v>0</v>
      </c>
      <c r="K390" s="140">
        <f t="shared" si="93"/>
        <v>0</v>
      </c>
    </row>
    <row r="391" spans="1:11">
      <c r="A391" s="126"/>
      <c r="B391" s="224"/>
      <c r="C391" s="127" t="s">
        <v>5</v>
      </c>
      <c r="D391" s="128">
        <f t="shared" si="116"/>
        <v>0</v>
      </c>
      <c r="E391" s="128">
        <f t="shared" si="116"/>
        <v>0</v>
      </c>
      <c r="F391" s="129">
        <f t="shared" si="117"/>
        <v>0</v>
      </c>
      <c r="G391" s="63">
        <v>0</v>
      </c>
      <c r="H391" s="140">
        <f t="shared" si="107"/>
        <v>0</v>
      </c>
      <c r="I391" s="63">
        <v>0</v>
      </c>
      <c r="J391" s="63">
        <f t="shared" si="108"/>
        <v>0</v>
      </c>
      <c r="K391" s="140">
        <f t="shared" si="93"/>
        <v>0</v>
      </c>
    </row>
    <row r="392" spans="1:11">
      <c r="A392" s="126"/>
      <c r="B392" s="224"/>
      <c r="C392" s="127" t="s">
        <v>6</v>
      </c>
      <c r="D392" s="128">
        <f t="shared" si="116"/>
        <v>0</v>
      </c>
      <c r="E392" s="128">
        <f t="shared" si="116"/>
        <v>0</v>
      </c>
      <c r="F392" s="129">
        <f t="shared" si="117"/>
        <v>0</v>
      </c>
      <c r="G392" s="63">
        <v>0</v>
      </c>
      <c r="H392" s="140">
        <f t="shared" si="107"/>
        <v>0</v>
      </c>
      <c r="I392" s="63">
        <v>0</v>
      </c>
      <c r="J392" s="63">
        <f t="shared" si="108"/>
        <v>0</v>
      </c>
      <c r="K392" s="140">
        <f t="shared" si="93"/>
        <v>0</v>
      </c>
    </row>
    <row r="393" spans="1:11">
      <c r="A393" s="126"/>
      <c r="B393" s="224"/>
      <c r="C393" s="127" t="s">
        <v>7</v>
      </c>
      <c r="D393" s="128">
        <f t="shared" si="116"/>
        <v>11602.413626324422</v>
      </c>
      <c r="E393" s="128">
        <f t="shared" si="116"/>
        <v>209018.40967132457</v>
      </c>
      <c r="F393" s="129">
        <f t="shared" si="117"/>
        <v>0.78706470019566011</v>
      </c>
      <c r="G393" s="63">
        <v>824481.69983009598</v>
      </c>
      <c r="H393" s="140">
        <f t="shared" si="107"/>
        <v>615463.29015877144</v>
      </c>
      <c r="I393" s="63">
        <v>378944110.96665698</v>
      </c>
      <c r="J393" s="63">
        <f t="shared" si="108"/>
        <v>45766.196976649393</v>
      </c>
      <c r="K393" s="140">
        <f t="shared" si="93"/>
        <v>-34163.783350324971</v>
      </c>
    </row>
    <row r="394" spans="1:11">
      <c r="A394" s="126"/>
      <c r="B394" s="224"/>
      <c r="C394" s="127" t="s">
        <v>292</v>
      </c>
      <c r="D394" s="128">
        <f t="shared" si="116"/>
        <v>0</v>
      </c>
      <c r="E394" s="128">
        <f t="shared" si="116"/>
        <v>0</v>
      </c>
      <c r="F394" s="129">
        <f t="shared" si="117"/>
        <v>0</v>
      </c>
      <c r="G394" s="63">
        <v>0</v>
      </c>
      <c r="H394" s="140">
        <f t="shared" si="107"/>
        <v>0</v>
      </c>
      <c r="I394" s="63">
        <v>0</v>
      </c>
      <c r="J394" s="63">
        <f t="shared" si="108"/>
        <v>0</v>
      </c>
      <c r="K394" s="140">
        <f t="shared" ref="K394" si="118">D394-J394</f>
        <v>0</v>
      </c>
    </row>
    <row r="395" spans="1:11">
      <c r="A395" s="126"/>
      <c r="B395" s="224"/>
      <c r="C395" s="127" t="s">
        <v>9</v>
      </c>
      <c r="D395" s="128">
        <f t="shared" si="116"/>
        <v>0</v>
      </c>
      <c r="E395" s="128">
        <f t="shared" si="116"/>
        <v>0</v>
      </c>
      <c r="F395" s="129">
        <f t="shared" si="117"/>
        <v>0</v>
      </c>
      <c r="G395" s="63">
        <v>0</v>
      </c>
      <c r="H395" s="140">
        <f t="shared" si="107"/>
        <v>0</v>
      </c>
      <c r="I395" s="63">
        <v>0</v>
      </c>
      <c r="J395" s="63">
        <f t="shared" si="108"/>
        <v>0</v>
      </c>
      <c r="K395" s="140">
        <f>D395-J395</f>
        <v>0</v>
      </c>
    </row>
    <row r="396" spans="1:11">
      <c r="A396" s="126"/>
      <c r="B396" s="224"/>
      <c r="C396" s="127" t="s">
        <v>27</v>
      </c>
      <c r="D396" s="128">
        <f t="shared" si="116"/>
        <v>1248.2462140692328</v>
      </c>
      <c r="E396" s="128">
        <f t="shared" si="116"/>
        <v>43745.163045920483</v>
      </c>
      <c r="F396" s="129">
        <f t="shared" si="117"/>
        <v>0.16472364176862836</v>
      </c>
      <c r="G396" s="63">
        <v>40532.957836751499</v>
      </c>
      <c r="H396" s="140">
        <f t="shared" si="107"/>
        <v>-3212.2052091689839</v>
      </c>
      <c r="I396" s="63">
        <v>9576544.9543391597</v>
      </c>
      <c r="J396" s="63">
        <f t="shared" si="108"/>
        <v>1156.5875548718791</v>
      </c>
      <c r="K396" s="140">
        <f t="shared" ref="K396:K418" si="119">D396-J396</f>
        <v>91.6586591973537</v>
      </c>
    </row>
    <row r="397" spans="1:11">
      <c r="A397" s="126"/>
      <c r="B397" s="224"/>
      <c r="C397" s="127" t="s">
        <v>28</v>
      </c>
      <c r="D397" s="128">
        <f t="shared" si="116"/>
        <v>0</v>
      </c>
      <c r="E397" s="128">
        <f t="shared" si="116"/>
        <v>0</v>
      </c>
      <c r="F397" s="129">
        <f t="shared" si="117"/>
        <v>0</v>
      </c>
      <c r="G397" s="63">
        <v>0</v>
      </c>
      <c r="H397" s="140">
        <f t="shared" si="107"/>
        <v>0</v>
      </c>
      <c r="I397" s="63">
        <v>0</v>
      </c>
      <c r="J397" s="63">
        <f t="shared" si="108"/>
        <v>0</v>
      </c>
      <c r="K397" s="140">
        <f t="shared" si="119"/>
        <v>0</v>
      </c>
    </row>
    <row r="398" spans="1:11">
      <c r="A398" s="126"/>
      <c r="B398" s="224"/>
      <c r="C398" s="127" t="s">
        <v>39</v>
      </c>
      <c r="D398" s="128">
        <f t="shared" si="116"/>
        <v>0</v>
      </c>
      <c r="E398" s="128">
        <f t="shared" si="116"/>
        <v>0</v>
      </c>
      <c r="F398" s="129">
        <f t="shared" si="117"/>
        <v>0</v>
      </c>
      <c r="G398" s="63">
        <v>0</v>
      </c>
      <c r="H398" s="140">
        <f t="shared" si="107"/>
        <v>0</v>
      </c>
      <c r="I398" s="63">
        <v>0</v>
      </c>
      <c r="J398" s="63">
        <f t="shared" si="108"/>
        <v>0</v>
      </c>
      <c r="K398" s="140">
        <f t="shared" si="119"/>
        <v>0</v>
      </c>
    </row>
    <row r="399" spans="1:11">
      <c r="A399" s="126"/>
      <c r="B399" s="224"/>
      <c r="C399" s="127" t="s">
        <v>291</v>
      </c>
      <c r="D399" s="128">
        <f t="shared" si="116"/>
        <v>0</v>
      </c>
      <c r="E399" s="128">
        <f t="shared" si="116"/>
        <v>0</v>
      </c>
      <c r="F399" s="129">
        <f t="shared" si="117"/>
        <v>0</v>
      </c>
      <c r="G399" s="63">
        <v>0</v>
      </c>
      <c r="H399" s="140">
        <f t="shared" si="107"/>
        <v>0</v>
      </c>
      <c r="I399" s="63">
        <v>0</v>
      </c>
      <c r="J399" s="63">
        <f t="shared" si="108"/>
        <v>0</v>
      </c>
      <c r="K399" s="140">
        <f t="shared" si="119"/>
        <v>0</v>
      </c>
    </row>
    <row r="400" spans="1:11">
      <c r="A400" s="126"/>
      <c r="B400" s="224"/>
      <c r="C400" s="127" t="s">
        <v>40</v>
      </c>
      <c r="D400" s="128">
        <f t="shared" si="116"/>
        <v>290.92412532914148</v>
      </c>
      <c r="E400" s="128">
        <f t="shared" si="116"/>
        <v>12803.425293672854</v>
      </c>
      <c r="F400" s="129">
        <f t="shared" si="117"/>
        <v>4.8211658035711508E-2</v>
      </c>
      <c r="G400" s="63">
        <v>12386.7159223698</v>
      </c>
      <c r="H400" s="140">
        <f t="shared" si="107"/>
        <v>-416.70937130305356</v>
      </c>
      <c r="I400" s="63">
        <v>2330451.55789595</v>
      </c>
      <c r="J400" s="63">
        <f t="shared" si="108"/>
        <v>281.4555021613466</v>
      </c>
      <c r="K400" s="140">
        <f t="shared" si="119"/>
        <v>9.468623167794874</v>
      </c>
    </row>
    <row r="401" spans="1:11">
      <c r="A401" s="130"/>
      <c r="B401" s="225"/>
      <c r="C401" s="131" t="s">
        <v>54</v>
      </c>
      <c r="D401" s="138">
        <f t="shared" si="116"/>
        <v>0</v>
      </c>
      <c r="E401" s="138">
        <f t="shared" si="116"/>
        <v>0</v>
      </c>
      <c r="F401" s="132">
        <f t="shared" si="117"/>
        <v>0</v>
      </c>
      <c r="G401" s="63">
        <v>0</v>
      </c>
      <c r="H401" s="140">
        <f t="shared" si="107"/>
        <v>0</v>
      </c>
      <c r="I401" s="63">
        <v>0</v>
      </c>
      <c r="J401" s="63">
        <f t="shared" si="108"/>
        <v>0</v>
      </c>
      <c r="K401" s="140">
        <f t="shared" si="119"/>
        <v>0</v>
      </c>
    </row>
    <row r="402" spans="1:11">
      <c r="A402" s="133"/>
      <c r="B402" s="223" t="s">
        <v>309</v>
      </c>
      <c r="C402" s="127" t="s">
        <v>3</v>
      </c>
      <c r="D402" s="128">
        <f t="shared" ref="D402:E414" si="120">E203</f>
        <v>0</v>
      </c>
      <c r="E402" s="128">
        <f t="shared" si="120"/>
        <v>0</v>
      </c>
      <c r="F402" s="129">
        <f t="shared" ref="F402:F414" si="121">E402/SUM($E$402:$E$414)</f>
        <v>0</v>
      </c>
      <c r="G402" s="63">
        <v>0</v>
      </c>
      <c r="H402" s="140">
        <f t="shared" si="107"/>
        <v>0</v>
      </c>
      <c r="I402" s="63">
        <v>0</v>
      </c>
      <c r="J402" s="63">
        <f t="shared" si="108"/>
        <v>0</v>
      </c>
      <c r="K402" s="140">
        <f t="shared" si="119"/>
        <v>0</v>
      </c>
    </row>
    <row r="403" spans="1:11">
      <c r="A403" s="126"/>
      <c r="B403" s="224"/>
      <c r="C403" s="127" t="s">
        <v>293</v>
      </c>
      <c r="D403" s="128">
        <f t="shared" si="120"/>
        <v>0</v>
      </c>
      <c r="E403" s="128">
        <f t="shared" si="120"/>
        <v>0</v>
      </c>
      <c r="F403" s="129">
        <f t="shared" si="121"/>
        <v>0</v>
      </c>
      <c r="G403" s="63">
        <v>0</v>
      </c>
      <c r="H403" s="140">
        <f t="shared" si="107"/>
        <v>0</v>
      </c>
      <c r="I403" s="63">
        <v>0</v>
      </c>
      <c r="J403" s="63">
        <f t="shared" si="108"/>
        <v>0</v>
      </c>
      <c r="K403" s="140">
        <f t="shared" si="119"/>
        <v>0</v>
      </c>
    </row>
    <row r="404" spans="1:11">
      <c r="A404" s="126"/>
      <c r="B404" s="224"/>
      <c r="C404" s="127" t="s">
        <v>5</v>
      </c>
      <c r="D404" s="128">
        <f t="shared" si="120"/>
        <v>0</v>
      </c>
      <c r="E404" s="128">
        <f t="shared" si="120"/>
        <v>0</v>
      </c>
      <c r="F404" s="129">
        <f t="shared" si="121"/>
        <v>0</v>
      </c>
      <c r="G404" s="63">
        <v>0</v>
      </c>
      <c r="H404" s="140">
        <f t="shared" si="107"/>
        <v>0</v>
      </c>
      <c r="I404" s="63">
        <v>0</v>
      </c>
      <c r="J404" s="63">
        <f t="shared" si="108"/>
        <v>0</v>
      </c>
      <c r="K404" s="140">
        <f t="shared" si="119"/>
        <v>0</v>
      </c>
    </row>
    <row r="405" spans="1:11">
      <c r="A405" s="126"/>
      <c r="B405" s="224"/>
      <c r="C405" s="127" t="s">
        <v>6</v>
      </c>
      <c r="D405" s="128">
        <f t="shared" si="120"/>
        <v>0</v>
      </c>
      <c r="E405" s="128">
        <f t="shared" si="120"/>
        <v>0</v>
      </c>
      <c r="F405" s="129">
        <f t="shared" si="121"/>
        <v>0</v>
      </c>
      <c r="G405" s="63">
        <v>0</v>
      </c>
      <c r="H405" s="140">
        <f t="shared" si="107"/>
        <v>0</v>
      </c>
      <c r="I405" s="63">
        <v>0</v>
      </c>
      <c r="J405" s="63">
        <f t="shared" si="108"/>
        <v>0</v>
      </c>
      <c r="K405" s="140">
        <f t="shared" si="119"/>
        <v>0</v>
      </c>
    </row>
    <row r="406" spans="1:11">
      <c r="A406" s="126"/>
      <c r="B406" s="224"/>
      <c r="C406" s="127" t="s">
        <v>7</v>
      </c>
      <c r="D406" s="128">
        <f t="shared" si="120"/>
        <v>0</v>
      </c>
      <c r="E406" s="128">
        <f t="shared" si="120"/>
        <v>0</v>
      </c>
      <c r="F406" s="129">
        <f t="shared" si="121"/>
        <v>0</v>
      </c>
      <c r="G406" s="63">
        <v>0</v>
      </c>
      <c r="H406" s="140">
        <f t="shared" si="107"/>
        <v>0</v>
      </c>
      <c r="I406" s="63">
        <v>0</v>
      </c>
      <c r="J406" s="63">
        <f t="shared" si="108"/>
        <v>0</v>
      </c>
      <c r="K406" s="140">
        <f t="shared" si="119"/>
        <v>0</v>
      </c>
    </row>
    <row r="407" spans="1:11">
      <c r="A407" s="126"/>
      <c r="B407" s="224"/>
      <c r="C407" s="127" t="s">
        <v>292</v>
      </c>
      <c r="D407" s="128">
        <f t="shared" si="120"/>
        <v>0</v>
      </c>
      <c r="E407" s="128">
        <f t="shared" si="120"/>
        <v>0</v>
      </c>
      <c r="F407" s="129">
        <f t="shared" si="121"/>
        <v>0</v>
      </c>
      <c r="G407" s="63">
        <v>0</v>
      </c>
      <c r="H407" s="140">
        <f t="shared" si="107"/>
        <v>0</v>
      </c>
      <c r="I407" s="63">
        <v>0</v>
      </c>
      <c r="J407" s="63">
        <f t="shared" si="108"/>
        <v>0</v>
      </c>
      <c r="K407" s="140">
        <f t="shared" si="119"/>
        <v>0</v>
      </c>
    </row>
    <row r="408" spans="1:11">
      <c r="A408" s="126"/>
      <c r="B408" s="224"/>
      <c r="C408" s="127" t="s">
        <v>9</v>
      </c>
      <c r="D408" s="128">
        <f t="shared" si="120"/>
        <v>0</v>
      </c>
      <c r="E408" s="128">
        <f t="shared" si="120"/>
        <v>0</v>
      </c>
      <c r="F408" s="129">
        <f t="shared" si="121"/>
        <v>0</v>
      </c>
      <c r="G408" s="63">
        <v>0</v>
      </c>
      <c r="H408" s="140">
        <f t="shared" si="107"/>
        <v>0</v>
      </c>
      <c r="I408" s="63">
        <v>0</v>
      </c>
      <c r="J408" s="63">
        <f t="shared" si="108"/>
        <v>0</v>
      </c>
      <c r="K408" s="140">
        <f t="shared" si="119"/>
        <v>0</v>
      </c>
    </row>
    <row r="409" spans="1:11">
      <c r="A409" s="126"/>
      <c r="B409" s="224"/>
      <c r="C409" s="127" t="s">
        <v>27</v>
      </c>
      <c r="D409" s="128">
        <f t="shared" si="120"/>
        <v>0</v>
      </c>
      <c r="E409" s="128">
        <f t="shared" si="120"/>
        <v>0</v>
      </c>
      <c r="F409" s="129">
        <f t="shared" si="121"/>
        <v>0</v>
      </c>
      <c r="G409" s="63">
        <v>0</v>
      </c>
      <c r="H409" s="140">
        <f t="shared" si="107"/>
        <v>0</v>
      </c>
      <c r="I409" s="63">
        <v>0</v>
      </c>
      <c r="J409" s="63">
        <f t="shared" si="108"/>
        <v>0</v>
      </c>
      <c r="K409" s="140">
        <f t="shared" si="119"/>
        <v>0</v>
      </c>
    </row>
    <row r="410" spans="1:11">
      <c r="A410" s="126"/>
      <c r="B410" s="224"/>
      <c r="C410" s="127" t="s">
        <v>28</v>
      </c>
      <c r="D410" s="128">
        <f t="shared" si="120"/>
        <v>0</v>
      </c>
      <c r="E410" s="128">
        <f t="shared" si="120"/>
        <v>0</v>
      </c>
      <c r="F410" s="129">
        <f t="shared" si="121"/>
        <v>0</v>
      </c>
      <c r="G410" s="63">
        <v>0</v>
      </c>
      <c r="H410" s="140">
        <f t="shared" si="107"/>
        <v>0</v>
      </c>
      <c r="I410" s="63">
        <v>0</v>
      </c>
      <c r="J410" s="63">
        <f t="shared" si="108"/>
        <v>0</v>
      </c>
      <c r="K410" s="140">
        <f t="shared" si="119"/>
        <v>0</v>
      </c>
    </row>
    <row r="411" spans="1:11">
      <c r="A411" s="126"/>
      <c r="B411" s="224"/>
      <c r="C411" s="127" t="s">
        <v>39</v>
      </c>
      <c r="D411" s="128">
        <f t="shared" si="120"/>
        <v>0</v>
      </c>
      <c r="E411" s="128">
        <f t="shared" si="120"/>
        <v>0</v>
      </c>
      <c r="F411" s="129">
        <f t="shared" si="121"/>
        <v>0</v>
      </c>
      <c r="G411" s="63">
        <v>0</v>
      </c>
      <c r="H411" s="140">
        <f t="shared" si="107"/>
        <v>0</v>
      </c>
      <c r="I411" s="63">
        <v>0</v>
      </c>
      <c r="J411" s="63">
        <f t="shared" si="108"/>
        <v>0</v>
      </c>
      <c r="K411" s="140">
        <f t="shared" si="119"/>
        <v>0</v>
      </c>
    </row>
    <row r="412" spans="1:11">
      <c r="A412" s="126"/>
      <c r="B412" s="224"/>
      <c r="C412" s="127" t="s">
        <v>291</v>
      </c>
      <c r="D412" s="128">
        <f t="shared" si="120"/>
        <v>0</v>
      </c>
      <c r="E412" s="128">
        <f t="shared" si="120"/>
        <v>0</v>
      </c>
      <c r="F412" s="129">
        <f t="shared" si="121"/>
        <v>0</v>
      </c>
      <c r="G412" s="63">
        <v>0</v>
      </c>
      <c r="H412" s="140">
        <f t="shared" si="107"/>
        <v>0</v>
      </c>
      <c r="I412" s="63">
        <v>0</v>
      </c>
      <c r="J412" s="63">
        <f t="shared" si="108"/>
        <v>0</v>
      </c>
      <c r="K412" s="140">
        <f t="shared" si="119"/>
        <v>0</v>
      </c>
    </row>
    <row r="413" spans="1:11">
      <c r="A413" s="126"/>
      <c r="B413" s="224"/>
      <c r="C413" s="127" t="s">
        <v>40</v>
      </c>
      <c r="D413" s="128">
        <f t="shared" si="120"/>
        <v>957.32208874009132</v>
      </c>
      <c r="E413" s="128">
        <f t="shared" si="120"/>
        <v>42131.266464407054</v>
      </c>
      <c r="F413" s="129">
        <f t="shared" si="121"/>
        <v>1</v>
      </c>
      <c r="G413" s="63">
        <v>79047.081910515597</v>
      </c>
      <c r="H413" s="140">
        <f t="shared" ref="H413:H427" si="122">G413-E413</f>
        <v>36915.815446108543</v>
      </c>
      <c r="I413" s="63">
        <v>14872012.593169</v>
      </c>
      <c r="J413" s="63">
        <f t="shared" ref="J413:J427" si="123">I413/8280</f>
        <v>1796.1367866146136</v>
      </c>
      <c r="K413" s="140">
        <f t="shared" si="119"/>
        <v>-838.81469787452227</v>
      </c>
    </row>
    <row r="414" spans="1:11">
      <c r="A414" s="130"/>
      <c r="B414" s="225"/>
      <c r="C414" s="131" t="s">
        <v>54</v>
      </c>
      <c r="D414" s="138">
        <f t="shared" si="120"/>
        <v>0</v>
      </c>
      <c r="E414" s="138">
        <f t="shared" si="120"/>
        <v>0</v>
      </c>
      <c r="F414" s="132">
        <f t="shared" si="121"/>
        <v>0</v>
      </c>
      <c r="G414" s="63">
        <v>0</v>
      </c>
      <c r="H414" s="140">
        <f t="shared" si="122"/>
        <v>0</v>
      </c>
      <c r="I414" s="63">
        <v>0</v>
      </c>
      <c r="J414" s="63">
        <f t="shared" si="123"/>
        <v>0</v>
      </c>
      <c r="K414" s="140">
        <f t="shared" si="119"/>
        <v>0</v>
      </c>
    </row>
    <row r="415" spans="1:11">
      <c r="A415" s="133"/>
      <c r="B415" s="223" t="s">
        <v>310</v>
      </c>
      <c r="C415" s="127" t="s">
        <v>3</v>
      </c>
      <c r="D415" s="128">
        <f t="shared" ref="D415:E426" si="124">E82</f>
        <v>0</v>
      </c>
      <c r="E415" s="128">
        <f t="shared" si="124"/>
        <v>0</v>
      </c>
      <c r="F415" s="129">
        <f t="shared" ref="F415:F427" si="125">E415/SUM($E$415:$E$427)</f>
        <v>0</v>
      </c>
      <c r="G415" s="63">
        <v>0</v>
      </c>
      <c r="H415" s="140">
        <f t="shared" si="122"/>
        <v>0</v>
      </c>
      <c r="I415" s="63">
        <v>0</v>
      </c>
      <c r="J415" s="63">
        <f t="shared" si="123"/>
        <v>0</v>
      </c>
      <c r="K415" s="140">
        <f t="shared" si="119"/>
        <v>0</v>
      </c>
    </row>
    <row r="416" spans="1:11">
      <c r="A416" s="126"/>
      <c r="B416" s="224"/>
      <c r="C416" s="127" t="s">
        <v>293</v>
      </c>
      <c r="D416" s="128">
        <f t="shared" si="124"/>
        <v>0</v>
      </c>
      <c r="E416" s="128">
        <f t="shared" si="124"/>
        <v>0</v>
      </c>
      <c r="F416" s="129">
        <f t="shared" si="125"/>
        <v>0</v>
      </c>
      <c r="G416" s="63">
        <v>0</v>
      </c>
      <c r="H416" s="140">
        <f t="shared" si="122"/>
        <v>0</v>
      </c>
      <c r="I416" s="63">
        <v>0</v>
      </c>
      <c r="J416" s="63">
        <f t="shared" si="123"/>
        <v>0</v>
      </c>
      <c r="K416" s="140">
        <f t="shared" si="119"/>
        <v>0</v>
      </c>
    </row>
    <row r="417" spans="1:11">
      <c r="A417" s="126"/>
      <c r="B417" s="224"/>
      <c r="C417" s="127" t="s">
        <v>5</v>
      </c>
      <c r="D417" s="128">
        <f t="shared" si="124"/>
        <v>0</v>
      </c>
      <c r="E417" s="128">
        <f t="shared" si="124"/>
        <v>0</v>
      </c>
      <c r="F417" s="129">
        <f t="shared" si="125"/>
        <v>0</v>
      </c>
      <c r="G417" s="63">
        <v>0</v>
      </c>
      <c r="H417" s="140">
        <f t="shared" si="122"/>
        <v>0</v>
      </c>
      <c r="I417" s="63">
        <v>0</v>
      </c>
      <c r="J417" s="63">
        <f t="shared" si="123"/>
        <v>0</v>
      </c>
      <c r="K417" s="140">
        <f t="shared" si="119"/>
        <v>0</v>
      </c>
    </row>
    <row r="418" spans="1:11">
      <c r="A418" s="126"/>
      <c r="B418" s="224"/>
      <c r="C418" s="127" t="s">
        <v>6</v>
      </c>
      <c r="D418" s="128">
        <f t="shared" si="124"/>
        <v>0</v>
      </c>
      <c r="E418" s="128">
        <f t="shared" si="124"/>
        <v>0</v>
      </c>
      <c r="F418" s="129">
        <f t="shared" si="125"/>
        <v>0</v>
      </c>
      <c r="G418" s="63">
        <v>0</v>
      </c>
      <c r="H418" s="140">
        <f t="shared" si="122"/>
        <v>0</v>
      </c>
      <c r="I418" s="63">
        <v>0</v>
      </c>
      <c r="J418" s="63">
        <f t="shared" si="123"/>
        <v>0</v>
      </c>
      <c r="K418" s="140">
        <f t="shared" si="119"/>
        <v>0</v>
      </c>
    </row>
    <row r="419" spans="1:11">
      <c r="A419" s="126"/>
      <c r="B419" s="224"/>
      <c r="C419" s="127" t="s">
        <v>7</v>
      </c>
      <c r="D419" s="128">
        <f>E86</f>
        <v>11602.413626324422</v>
      </c>
      <c r="E419" s="128">
        <f t="shared" si="124"/>
        <v>209018.40967132457</v>
      </c>
      <c r="F419" s="129">
        <f t="shared" si="125"/>
        <v>0.67929668055728099</v>
      </c>
      <c r="G419" s="63">
        <v>824481.69983009598</v>
      </c>
      <c r="H419" s="140">
        <f t="shared" si="122"/>
        <v>615463.29015877144</v>
      </c>
      <c r="I419" s="63">
        <v>378944110.96665698</v>
      </c>
      <c r="J419" s="63">
        <f t="shared" si="123"/>
        <v>45766.196976649393</v>
      </c>
      <c r="K419" s="140">
        <f>D419-J419</f>
        <v>-34163.783350324971</v>
      </c>
    </row>
    <row r="420" spans="1:11">
      <c r="A420" s="126"/>
      <c r="B420" s="224"/>
      <c r="C420" s="127" t="s">
        <v>292</v>
      </c>
      <c r="D420" s="128">
        <f t="shared" si="124"/>
        <v>0</v>
      </c>
      <c r="E420" s="128">
        <f t="shared" si="124"/>
        <v>0</v>
      </c>
      <c r="F420" s="129">
        <f t="shared" si="125"/>
        <v>0</v>
      </c>
      <c r="G420" s="63">
        <v>0</v>
      </c>
      <c r="H420" s="140">
        <f t="shared" si="122"/>
        <v>0</v>
      </c>
      <c r="I420" s="63">
        <v>0</v>
      </c>
      <c r="J420" s="63">
        <f t="shared" si="123"/>
        <v>0</v>
      </c>
      <c r="K420" s="140">
        <f t="shared" ref="K420:K427" si="126">D420-J420</f>
        <v>0</v>
      </c>
    </row>
    <row r="421" spans="1:11">
      <c r="A421" s="126"/>
      <c r="B421" s="224"/>
      <c r="C421" s="127" t="s">
        <v>9</v>
      </c>
      <c r="D421" s="128">
        <f t="shared" si="124"/>
        <v>0</v>
      </c>
      <c r="E421" s="128">
        <f t="shared" si="124"/>
        <v>0</v>
      </c>
      <c r="F421" s="129">
        <f t="shared" si="125"/>
        <v>0</v>
      </c>
      <c r="G421" s="63">
        <v>0</v>
      </c>
      <c r="H421" s="140">
        <f t="shared" si="122"/>
        <v>0</v>
      </c>
      <c r="I421" s="63">
        <v>0</v>
      </c>
      <c r="J421" s="63">
        <f t="shared" si="123"/>
        <v>0</v>
      </c>
      <c r="K421" s="140">
        <f t="shared" si="126"/>
        <v>0</v>
      </c>
    </row>
    <row r="422" spans="1:11">
      <c r="A422" s="126"/>
      <c r="B422" s="224"/>
      <c r="C422" s="127" t="s">
        <v>27</v>
      </c>
      <c r="D422" s="128">
        <f t="shared" si="124"/>
        <v>0</v>
      </c>
      <c r="E422" s="128">
        <f t="shared" si="124"/>
        <v>0</v>
      </c>
      <c r="F422" s="129">
        <f t="shared" si="125"/>
        <v>0</v>
      </c>
      <c r="G422" s="63">
        <v>0</v>
      </c>
      <c r="H422" s="140">
        <f t="shared" si="122"/>
        <v>0</v>
      </c>
      <c r="I422" s="63">
        <v>0</v>
      </c>
      <c r="J422" s="63">
        <f t="shared" si="123"/>
        <v>0</v>
      </c>
      <c r="K422" s="140">
        <f t="shared" si="126"/>
        <v>0</v>
      </c>
    </row>
    <row r="423" spans="1:11">
      <c r="A423" s="126"/>
      <c r="B423" s="224"/>
      <c r="C423" s="127" t="s">
        <v>28</v>
      </c>
      <c r="D423" s="128">
        <f t="shared" si="124"/>
        <v>0</v>
      </c>
      <c r="E423" s="128">
        <f t="shared" si="124"/>
        <v>0</v>
      </c>
      <c r="F423" s="129">
        <f t="shared" si="125"/>
        <v>0</v>
      </c>
      <c r="G423" s="63">
        <v>0</v>
      </c>
      <c r="H423" s="140">
        <f t="shared" si="122"/>
        <v>0</v>
      </c>
      <c r="I423" s="63">
        <v>0</v>
      </c>
      <c r="J423" s="63">
        <f t="shared" si="123"/>
        <v>0</v>
      </c>
      <c r="K423" s="140">
        <f t="shared" si="126"/>
        <v>0</v>
      </c>
    </row>
    <row r="424" spans="1:11">
      <c r="A424" s="126"/>
      <c r="B424" s="224"/>
      <c r="C424" s="127" t="s">
        <v>39</v>
      </c>
      <c r="D424" s="128">
        <f t="shared" si="124"/>
        <v>0</v>
      </c>
      <c r="E424" s="128">
        <f t="shared" si="124"/>
        <v>0</v>
      </c>
      <c r="F424" s="129">
        <f t="shared" si="125"/>
        <v>0</v>
      </c>
      <c r="G424" s="63">
        <v>0</v>
      </c>
      <c r="H424" s="140">
        <f t="shared" si="122"/>
        <v>0</v>
      </c>
      <c r="I424" s="63">
        <v>0</v>
      </c>
      <c r="J424" s="63">
        <f t="shared" si="123"/>
        <v>0</v>
      </c>
      <c r="K424" s="140">
        <f t="shared" si="126"/>
        <v>0</v>
      </c>
    </row>
    <row r="425" spans="1:11">
      <c r="A425" s="126"/>
      <c r="B425" s="224"/>
      <c r="C425" s="127" t="s">
        <v>291</v>
      </c>
      <c r="D425" s="128">
        <f t="shared" si="124"/>
        <v>1248.2462140692328</v>
      </c>
      <c r="E425" s="128">
        <f t="shared" si="124"/>
        <v>98679.854804000381</v>
      </c>
      <c r="F425" s="129">
        <f t="shared" si="125"/>
        <v>0.32070331944271901</v>
      </c>
      <c r="G425" s="63">
        <v>91433.797832885393</v>
      </c>
      <c r="H425" s="140">
        <f t="shared" si="122"/>
        <v>-7246.0569711149874</v>
      </c>
      <c r="I425" s="63">
        <v>9576544.9543391503</v>
      </c>
      <c r="J425" s="63">
        <f t="shared" si="123"/>
        <v>1156.587554871878</v>
      </c>
      <c r="K425" s="140">
        <f t="shared" si="126"/>
        <v>91.658659197354837</v>
      </c>
    </row>
    <row r="426" spans="1:11">
      <c r="A426" s="126"/>
      <c r="B426" s="224"/>
      <c r="C426" s="127" t="s">
        <v>40</v>
      </c>
      <c r="D426" s="128">
        <f t="shared" si="124"/>
        <v>0</v>
      </c>
      <c r="E426" s="128">
        <f t="shared" si="124"/>
        <v>0</v>
      </c>
      <c r="F426" s="129">
        <f t="shared" si="125"/>
        <v>0</v>
      </c>
      <c r="G426" s="63">
        <v>0</v>
      </c>
      <c r="H426" s="140">
        <f t="shared" si="122"/>
        <v>0</v>
      </c>
      <c r="I426" s="63">
        <v>0</v>
      </c>
      <c r="J426" s="63">
        <f t="shared" si="123"/>
        <v>0</v>
      </c>
      <c r="K426" s="140">
        <f t="shared" si="126"/>
        <v>0</v>
      </c>
    </row>
    <row r="427" spans="1:11">
      <c r="A427" s="130"/>
      <c r="B427" s="225"/>
      <c r="C427" s="131" t="s">
        <v>54</v>
      </c>
      <c r="D427" s="128">
        <v>0</v>
      </c>
      <c r="E427" s="128">
        <v>0</v>
      </c>
      <c r="F427" s="129">
        <f t="shared" si="125"/>
        <v>0</v>
      </c>
      <c r="G427" s="63">
        <v>0</v>
      </c>
      <c r="H427" s="140">
        <f t="shared" si="122"/>
        <v>0</v>
      </c>
      <c r="I427" s="63">
        <v>0</v>
      </c>
      <c r="J427" s="63">
        <f t="shared" si="123"/>
        <v>0</v>
      </c>
      <c r="K427" s="140">
        <f t="shared" si="126"/>
        <v>0</v>
      </c>
    </row>
  </sheetData>
  <mergeCells count="65">
    <mergeCell ref="M204:N204"/>
    <mergeCell ref="J201:K201"/>
    <mergeCell ref="A180:A181"/>
    <mergeCell ref="C180:D180"/>
    <mergeCell ref="E180:F180"/>
    <mergeCell ref="G180:H180"/>
    <mergeCell ref="A201:A202"/>
    <mergeCell ref="C201:D201"/>
    <mergeCell ref="E201:F201"/>
    <mergeCell ref="G201:H201"/>
    <mergeCell ref="A158:A159"/>
    <mergeCell ref="C158:D158"/>
    <mergeCell ref="E158:F158"/>
    <mergeCell ref="A99:A100"/>
    <mergeCell ref="C99:D99"/>
    <mergeCell ref="E99:F99"/>
    <mergeCell ref="A117:A118"/>
    <mergeCell ref="C117:D117"/>
    <mergeCell ref="E117:F117"/>
    <mergeCell ref="A139:A140"/>
    <mergeCell ref="C139:D139"/>
    <mergeCell ref="E139:F139"/>
    <mergeCell ref="A80:A81"/>
    <mergeCell ref="A5:F5"/>
    <mergeCell ref="A6:F6"/>
    <mergeCell ref="A60:A61"/>
    <mergeCell ref="C60:D60"/>
    <mergeCell ref="E60:F60"/>
    <mergeCell ref="C80:D80"/>
    <mergeCell ref="E80:F80"/>
    <mergeCell ref="B285:B297"/>
    <mergeCell ref="A218:F218"/>
    <mergeCell ref="B220:B232"/>
    <mergeCell ref="M8:N8"/>
    <mergeCell ref="K139:L139"/>
    <mergeCell ref="A8:A9"/>
    <mergeCell ref="C8:D8"/>
    <mergeCell ref="E8:F8"/>
    <mergeCell ref="G8:H8"/>
    <mergeCell ref="J8:K8"/>
    <mergeCell ref="A23:A24"/>
    <mergeCell ref="C23:D23"/>
    <mergeCell ref="E23:F23"/>
    <mergeCell ref="A43:A44"/>
    <mergeCell ref="C43:D43"/>
    <mergeCell ref="E43:F43"/>
    <mergeCell ref="G43:H43"/>
    <mergeCell ref="I43:K43"/>
    <mergeCell ref="B259:B271"/>
    <mergeCell ref="B272:B284"/>
    <mergeCell ref="G80:H80"/>
    <mergeCell ref="B233:B245"/>
    <mergeCell ref="B246:B258"/>
    <mergeCell ref="G117:H117"/>
    <mergeCell ref="H139:I139"/>
    <mergeCell ref="B298:B310"/>
    <mergeCell ref="B311:B323"/>
    <mergeCell ref="B324:B336"/>
    <mergeCell ref="B337:B349"/>
    <mergeCell ref="B350:B362"/>
    <mergeCell ref="B363:B375"/>
    <mergeCell ref="B376:B388"/>
    <mergeCell ref="B389:B401"/>
    <mergeCell ref="B402:B414"/>
    <mergeCell ref="B415:B4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13"/>
  <sheetViews>
    <sheetView tabSelected="1" topLeftCell="K1" zoomScale="40" zoomScaleNormal="40" workbookViewId="0">
      <selection activeCell="AN54" sqref="AN54:AS83"/>
    </sheetView>
  </sheetViews>
  <sheetFormatPr baseColWidth="10" defaultColWidth="10.85546875" defaultRowHeight="17.25"/>
  <cols>
    <col min="1" max="1" width="4.7109375" style="53" customWidth="1"/>
    <col min="2" max="2" width="56.85546875" style="53" customWidth="1"/>
    <col min="3" max="3" width="13" style="54" customWidth="1"/>
    <col min="4" max="4" width="9.7109375" style="54" customWidth="1"/>
    <col min="5" max="5" width="6.7109375" style="11" customWidth="1"/>
    <col min="6" max="6" width="6" style="53" customWidth="1"/>
    <col min="7" max="7" width="10" style="58" customWidth="1"/>
    <col min="8" max="8" width="28.85546875" style="53" customWidth="1"/>
    <col min="9" max="9" width="13" style="54" customWidth="1"/>
    <col min="10" max="10" width="14.7109375" style="11" customWidth="1"/>
    <col min="11" max="11" width="8.85546875" style="54" customWidth="1"/>
    <col min="12" max="12" width="7.140625" style="52" customWidth="1"/>
    <col min="13" max="13" width="5.7109375" style="54" customWidth="1"/>
    <col min="14" max="14" width="54.140625" style="54" customWidth="1"/>
    <col min="15" max="15" width="13" style="11" customWidth="1"/>
    <col min="16" max="16" width="6.42578125" style="11" customWidth="1"/>
    <col min="17" max="17" width="21.85546875" style="54" customWidth="1"/>
    <col min="18" max="18" width="61.5703125" style="53" customWidth="1"/>
    <col min="19" max="19" width="11.85546875" style="54" customWidth="1"/>
    <col min="20" max="20" width="10.85546875" style="54" customWidth="1"/>
    <col min="21" max="21" width="24.140625" style="54" bestFit="1" customWidth="1"/>
    <col min="22" max="22" width="22.140625" style="54" customWidth="1"/>
    <col min="23" max="23" width="20.140625" style="54" customWidth="1"/>
    <col min="24" max="24" width="13.5703125" style="11" customWidth="1"/>
    <col min="25" max="25" width="6.7109375" style="11" customWidth="1"/>
    <col min="26" max="26" width="37.85546875" style="53" customWidth="1"/>
    <col min="27" max="27" width="23.140625" style="54" customWidth="1"/>
    <col min="28" max="28" width="34.5703125" style="54" customWidth="1"/>
    <col min="29" max="29" width="8.85546875" style="11" customWidth="1"/>
    <col min="30" max="30" width="9.140625" style="11"/>
    <col min="31" max="31" width="15.140625" style="11" customWidth="1"/>
    <col min="32" max="33" width="10.85546875" style="11"/>
    <col min="34" max="34" width="14.42578125" style="11" customWidth="1"/>
    <col min="35" max="35" width="17.140625" style="11" customWidth="1"/>
    <col min="36" max="39" width="10.85546875" style="11"/>
    <col min="40" max="41" width="10.85546875" style="11" customWidth="1"/>
    <col min="42" max="16384" width="10.85546875" style="11"/>
  </cols>
  <sheetData>
    <row r="1" spans="1:45" s="258" customFormat="1" ht="78.95" customHeight="1" thickBot="1">
      <c r="A1" s="258" t="s">
        <v>91</v>
      </c>
    </row>
    <row r="2" spans="1:45" ht="30.95" customHeight="1">
      <c r="A2" s="252" t="s">
        <v>213</v>
      </c>
      <c r="B2" s="253"/>
      <c r="C2" s="253"/>
      <c r="D2" s="254"/>
      <c r="E2" s="208"/>
      <c r="F2" s="252" t="s">
        <v>137</v>
      </c>
      <c r="G2" s="253"/>
      <c r="H2" s="253"/>
      <c r="I2" s="253"/>
      <c r="J2" s="253"/>
      <c r="K2" s="254"/>
      <c r="L2" s="216"/>
      <c r="M2" s="252" t="s">
        <v>131</v>
      </c>
      <c r="N2" s="253"/>
      <c r="O2" s="254"/>
      <c r="P2" s="208"/>
      <c r="Q2" s="252" t="s">
        <v>258</v>
      </c>
      <c r="R2" s="253"/>
      <c r="S2" s="253"/>
      <c r="T2" s="253"/>
      <c r="U2" s="253"/>
      <c r="V2" s="253"/>
      <c r="W2" s="253"/>
      <c r="X2" s="255"/>
      <c r="Y2" s="252" t="s">
        <v>206</v>
      </c>
      <c r="Z2" s="253"/>
      <c r="AA2" s="253"/>
      <c r="AB2" s="254"/>
      <c r="AC2" s="207"/>
      <c r="AD2" s="252" t="s">
        <v>229</v>
      </c>
      <c r="AE2" s="253"/>
      <c r="AF2" s="253"/>
      <c r="AG2" s="253"/>
      <c r="AH2" s="253"/>
      <c r="AI2" s="253"/>
      <c r="AJ2" s="253"/>
      <c r="AK2" s="254"/>
      <c r="AL2" s="207"/>
      <c r="AM2" s="207"/>
      <c r="AN2" s="208"/>
      <c r="AO2" s="208"/>
      <c r="AP2" s="208"/>
      <c r="AQ2" s="208"/>
      <c r="AR2" s="208"/>
      <c r="AS2" s="208"/>
    </row>
    <row r="3" spans="1:45" ht="30.95" customHeight="1">
      <c r="A3" s="183" t="s">
        <v>67</v>
      </c>
      <c r="B3" s="184" t="s">
        <v>61</v>
      </c>
      <c r="C3" s="116" t="s">
        <v>62</v>
      </c>
      <c r="D3" s="185" t="s">
        <v>63</v>
      </c>
      <c r="E3" s="212"/>
      <c r="F3" s="183" t="s">
        <v>67</v>
      </c>
      <c r="G3" s="116" t="s">
        <v>69</v>
      </c>
      <c r="H3" s="184" t="s">
        <v>61</v>
      </c>
      <c r="I3" s="116" t="s">
        <v>195</v>
      </c>
      <c r="J3" s="116" t="s">
        <v>196</v>
      </c>
      <c r="K3" s="185" t="s">
        <v>138</v>
      </c>
      <c r="L3" s="216"/>
      <c r="M3" s="192" t="s">
        <v>67</v>
      </c>
      <c r="N3" s="193" t="s">
        <v>153</v>
      </c>
      <c r="O3" s="185" t="s">
        <v>75</v>
      </c>
      <c r="P3" s="208"/>
      <c r="Q3" s="183" t="s">
        <v>67</v>
      </c>
      <c r="R3" s="184" t="s">
        <v>122</v>
      </c>
      <c r="S3" s="116" t="s">
        <v>135</v>
      </c>
      <c r="T3" s="116" t="s">
        <v>93</v>
      </c>
      <c r="U3" s="116" t="s">
        <v>94</v>
      </c>
      <c r="V3" s="116" t="s">
        <v>95</v>
      </c>
      <c r="W3" s="193" t="s">
        <v>218</v>
      </c>
      <c r="X3" s="203" t="s">
        <v>95</v>
      </c>
      <c r="Y3" s="183" t="s">
        <v>67</v>
      </c>
      <c r="Z3" s="184" t="s">
        <v>61</v>
      </c>
      <c r="AA3" s="116" t="s">
        <v>62</v>
      </c>
      <c r="AB3" s="185" t="s">
        <v>63</v>
      </c>
      <c r="AC3" s="207"/>
      <c r="AD3" s="196" t="s">
        <v>67</v>
      </c>
      <c r="AE3" s="116" t="s">
        <v>161</v>
      </c>
      <c r="AF3" s="256" t="s">
        <v>246</v>
      </c>
      <c r="AG3" s="256"/>
      <c r="AH3" s="256" t="s">
        <v>247</v>
      </c>
      <c r="AI3" s="256"/>
      <c r="AJ3" s="256" t="s">
        <v>232</v>
      </c>
      <c r="AK3" s="257"/>
      <c r="AL3" s="208"/>
      <c r="AM3" s="208"/>
      <c r="AN3" s="208"/>
      <c r="AO3" s="208"/>
      <c r="AP3" s="208"/>
      <c r="AQ3" s="208"/>
      <c r="AR3" s="208"/>
      <c r="AS3" s="208"/>
    </row>
    <row r="4" spans="1:45" ht="24" customHeight="1">
      <c r="A4" s="183">
        <v>1</v>
      </c>
      <c r="B4" s="259" t="s">
        <v>260</v>
      </c>
      <c r="C4" s="122">
        <f>200000</f>
        <v>200000</v>
      </c>
      <c r="D4" s="125" t="s">
        <v>64</v>
      </c>
      <c r="E4" s="208"/>
      <c r="F4" s="183">
        <f>1</f>
        <v>1</v>
      </c>
      <c r="G4" s="250" t="s">
        <v>306</v>
      </c>
      <c r="H4" s="116" t="s">
        <v>3</v>
      </c>
      <c r="I4" s="122">
        <f>'Mass Balance'!D220</f>
        <v>228.61652272330269</v>
      </c>
      <c r="J4" s="122">
        <f>'Mass Balance'!E220</f>
        <v>63352.372700238935</v>
      </c>
      <c r="K4" s="125">
        <f>'Mass Balance'!F220</f>
        <v>0.13157397376160798</v>
      </c>
      <c r="L4" s="216"/>
      <c r="M4" s="192">
        <v>1</v>
      </c>
      <c r="N4" s="116" t="s">
        <v>76</v>
      </c>
      <c r="O4" s="185">
        <v>25</v>
      </c>
      <c r="P4" s="208"/>
      <c r="Q4" s="183">
        <v>1</v>
      </c>
      <c r="R4" s="184" t="s">
        <v>3</v>
      </c>
      <c r="S4" s="122">
        <f>'Cp Values'!B13</f>
        <v>1.0900000000000001</v>
      </c>
      <c r="T4" s="122">
        <v>0</v>
      </c>
      <c r="U4" s="122">
        <v>0</v>
      </c>
      <c r="V4" s="122">
        <v>0</v>
      </c>
      <c r="W4" s="122">
        <f>'Cp Values'!G13</f>
        <v>-1453.94</v>
      </c>
      <c r="X4" s="122">
        <v>0</v>
      </c>
      <c r="Y4" s="183">
        <v>1</v>
      </c>
      <c r="Z4" s="184" t="s">
        <v>143</v>
      </c>
      <c r="AA4" s="122">
        <f>Assumptions!B6</f>
        <v>2</v>
      </c>
      <c r="AB4" s="125" t="s">
        <v>145</v>
      </c>
      <c r="AC4" s="207"/>
      <c r="AD4" s="196"/>
      <c r="AE4" s="116" t="s">
        <v>153</v>
      </c>
      <c r="AF4" s="116" t="s">
        <v>159</v>
      </c>
      <c r="AG4" s="116" t="s">
        <v>160</v>
      </c>
      <c r="AH4" s="116" t="s">
        <v>159</v>
      </c>
      <c r="AI4" s="116" t="s">
        <v>160</v>
      </c>
      <c r="AJ4" s="116" t="s">
        <v>159</v>
      </c>
      <c r="AK4" s="185" t="s">
        <v>160</v>
      </c>
      <c r="AL4" s="208"/>
      <c r="AM4" s="208"/>
      <c r="AN4" s="208"/>
      <c r="AO4" s="208"/>
      <c r="AP4" s="208"/>
      <c r="AQ4" s="208"/>
      <c r="AR4" s="208"/>
      <c r="AS4" s="208"/>
    </row>
    <row r="5" spans="1:45" ht="24" customHeight="1">
      <c r="A5" s="183">
        <v>2</v>
      </c>
      <c r="B5" s="259"/>
      <c r="C5" s="122">
        <f>C4*1000/AA11</f>
        <v>25000</v>
      </c>
      <c r="D5" s="125" t="s">
        <v>250</v>
      </c>
      <c r="E5" s="208"/>
      <c r="F5" s="183">
        <f>F4+1</f>
        <v>2</v>
      </c>
      <c r="G5" s="250"/>
      <c r="H5" s="116" t="s">
        <v>293</v>
      </c>
      <c r="I5" s="122">
        <f>'Mass Balance'!D221</f>
        <v>1440.2840931568069</v>
      </c>
      <c r="J5" s="122">
        <f>'Mass Balance'!E221</f>
        <v>165788.94153714029</v>
      </c>
      <c r="K5" s="125">
        <f>'Mass Balance'!F221</f>
        <v>0.34432032951609065</v>
      </c>
      <c r="L5" s="216"/>
      <c r="M5" s="192">
        <v>2</v>
      </c>
      <c r="N5" s="116" t="s">
        <v>77</v>
      </c>
      <c r="O5" s="185">
        <v>100</v>
      </c>
      <c r="P5" s="208"/>
      <c r="Q5" s="183">
        <f>Q4+1</f>
        <v>2</v>
      </c>
      <c r="R5" s="184" t="s">
        <v>293</v>
      </c>
      <c r="S5" s="122">
        <f>'Cp Values'!B15</f>
        <v>1.423</v>
      </c>
      <c r="T5" s="122">
        <v>0</v>
      </c>
      <c r="U5" s="122">
        <v>0</v>
      </c>
      <c r="V5" s="122">
        <v>0</v>
      </c>
      <c r="W5" s="122">
        <f>'Cp Values'!G15</f>
        <v>-971.52479999999991</v>
      </c>
      <c r="X5" s="122">
        <v>0</v>
      </c>
      <c r="Y5" s="183">
        <v>2</v>
      </c>
      <c r="Z5" s="184" t="s">
        <v>144</v>
      </c>
      <c r="AA5" s="122">
        <v>11</v>
      </c>
      <c r="AB5" s="125" t="s">
        <v>145</v>
      </c>
      <c r="AC5" s="207"/>
      <c r="AD5" s="196">
        <v>1</v>
      </c>
      <c r="AE5" s="116" t="s">
        <v>180</v>
      </c>
      <c r="AF5" s="122">
        <v>10</v>
      </c>
      <c r="AG5" s="122">
        <v>50</v>
      </c>
      <c r="AH5" s="122">
        <v>25</v>
      </c>
      <c r="AI5" s="122">
        <v>70</v>
      </c>
      <c r="AJ5" s="122">
        <v>80</v>
      </c>
      <c r="AK5" s="125">
        <v>100</v>
      </c>
      <c r="AL5" s="208"/>
      <c r="AM5" s="208"/>
      <c r="AN5" s="208"/>
      <c r="AO5" s="208"/>
      <c r="AP5" s="208"/>
      <c r="AQ5" s="208"/>
      <c r="AR5" s="208"/>
      <c r="AS5" s="208"/>
    </row>
    <row r="6" spans="1:45" ht="24" customHeight="1" thickBot="1">
      <c r="A6" s="183">
        <v>3</v>
      </c>
      <c r="B6" s="184" t="s">
        <v>424</v>
      </c>
      <c r="C6" s="122">
        <v>3</v>
      </c>
      <c r="D6" s="125" t="s">
        <v>65</v>
      </c>
      <c r="E6" s="208"/>
      <c r="F6" s="183">
        <f t="shared" ref="F6:F69" si="0">F5+1</f>
        <v>3</v>
      </c>
      <c r="G6" s="250"/>
      <c r="H6" s="116" t="s">
        <v>5</v>
      </c>
      <c r="I6" s="122">
        <f>'Mass Balance'!D222</f>
        <v>0</v>
      </c>
      <c r="J6" s="122">
        <f>'Mass Balance'!E222</f>
        <v>0</v>
      </c>
      <c r="K6" s="125">
        <f>'Mass Balance'!F222</f>
        <v>0</v>
      </c>
      <c r="L6" s="216"/>
      <c r="M6" s="192">
        <v>3</v>
      </c>
      <c r="N6" s="116" t="s">
        <v>78</v>
      </c>
      <c r="O6" s="185">
        <v>100</v>
      </c>
      <c r="P6" s="208"/>
      <c r="Q6" s="183">
        <f t="shared" ref="Q6:Q22" si="1">Q5+1</f>
        <v>3</v>
      </c>
      <c r="R6" s="184" t="s">
        <v>5</v>
      </c>
      <c r="S6" s="122">
        <v>0</v>
      </c>
      <c r="T6" s="122">
        <v>0</v>
      </c>
      <c r="U6" s="122">
        <v>0</v>
      </c>
      <c r="V6" s="122">
        <v>0</v>
      </c>
      <c r="W6" s="122">
        <f>'Cp Values'!G14</f>
        <v>-1275.86896</v>
      </c>
      <c r="X6" s="122">
        <v>0</v>
      </c>
      <c r="Y6" s="183">
        <v>3</v>
      </c>
      <c r="Z6" s="184" t="s">
        <v>184</v>
      </c>
      <c r="AA6" s="122">
        <f>Assumptions!F6</f>
        <v>293</v>
      </c>
      <c r="AB6" s="125" t="s">
        <v>145</v>
      </c>
      <c r="AC6" s="207"/>
      <c r="AD6" s="200">
        <v>2</v>
      </c>
      <c r="AE6" s="191" t="s">
        <v>181</v>
      </c>
      <c r="AF6" s="189">
        <v>80</v>
      </c>
      <c r="AG6" s="189">
        <v>25</v>
      </c>
      <c r="AH6" s="189">
        <v>150</v>
      </c>
      <c r="AI6" s="189">
        <v>50</v>
      </c>
      <c r="AJ6" s="189">
        <v>150</v>
      </c>
      <c r="AK6" s="190">
        <v>60</v>
      </c>
      <c r="AL6" s="208"/>
      <c r="AM6" s="208"/>
      <c r="AN6" s="208"/>
      <c r="AO6" s="208"/>
      <c r="AP6" s="208"/>
      <c r="AQ6" s="208"/>
      <c r="AR6" s="208"/>
      <c r="AS6" s="208"/>
    </row>
    <row r="7" spans="1:45" ht="24" customHeight="1">
      <c r="A7" s="183">
        <v>4</v>
      </c>
      <c r="B7" s="184" t="s">
        <v>342</v>
      </c>
      <c r="C7" s="122">
        <v>0.91</v>
      </c>
      <c r="D7" s="125" t="s">
        <v>66</v>
      </c>
      <c r="E7" s="208"/>
      <c r="F7" s="183">
        <f t="shared" si="0"/>
        <v>4</v>
      </c>
      <c r="G7" s="250"/>
      <c r="H7" s="116" t="s">
        <v>6</v>
      </c>
      <c r="I7" s="122">
        <f>'Mass Balance'!D223</f>
        <v>0</v>
      </c>
      <c r="J7" s="122">
        <f>'Mass Balance'!E223</f>
        <v>0</v>
      </c>
      <c r="K7" s="125">
        <f>'Mass Balance'!F223</f>
        <v>0</v>
      </c>
      <c r="L7" s="216"/>
      <c r="M7" s="192">
        <v>4</v>
      </c>
      <c r="N7" s="116" t="s">
        <v>79</v>
      </c>
      <c r="O7" s="185">
        <v>25</v>
      </c>
      <c r="P7" s="208"/>
      <c r="Q7" s="183">
        <f t="shared" si="1"/>
        <v>4</v>
      </c>
      <c r="R7" s="184" t="s">
        <v>6</v>
      </c>
      <c r="S7" s="122">
        <f>'Cp Values'!B7</f>
        <v>-6.0765909999999996</v>
      </c>
      <c r="T7" s="122">
        <f>'Cp Values'!C7</f>
        <v>251.6755</v>
      </c>
      <c r="U7" s="122">
        <f>'Cp Values'!D7</f>
        <v>-324.79640000000001</v>
      </c>
      <c r="V7" s="122">
        <f>'Cp Values'!E7</f>
        <v>168.56039999999999</v>
      </c>
      <c r="W7" s="122">
        <f>'Cp Values'!I7</f>
        <v>-910.86</v>
      </c>
      <c r="X7" s="122">
        <f>'Cp Values'!F7</f>
        <v>2.5479999999999999E-3</v>
      </c>
      <c r="Y7" s="183">
        <v>4</v>
      </c>
      <c r="Z7" s="184" t="s">
        <v>185</v>
      </c>
      <c r="AA7" s="122">
        <f>Assumptions!R6</f>
        <v>0</v>
      </c>
      <c r="AB7" s="125" t="s">
        <v>146</v>
      </c>
      <c r="AC7" s="207"/>
      <c r="AD7" s="209"/>
      <c r="AE7" s="209"/>
      <c r="AF7" s="209"/>
      <c r="AG7" s="209"/>
      <c r="AH7" s="209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</row>
    <row r="8" spans="1:45" ht="24" customHeight="1">
      <c r="A8" s="183">
        <v>5</v>
      </c>
      <c r="B8" s="184" t="s">
        <v>68</v>
      </c>
      <c r="C8" s="122">
        <v>0.4</v>
      </c>
      <c r="D8" s="125" t="s">
        <v>66</v>
      </c>
      <c r="E8" s="208"/>
      <c r="F8" s="183">
        <f t="shared" si="0"/>
        <v>5</v>
      </c>
      <c r="G8" s="250"/>
      <c r="H8" s="116" t="s">
        <v>7</v>
      </c>
      <c r="I8" s="122">
        <f>'Mass Balance'!D224</f>
        <v>13387.400338066638</v>
      </c>
      <c r="J8" s="122">
        <f>'Mass Balance'!E224</f>
        <v>241175.08808229753</v>
      </c>
      <c r="K8" s="125">
        <f>'Mass Balance'!F224</f>
        <v>0.50088676017613509</v>
      </c>
      <c r="L8" s="216"/>
      <c r="M8" s="192">
        <v>5</v>
      </c>
      <c r="N8" s="116" t="s">
        <v>80</v>
      </c>
      <c r="O8" s="185">
        <v>25</v>
      </c>
      <c r="P8" s="208"/>
      <c r="Q8" s="183">
        <f t="shared" si="1"/>
        <v>5</v>
      </c>
      <c r="R8" s="184" t="s">
        <v>7</v>
      </c>
      <c r="S8" s="122">
        <f>'Cp Values'!B2</f>
        <v>-203.60599999999999</v>
      </c>
      <c r="T8" s="122">
        <f>'Cp Values'!C2</f>
        <v>1523.29</v>
      </c>
      <c r="U8" s="122">
        <f>'Cp Values'!D2</f>
        <v>-3196.413</v>
      </c>
      <c r="V8" s="122">
        <f>'Cp Values'!E2</f>
        <v>2474.4549999999999</v>
      </c>
      <c r="W8" s="122">
        <f>'Cp Values'!I2</f>
        <v>-285.83999999999997</v>
      </c>
      <c r="X8" s="122">
        <f>'Cp Values'!F2</f>
        <v>3.8553259999999998</v>
      </c>
      <c r="Y8" s="183">
        <v>5</v>
      </c>
      <c r="Z8" s="184" t="s">
        <v>151</v>
      </c>
      <c r="AA8" s="122">
        <f>Assumptions!B14</f>
        <v>0.8</v>
      </c>
      <c r="AB8" s="125" t="s">
        <v>66</v>
      </c>
      <c r="AC8" s="207"/>
      <c r="AD8" s="209"/>
      <c r="AE8" s="209"/>
      <c r="AF8" s="209"/>
      <c r="AG8" s="209"/>
      <c r="AH8" s="210">
        <v>-0.75</v>
      </c>
      <c r="AI8" s="211">
        <v>0.75</v>
      </c>
      <c r="AJ8" s="208"/>
      <c r="AK8" s="208"/>
      <c r="AL8" s="208"/>
      <c r="AM8" s="208"/>
      <c r="AN8" s="208"/>
      <c r="AO8" s="208"/>
      <c r="AP8" s="208"/>
      <c r="AQ8" s="208"/>
      <c r="AR8" s="208"/>
      <c r="AS8" s="208"/>
    </row>
    <row r="9" spans="1:45" ht="24" customHeight="1">
      <c r="A9" s="183">
        <v>6</v>
      </c>
      <c r="B9" s="184" t="s">
        <v>70</v>
      </c>
      <c r="C9" s="122">
        <v>0.1</v>
      </c>
      <c r="D9" s="125" t="s">
        <v>66</v>
      </c>
      <c r="E9" s="208"/>
      <c r="F9" s="183">
        <f t="shared" si="0"/>
        <v>6</v>
      </c>
      <c r="G9" s="250"/>
      <c r="H9" s="116" t="s">
        <v>292</v>
      </c>
      <c r="I9" s="122">
        <f>'Mass Balance'!D225</f>
        <v>0</v>
      </c>
      <c r="J9" s="122">
        <f>'Mass Balance'!E225</f>
        <v>0</v>
      </c>
      <c r="K9" s="125">
        <f>'Mass Balance'!F225</f>
        <v>0</v>
      </c>
      <c r="L9" s="216"/>
      <c r="M9" s="192">
        <v>6</v>
      </c>
      <c r="N9" s="116" t="s">
        <v>81</v>
      </c>
      <c r="O9" s="185">
        <v>80</v>
      </c>
      <c r="P9" s="208"/>
      <c r="Q9" s="183">
        <f t="shared" si="1"/>
        <v>6</v>
      </c>
      <c r="R9" s="184" t="s">
        <v>292</v>
      </c>
      <c r="S9" s="122">
        <f>'Cp Values'!B15</f>
        <v>1.423</v>
      </c>
      <c r="T9" s="122">
        <v>0</v>
      </c>
      <c r="U9" s="122">
        <v>0</v>
      </c>
      <c r="V9" s="122">
        <v>0</v>
      </c>
      <c r="W9" s="122">
        <f>'Cp Values'!G15</f>
        <v>-971.52479999999991</v>
      </c>
      <c r="X9" s="122">
        <v>0</v>
      </c>
      <c r="Y9" s="183">
        <v>6</v>
      </c>
      <c r="Z9" s="184" t="s">
        <v>226</v>
      </c>
      <c r="AA9" s="122">
        <f>Assumptions!B15</f>
        <v>10</v>
      </c>
      <c r="AB9" s="125" t="s">
        <v>225</v>
      </c>
      <c r="AC9" s="207"/>
      <c r="AD9" s="209"/>
      <c r="AE9" s="260" t="s">
        <v>387</v>
      </c>
      <c r="AF9" s="261"/>
      <c r="AG9" s="261"/>
      <c r="AH9" s="261"/>
      <c r="AI9" s="261"/>
      <c r="AJ9" s="261"/>
      <c r="AK9" s="261"/>
      <c r="AL9" s="261"/>
      <c r="AM9" s="262"/>
      <c r="AN9" s="208"/>
      <c r="AO9" s="208"/>
      <c r="AP9" s="208"/>
      <c r="AQ9" s="208"/>
      <c r="AR9" s="208"/>
      <c r="AS9" s="208"/>
    </row>
    <row r="10" spans="1:45" ht="24" customHeight="1">
      <c r="A10" s="183">
        <v>7</v>
      </c>
      <c r="B10" s="184" t="s">
        <v>343</v>
      </c>
      <c r="C10" s="122">
        <v>1</v>
      </c>
      <c r="D10" s="125" t="s">
        <v>66</v>
      </c>
      <c r="E10" s="208"/>
      <c r="F10" s="183">
        <f t="shared" si="0"/>
        <v>7</v>
      </c>
      <c r="G10" s="250"/>
      <c r="H10" s="116" t="s">
        <v>9</v>
      </c>
      <c r="I10" s="122">
        <f>'Mass Balance'!D226</f>
        <v>27.95811739614641</v>
      </c>
      <c r="J10" s="122">
        <f>'Mass Balance'!E226</f>
        <v>11179.830476512756</v>
      </c>
      <c r="K10" s="125">
        <f>'Mass Balance'!F226</f>
        <v>2.3218936546166122E-2</v>
      </c>
      <c r="L10" s="216"/>
      <c r="M10" s="192">
        <v>7</v>
      </c>
      <c r="N10" s="116" t="s">
        <v>82</v>
      </c>
      <c r="O10" s="185">
        <v>80</v>
      </c>
      <c r="P10" s="208"/>
      <c r="Q10" s="183">
        <f t="shared" si="1"/>
        <v>7</v>
      </c>
      <c r="R10" s="184" t="s">
        <v>9</v>
      </c>
      <c r="S10" s="122">
        <f>'Cp Values'!B3</f>
        <v>85.697940000000003</v>
      </c>
      <c r="T10" s="122">
        <f>'Cp Values'!C3</f>
        <v>803.97649999999999</v>
      </c>
      <c r="U10" s="122">
        <f>'Cp Values'!D3</f>
        <v>-695.75739999999996</v>
      </c>
      <c r="V10" s="122">
        <v>0</v>
      </c>
      <c r="W10" s="122">
        <f>'Cp Values'!I3</f>
        <v>-2585.1999999999998</v>
      </c>
      <c r="X10" s="122">
        <v>0</v>
      </c>
      <c r="Y10" s="183">
        <v>7</v>
      </c>
      <c r="Z10" s="184" t="s">
        <v>224</v>
      </c>
      <c r="AA10" s="122">
        <v>1</v>
      </c>
      <c r="AB10" s="125" t="s">
        <v>154</v>
      </c>
      <c r="AC10" s="207"/>
      <c r="AD10" s="209"/>
      <c r="AE10" s="159" t="s">
        <v>388</v>
      </c>
      <c r="AF10" s="160" t="s">
        <v>389</v>
      </c>
      <c r="AG10" s="160" t="s">
        <v>390</v>
      </c>
      <c r="AH10" s="160" t="s">
        <v>391</v>
      </c>
      <c r="AI10" s="161" t="s">
        <v>392</v>
      </c>
      <c r="AJ10" s="161" t="s">
        <v>393</v>
      </c>
      <c r="AK10" s="161" t="s">
        <v>418</v>
      </c>
      <c r="AL10" s="161" t="s">
        <v>419</v>
      </c>
      <c r="AM10" s="161" t="s">
        <v>394</v>
      </c>
      <c r="AN10" s="208"/>
      <c r="AO10" s="208"/>
      <c r="AP10" s="208"/>
      <c r="AQ10" s="208"/>
      <c r="AR10" s="208"/>
      <c r="AS10" s="208"/>
    </row>
    <row r="11" spans="1:45" ht="24" customHeight="1">
      <c r="A11" s="183">
        <v>8</v>
      </c>
      <c r="B11" s="184" t="s">
        <v>71</v>
      </c>
      <c r="C11" s="122">
        <v>0.1</v>
      </c>
      <c r="D11" s="125" t="s">
        <v>66</v>
      </c>
      <c r="E11" s="208"/>
      <c r="F11" s="183">
        <f t="shared" si="0"/>
        <v>8</v>
      </c>
      <c r="G11" s="250"/>
      <c r="H11" s="116" t="s">
        <v>27</v>
      </c>
      <c r="I11" s="122">
        <f>'Mass Balance'!D227</f>
        <v>0</v>
      </c>
      <c r="J11" s="122">
        <f>'Mass Balance'!E227</f>
        <v>0</v>
      </c>
      <c r="K11" s="125">
        <f>'Mass Balance'!F227</f>
        <v>0</v>
      </c>
      <c r="L11" s="216"/>
      <c r="M11" s="192">
        <v>8</v>
      </c>
      <c r="N11" s="116" t="s">
        <v>83</v>
      </c>
      <c r="O11" s="185">
        <v>25</v>
      </c>
      <c r="P11" s="208"/>
      <c r="Q11" s="183">
        <f t="shared" si="1"/>
        <v>8</v>
      </c>
      <c r="R11" s="184" t="s">
        <v>27</v>
      </c>
      <c r="S11" s="122">
        <f>'Cp Values'!B6</f>
        <v>9.8000000000000007</v>
      </c>
      <c r="T11" s="122">
        <f>'Cp Values'!C6</f>
        <v>3.6799999999999999E-2</v>
      </c>
      <c r="U11" s="122">
        <v>0</v>
      </c>
      <c r="V11" s="122">
        <v>0</v>
      </c>
      <c r="W11" s="122">
        <f>'Cp Values'!I6</f>
        <v>-374.84456</v>
      </c>
      <c r="X11" s="122">
        <v>0</v>
      </c>
      <c r="Y11" s="183">
        <v>8</v>
      </c>
      <c r="Z11" s="184" t="s">
        <v>193</v>
      </c>
      <c r="AA11" s="122">
        <v>8000</v>
      </c>
      <c r="AB11" s="125" t="s">
        <v>194</v>
      </c>
      <c r="AC11" s="207"/>
      <c r="AD11" s="207"/>
      <c r="AE11" s="159">
        <v>1</v>
      </c>
      <c r="AF11" s="162" t="s">
        <v>395</v>
      </c>
      <c r="AG11" s="155">
        <v>0.95</v>
      </c>
      <c r="AH11" s="155">
        <f>AG11*(1+AH$8)</f>
        <v>0.23749999999999999</v>
      </c>
      <c r="AI11" s="155">
        <v>1</v>
      </c>
      <c r="AJ11">
        <v>1</v>
      </c>
      <c r="AK11">
        <v>46</v>
      </c>
      <c r="AL11">
        <v>1</v>
      </c>
      <c r="AM11" s="163" t="s">
        <v>396</v>
      </c>
      <c r="AN11" s="208"/>
      <c r="AO11" s="208"/>
      <c r="AP11" s="208"/>
      <c r="AQ11" s="208"/>
      <c r="AR11" s="208"/>
      <c r="AS11" s="208"/>
    </row>
    <row r="12" spans="1:45" ht="24" customHeight="1">
      <c r="A12" s="183">
        <v>9</v>
      </c>
      <c r="B12" s="184" t="s">
        <v>341</v>
      </c>
      <c r="C12" s="122">
        <v>0.95</v>
      </c>
      <c r="D12" s="125" t="s">
        <v>66</v>
      </c>
      <c r="E12" s="208"/>
      <c r="F12" s="183">
        <f t="shared" si="0"/>
        <v>9</v>
      </c>
      <c r="G12" s="250"/>
      <c r="H12" s="116" t="s">
        <v>28</v>
      </c>
      <c r="I12" s="122">
        <f>'Mass Balance'!D228</f>
        <v>0</v>
      </c>
      <c r="J12" s="122">
        <f>'Mass Balance'!E228</f>
        <v>0</v>
      </c>
      <c r="K12" s="125">
        <f>'Mass Balance'!F228</f>
        <v>0</v>
      </c>
      <c r="L12" s="216"/>
      <c r="M12" s="192">
        <v>9</v>
      </c>
      <c r="N12" s="116" t="s">
        <v>288</v>
      </c>
      <c r="O12" s="185">
        <v>100</v>
      </c>
      <c r="P12" s="208"/>
      <c r="Q12" s="183">
        <f t="shared" si="1"/>
        <v>9</v>
      </c>
      <c r="R12" s="184" t="s">
        <v>28</v>
      </c>
      <c r="S12" s="122">
        <f>'Cp Values'!B8</f>
        <v>56.707009999999997</v>
      </c>
      <c r="T12" s="122">
        <f>'Cp Values'!C8</f>
        <v>132.13570000000001</v>
      </c>
      <c r="U12" s="122">
        <f>'Cp Values'!D8</f>
        <v>-83.599670000000003</v>
      </c>
      <c r="V12" s="122">
        <f>'Cp Values'!E8</f>
        <v>17.254650000000002</v>
      </c>
      <c r="W12" s="122">
        <f>'Cp Values'!I8</f>
        <v>-574.04</v>
      </c>
      <c r="X12" s="122">
        <f>'Cp Values'!F8</f>
        <v>0.71126699999999998</v>
      </c>
      <c r="Y12" s="183">
        <v>9</v>
      </c>
      <c r="Z12" s="184" t="s">
        <v>191</v>
      </c>
      <c r="AA12" s="122">
        <f>Assumptions!B17</f>
        <v>7</v>
      </c>
      <c r="AB12" s="125" t="s">
        <v>192</v>
      </c>
      <c r="AC12" s="207"/>
      <c r="AD12" s="207"/>
      <c r="AE12" s="159">
        <v>2</v>
      </c>
      <c r="AF12" s="164" t="s">
        <v>397</v>
      </c>
      <c r="AG12" s="155">
        <f>C46</f>
        <v>1.2839</v>
      </c>
      <c r="AH12" s="155">
        <f t="shared" ref="AH12:AH32" si="2">AG12*(1+AH$8)</f>
        <v>0.32097500000000001</v>
      </c>
      <c r="AI12" s="155">
        <f>AG12*(1+$AI$8)</f>
        <v>2.2468250000000003</v>
      </c>
      <c r="AJ12">
        <v>1</v>
      </c>
      <c r="AK12">
        <v>43</v>
      </c>
      <c r="AL12">
        <v>1</v>
      </c>
      <c r="AM12" s="165" t="s">
        <v>398</v>
      </c>
      <c r="AN12" s="208"/>
      <c r="AO12" s="208"/>
      <c r="AP12" s="208"/>
      <c r="AQ12" s="208"/>
      <c r="AR12" s="208"/>
      <c r="AS12" s="208"/>
    </row>
    <row r="13" spans="1:45" ht="24" customHeight="1">
      <c r="A13" s="183">
        <v>10</v>
      </c>
      <c r="B13" s="184" t="s">
        <v>72</v>
      </c>
      <c r="C13" s="122">
        <v>0.1</v>
      </c>
      <c r="D13" s="125" t="s">
        <v>66</v>
      </c>
      <c r="E13" s="208"/>
      <c r="F13" s="183">
        <f t="shared" si="0"/>
        <v>10</v>
      </c>
      <c r="G13" s="250"/>
      <c r="H13" s="116" t="s">
        <v>39</v>
      </c>
      <c r="I13" s="122">
        <f>'Mass Balance'!D229</f>
        <v>0</v>
      </c>
      <c r="J13" s="122">
        <f>'Mass Balance'!E229</f>
        <v>0</v>
      </c>
      <c r="K13" s="125">
        <f>'Mass Balance'!F229</f>
        <v>0</v>
      </c>
      <c r="L13" s="216"/>
      <c r="M13" s="192">
        <v>10</v>
      </c>
      <c r="N13" s="116" t="s">
        <v>84</v>
      </c>
      <c r="O13" s="185">
        <v>100</v>
      </c>
      <c r="P13" s="208"/>
      <c r="Q13" s="183">
        <f t="shared" si="1"/>
        <v>10</v>
      </c>
      <c r="R13" s="184" t="s">
        <v>324</v>
      </c>
      <c r="S13" s="122">
        <f>'Cp Values'!B9</f>
        <v>44.936999999999998</v>
      </c>
      <c r="T13" s="122">
        <f>'Cp Values'!C9</f>
        <v>149.70849999999999</v>
      </c>
      <c r="U13" s="122">
        <f>'Cp Values'!D9</f>
        <v>-74.182739999999995</v>
      </c>
      <c r="V13" s="122">
        <f>'Cp Values'!E9</f>
        <v>11.976699999999999</v>
      </c>
      <c r="W13" s="122">
        <f>'Cp Values'!I9</f>
        <v>-1095.8</v>
      </c>
      <c r="X13" s="122">
        <f>'Cp Values'!F9</f>
        <v>-0.62926099999999996</v>
      </c>
      <c r="Y13" s="183">
        <v>10</v>
      </c>
      <c r="Z13" s="204" t="s">
        <v>203</v>
      </c>
      <c r="AA13" s="122">
        <v>0.2</v>
      </c>
      <c r="AB13" s="125" t="s">
        <v>152</v>
      </c>
      <c r="AC13" s="207"/>
      <c r="AD13" s="207"/>
      <c r="AE13" s="159">
        <v>3</v>
      </c>
      <c r="AF13" s="166" t="s">
        <v>399</v>
      </c>
      <c r="AG13" s="167">
        <f>AA10</f>
        <v>1</v>
      </c>
      <c r="AH13" s="155">
        <f t="shared" si="2"/>
        <v>0.25</v>
      </c>
      <c r="AI13" s="155">
        <f t="shared" ref="AI13:AI32" si="3">AG13*(1+$AI$8)</f>
        <v>1.75</v>
      </c>
      <c r="AJ13" s="168">
        <v>5</v>
      </c>
      <c r="AK13" s="168">
        <v>21</v>
      </c>
      <c r="AL13" s="168">
        <v>1</v>
      </c>
      <c r="AM13" s="169">
        <v>22</v>
      </c>
      <c r="AN13" s="208"/>
      <c r="AO13" s="208"/>
      <c r="AP13" s="208"/>
      <c r="AQ13" s="208"/>
      <c r="AR13" s="208"/>
      <c r="AS13" s="208"/>
    </row>
    <row r="14" spans="1:45" ht="24" customHeight="1">
      <c r="A14" s="183">
        <v>11</v>
      </c>
      <c r="B14" s="184" t="s">
        <v>74</v>
      </c>
      <c r="C14" s="122">
        <v>0.98</v>
      </c>
      <c r="D14" s="125" t="s">
        <v>66</v>
      </c>
      <c r="E14" s="208"/>
      <c r="F14" s="183">
        <f t="shared" si="0"/>
        <v>11</v>
      </c>
      <c r="G14" s="250"/>
      <c r="H14" s="116" t="s">
        <v>291</v>
      </c>
      <c r="I14" s="122">
        <f>'Mass Balance'!D230</f>
        <v>0</v>
      </c>
      <c r="J14" s="122">
        <f>'Mass Balance'!E230</f>
        <v>0</v>
      </c>
      <c r="K14" s="125">
        <f>'Mass Balance'!F230</f>
        <v>0</v>
      </c>
      <c r="L14" s="221"/>
      <c r="M14" s="192">
        <v>11</v>
      </c>
      <c r="N14" s="116" t="s">
        <v>327</v>
      </c>
      <c r="O14" s="185">
        <v>330</v>
      </c>
      <c r="P14" s="208"/>
      <c r="Q14" s="183">
        <f t="shared" si="1"/>
        <v>11</v>
      </c>
      <c r="R14" s="184" t="s">
        <v>291</v>
      </c>
      <c r="S14" s="122">
        <f>'Cp Values'!B17</f>
        <v>1.1185911544903031</v>
      </c>
      <c r="T14" s="122">
        <v>0</v>
      </c>
      <c r="U14" s="122">
        <v>0</v>
      </c>
      <c r="V14" s="122">
        <v>0</v>
      </c>
      <c r="W14" s="122">
        <f>'Cp Values'!G17</f>
        <v>-849.4</v>
      </c>
      <c r="X14" s="122">
        <v>0</v>
      </c>
      <c r="Y14" s="183">
        <v>11</v>
      </c>
      <c r="Z14" s="204" t="s">
        <v>204</v>
      </c>
      <c r="AA14" s="122">
        <v>1</v>
      </c>
      <c r="AB14" s="125" t="s">
        <v>123</v>
      </c>
      <c r="AC14" s="207"/>
      <c r="AD14" s="207"/>
      <c r="AE14" s="159">
        <v>4</v>
      </c>
      <c r="AF14" s="166" t="s">
        <v>400</v>
      </c>
      <c r="AG14" s="155">
        <f>O5</f>
        <v>100</v>
      </c>
      <c r="AH14" s="155">
        <f t="shared" si="2"/>
        <v>25</v>
      </c>
      <c r="AI14" s="155">
        <f t="shared" si="3"/>
        <v>175</v>
      </c>
      <c r="AJ14" s="155">
        <v>3</v>
      </c>
      <c r="AK14" s="155">
        <v>2</v>
      </c>
      <c r="AL14" s="155">
        <v>1</v>
      </c>
      <c r="AM14" s="155"/>
      <c r="AN14" s="208"/>
      <c r="AO14" s="208"/>
      <c r="AP14" s="208"/>
      <c r="AQ14" s="208"/>
      <c r="AR14" s="208"/>
      <c r="AS14" s="208"/>
    </row>
    <row r="15" spans="1:45" ht="24" customHeight="1">
      <c r="A15" s="183">
        <v>12</v>
      </c>
      <c r="B15" s="184" t="s">
        <v>73</v>
      </c>
      <c r="C15" s="122">
        <v>1</v>
      </c>
      <c r="D15" s="125" t="s">
        <v>66</v>
      </c>
      <c r="E15" s="208"/>
      <c r="F15" s="183">
        <f t="shared" si="0"/>
        <v>12</v>
      </c>
      <c r="G15" s="250"/>
      <c r="H15" s="116" t="s">
        <v>40</v>
      </c>
      <c r="I15" s="122">
        <f>'Mass Balance'!D231</f>
        <v>0</v>
      </c>
      <c r="J15" s="122">
        <f>'Mass Balance'!E231</f>
        <v>0</v>
      </c>
      <c r="K15" s="125">
        <f>'Mass Balance'!F231</f>
        <v>0</v>
      </c>
      <c r="L15" s="221"/>
      <c r="M15" s="192"/>
      <c r="N15" s="116"/>
      <c r="O15" s="185"/>
      <c r="P15" s="208"/>
      <c r="Q15" s="183">
        <f t="shared" si="1"/>
        <v>12</v>
      </c>
      <c r="R15" s="184" t="s">
        <v>40</v>
      </c>
      <c r="S15" s="122">
        <f>'Cp Values'!B4</f>
        <v>24.997350000000001</v>
      </c>
      <c r="T15" s="122">
        <f>'Cp Values'!C4</f>
        <v>55.186959999999999</v>
      </c>
      <c r="U15" s="122">
        <f>'Cp Values'!D4</f>
        <v>-33.691369999999999</v>
      </c>
      <c r="V15" s="122">
        <f>'Cp Values'!E4</f>
        <v>7.9483870000000003</v>
      </c>
      <c r="W15" s="122">
        <f>'Cp Values'!I4</f>
        <v>-393.5</v>
      </c>
      <c r="X15" s="122">
        <f>'Cp Values'!F4</f>
        <v>-0.13663800000000001</v>
      </c>
      <c r="Y15" s="183">
        <v>12</v>
      </c>
      <c r="Z15" s="184" t="s">
        <v>205</v>
      </c>
      <c r="AA15" s="122">
        <v>0.1</v>
      </c>
      <c r="AB15" s="125" t="s">
        <v>123</v>
      </c>
      <c r="AC15" s="207"/>
      <c r="AD15" s="207"/>
      <c r="AE15" s="159">
        <v>5</v>
      </c>
      <c r="AF15" s="166" t="s">
        <v>401</v>
      </c>
      <c r="AG15" s="179">
        <f>C7</f>
        <v>0.91</v>
      </c>
      <c r="AH15" s="155">
        <f t="shared" si="2"/>
        <v>0.22750000000000001</v>
      </c>
      <c r="AI15" s="155">
        <v>1</v>
      </c>
      <c r="AJ15" s="155">
        <v>1</v>
      </c>
      <c r="AK15" s="155">
        <v>4</v>
      </c>
      <c r="AL15" s="155">
        <v>1</v>
      </c>
      <c r="AM15" s="155"/>
      <c r="AN15" s="208"/>
      <c r="AO15" s="208"/>
      <c r="AP15" s="208"/>
      <c r="AQ15" s="208"/>
      <c r="AR15" s="208"/>
      <c r="AS15" s="208"/>
    </row>
    <row r="16" spans="1:45" ht="24" customHeight="1" thickBot="1">
      <c r="A16" s="183">
        <v>13</v>
      </c>
      <c r="B16" s="184" t="s">
        <v>85</v>
      </c>
      <c r="C16" s="122">
        <v>-141.1</v>
      </c>
      <c r="D16" s="125" t="s">
        <v>90</v>
      </c>
      <c r="E16" s="208"/>
      <c r="F16" s="183">
        <f t="shared" si="0"/>
        <v>13</v>
      </c>
      <c r="G16" s="250"/>
      <c r="H16" s="116" t="s">
        <v>54</v>
      </c>
      <c r="I16" s="122">
        <f>'Mass Balance'!D232</f>
        <v>0</v>
      </c>
      <c r="J16" s="122">
        <f>'Mass Balance'!E232</f>
        <v>0</v>
      </c>
      <c r="K16" s="125">
        <f>'Mass Balance'!F232</f>
        <v>0</v>
      </c>
      <c r="L16" s="221"/>
      <c r="M16" s="194"/>
      <c r="N16" s="191"/>
      <c r="O16" s="195"/>
      <c r="P16" s="208"/>
      <c r="Q16" s="183">
        <f t="shared" si="1"/>
        <v>13</v>
      </c>
      <c r="R16" s="184" t="s">
        <v>54</v>
      </c>
      <c r="S16" s="122">
        <f>'Cp Values'!B5</f>
        <v>19.995629999999998</v>
      </c>
      <c r="T16" s="122">
        <f>'Cp Values'!C5</f>
        <v>49.771189999999997</v>
      </c>
      <c r="U16" s="122">
        <f>'Cp Values'!D5</f>
        <v>-15.37599</v>
      </c>
      <c r="V16" s="122">
        <f>'Cp Values'!E5</f>
        <v>1.921168</v>
      </c>
      <c r="W16" s="122">
        <f>'Cp Values'!I5</f>
        <v>-45.856639999999999</v>
      </c>
      <c r="X16" s="122">
        <f>'Cp Values'!F5</f>
        <v>0.18917400000000001</v>
      </c>
      <c r="Y16" s="183">
        <v>13</v>
      </c>
      <c r="Z16" s="184" t="s">
        <v>208</v>
      </c>
      <c r="AA16" s="122">
        <v>1</v>
      </c>
      <c r="AB16" s="125" t="s">
        <v>123</v>
      </c>
      <c r="AC16" s="207"/>
      <c r="AD16" s="207"/>
      <c r="AE16" s="159">
        <v>6</v>
      </c>
      <c r="AF16" s="170" t="s">
        <v>402</v>
      </c>
      <c r="AG16" s="180">
        <f>C51</f>
        <v>0.3</v>
      </c>
      <c r="AH16" s="155">
        <f t="shared" si="2"/>
        <v>7.4999999999999997E-2</v>
      </c>
      <c r="AI16" s="155">
        <f t="shared" si="3"/>
        <v>0.52500000000000002</v>
      </c>
      <c r="AJ16" s="155">
        <v>1</v>
      </c>
      <c r="AK16" s="155">
        <v>48</v>
      </c>
      <c r="AL16" s="155">
        <v>1</v>
      </c>
      <c r="AM16" s="155"/>
      <c r="AN16" s="208"/>
      <c r="AO16" s="208"/>
      <c r="AP16" s="208"/>
      <c r="AQ16" s="208"/>
      <c r="AR16" s="208"/>
      <c r="AS16" s="208"/>
    </row>
    <row r="17" spans="1:45" ht="24" customHeight="1" thickBot="1">
      <c r="A17" s="183">
        <v>14</v>
      </c>
      <c r="B17" s="184" t="s">
        <v>86</v>
      </c>
      <c r="C17" s="122">
        <v>-116</v>
      </c>
      <c r="D17" s="125" t="s">
        <v>90</v>
      </c>
      <c r="E17" s="208"/>
      <c r="F17" s="183">
        <f t="shared" si="0"/>
        <v>14</v>
      </c>
      <c r="G17" s="250" t="s">
        <v>294</v>
      </c>
      <c r="H17" s="116" t="s">
        <v>3</v>
      </c>
      <c r="I17" s="122">
        <f>'Mass Balance'!D233</f>
        <v>20.575487045097248</v>
      </c>
      <c r="J17" s="122">
        <f>'Mass Balance'!E233</f>
        <v>5701.7135430215058</v>
      </c>
      <c r="K17" s="125">
        <f>'Mass Balance'!F233</f>
        <v>1.1841657638544723E-2</v>
      </c>
      <c r="L17" s="222"/>
      <c r="M17" s="215"/>
      <c r="N17" s="220" t="s">
        <v>142</v>
      </c>
      <c r="O17" s="208"/>
      <c r="P17" s="208"/>
      <c r="Q17" s="183">
        <f t="shared" si="1"/>
        <v>14</v>
      </c>
      <c r="R17" s="184" t="s">
        <v>219</v>
      </c>
      <c r="S17" s="122">
        <v>37.777777780000001</v>
      </c>
      <c r="T17" s="122">
        <v>148.88888890000001</v>
      </c>
      <c r="U17" s="122">
        <v>260</v>
      </c>
      <c r="V17" s="122">
        <v>371.11111110000002</v>
      </c>
      <c r="W17" s="122">
        <v>482.22222219999998</v>
      </c>
      <c r="X17" s="122">
        <f>'Cp Values'!F16</f>
        <v>0</v>
      </c>
      <c r="Y17" s="183">
        <v>14</v>
      </c>
      <c r="Z17" s="184" t="s">
        <v>334</v>
      </c>
      <c r="AA17" s="122">
        <v>15</v>
      </c>
      <c r="AB17" s="125" t="s">
        <v>141</v>
      </c>
      <c r="AC17" s="207"/>
      <c r="AD17" s="207"/>
      <c r="AE17" s="159">
        <v>7</v>
      </c>
      <c r="AF17" s="159" t="s">
        <v>403</v>
      </c>
      <c r="AG17" s="155">
        <v>20</v>
      </c>
      <c r="AH17" s="155">
        <f t="shared" si="2"/>
        <v>5</v>
      </c>
      <c r="AI17" s="155">
        <f t="shared" si="3"/>
        <v>35</v>
      </c>
      <c r="AJ17" s="155">
        <v>5</v>
      </c>
      <c r="AK17" s="155">
        <v>64</v>
      </c>
      <c r="AL17" s="155">
        <v>1</v>
      </c>
      <c r="AM17" s="155"/>
      <c r="AN17" s="208"/>
      <c r="AO17" s="208"/>
      <c r="AP17" s="208"/>
      <c r="AQ17" s="208"/>
      <c r="AR17" s="208"/>
      <c r="AS17" s="208"/>
    </row>
    <row r="18" spans="1:45" ht="24" customHeight="1">
      <c r="A18" s="183">
        <v>15</v>
      </c>
      <c r="B18" s="184" t="s">
        <v>87</v>
      </c>
      <c r="C18" s="122">
        <v>-6.6</v>
      </c>
      <c r="D18" s="125" t="s">
        <v>90</v>
      </c>
      <c r="E18" s="208"/>
      <c r="F18" s="183">
        <f t="shared" si="0"/>
        <v>15</v>
      </c>
      <c r="G18" s="250"/>
      <c r="H18" s="116" t="s">
        <v>293</v>
      </c>
      <c r="I18" s="122">
        <f>'Mass Balance'!D234</f>
        <v>192.03787908757397</v>
      </c>
      <c r="J18" s="122">
        <f>'Mass Balance'!E234</f>
        <v>22105.192204952007</v>
      </c>
      <c r="K18" s="125">
        <f>'Mass Balance'!F234</f>
        <v>4.5909377268812022E-2</v>
      </c>
      <c r="L18" s="216"/>
      <c r="M18" s="252" t="s">
        <v>311</v>
      </c>
      <c r="N18" s="253"/>
      <c r="O18" s="254"/>
      <c r="P18" s="208"/>
      <c r="Q18" s="183">
        <f t="shared" si="1"/>
        <v>15</v>
      </c>
      <c r="R18" s="184" t="s">
        <v>220</v>
      </c>
      <c r="S18" s="122">
        <v>88.942369080000006</v>
      </c>
      <c r="T18" s="122">
        <v>88.942369080000006</v>
      </c>
      <c r="U18" s="122">
        <v>88.942369080000006</v>
      </c>
      <c r="V18" s="122">
        <v>79.289708869999998</v>
      </c>
      <c r="W18" s="122">
        <v>40.679068030000003</v>
      </c>
      <c r="X18" s="122">
        <f>'Cp Values'!F17</f>
        <v>0</v>
      </c>
      <c r="Y18" s="183">
        <v>15</v>
      </c>
      <c r="Z18" s="184" t="s">
        <v>210</v>
      </c>
      <c r="AA18" s="122">
        <v>0.05</v>
      </c>
      <c r="AB18" s="125" t="s">
        <v>211</v>
      </c>
      <c r="AC18" s="207"/>
      <c r="AD18" s="207"/>
      <c r="AE18" s="159">
        <v>8</v>
      </c>
      <c r="AF18" s="159" t="s">
        <v>381</v>
      </c>
      <c r="AG18" s="155">
        <v>0.1055</v>
      </c>
      <c r="AH18" s="155">
        <f t="shared" si="2"/>
        <v>2.6374999999999999E-2</v>
      </c>
      <c r="AI18" s="155">
        <f t="shared" si="3"/>
        <v>0.18462499999999998</v>
      </c>
      <c r="AJ18" s="155">
        <v>5</v>
      </c>
      <c r="AK18" s="155">
        <v>65</v>
      </c>
      <c r="AL18" s="155">
        <v>1</v>
      </c>
      <c r="AM18" s="155"/>
      <c r="AN18" s="208"/>
      <c r="AO18" s="208"/>
      <c r="AP18" s="208"/>
      <c r="AQ18" s="208"/>
      <c r="AR18" s="208"/>
      <c r="AS18" s="208"/>
    </row>
    <row r="19" spans="1:45" ht="24" customHeight="1">
      <c r="A19" s="183">
        <v>16</v>
      </c>
      <c r="B19" s="184" t="s">
        <v>88</v>
      </c>
      <c r="C19" s="122">
        <v>111.6</v>
      </c>
      <c r="D19" s="125" t="s">
        <v>90</v>
      </c>
      <c r="E19" s="208"/>
      <c r="F19" s="183">
        <f t="shared" si="0"/>
        <v>16</v>
      </c>
      <c r="G19" s="250"/>
      <c r="H19" s="116" t="s">
        <v>5</v>
      </c>
      <c r="I19" s="122">
        <f>'Mass Balance'!D235</f>
        <v>624.1231070346164</v>
      </c>
      <c r="J19" s="122">
        <f>'Mass Balance'!E235</f>
        <v>75124.200498299891</v>
      </c>
      <c r="K19" s="125">
        <f>'Mass Balance'!F235</f>
        <v>0.15602240553790353</v>
      </c>
      <c r="L19" s="216"/>
      <c r="M19" s="196"/>
      <c r="N19" s="116" t="s">
        <v>314</v>
      </c>
      <c r="O19" s="197"/>
      <c r="P19" s="208"/>
      <c r="Q19" s="183">
        <f t="shared" si="1"/>
        <v>16</v>
      </c>
      <c r="R19" s="184" t="s">
        <v>330</v>
      </c>
      <c r="S19" s="122">
        <v>117.90034970000001</v>
      </c>
      <c r="T19" s="122">
        <v>117.90034970000001</v>
      </c>
      <c r="U19" s="122">
        <v>117.90034970000001</v>
      </c>
      <c r="V19" s="122">
        <v>98.595029289999999</v>
      </c>
      <c r="W19" s="122">
        <v>40.679068030000003</v>
      </c>
      <c r="X19" s="122">
        <f>'Cp Values'!F18</f>
        <v>0</v>
      </c>
      <c r="Y19" s="183">
        <v>16</v>
      </c>
      <c r="Z19" s="184" t="s">
        <v>212</v>
      </c>
      <c r="AA19" s="122">
        <v>7.6799999999999993E-2</v>
      </c>
      <c r="AB19" s="125" t="s">
        <v>66</v>
      </c>
      <c r="AC19" s="207"/>
      <c r="AD19" s="207"/>
      <c r="AE19" s="159">
        <v>9</v>
      </c>
      <c r="AF19" s="159" t="s">
        <v>404</v>
      </c>
      <c r="AG19" s="155">
        <v>0.85</v>
      </c>
      <c r="AH19" s="155">
        <f t="shared" si="2"/>
        <v>0.21249999999999999</v>
      </c>
      <c r="AI19" s="155">
        <f t="shared" si="3"/>
        <v>1.4875</v>
      </c>
      <c r="AJ19" s="155">
        <v>5</v>
      </c>
      <c r="AK19" s="155">
        <v>24</v>
      </c>
      <c r="AL19" s="155">
        <v>1</v>
      </c>
      <c r="AM19" s="155"/>
      <c r="AN19" s="208"/>
      <c r="AO19" s="208"/>
      <c r="AP19" s="208"/>
      <c r="AQ19" s="208"/>
      <c r="AR19" s="208"/>
      <c r="AS19" s="208"/>
    </row>
    <row r="20" spans="1:45" ht="24" customHeight="1">
      <c r="A20" s="183">
        <v>17</v>
      </c>
      <c r="B20" s="184" t="s">
        <v>89</v>
      </c>
      <c r="C20" s="122">
        <v>-127</v>
      </c>
      <c r="D20" s="125" t="s">
        <v>90</v>
      </c>
      <c r="E20" s="208"/>
      <c r="F20" s="183">
        <f t="shared" si="0"/>
        <v>17</v>
      </c>
      <c r="G20" s="250"/>
      <c r="H20" s="116" t="s">
        <v>6</v>
      </c>
      <c r="I20" s="122">
        <f>'Mass Balance'!D236</f>
        <v>416.08207135641089</v>
      </c>
      <c r="J20" s="122">
        <f>'Mass Balance'!E236</f>
        <v>25000</v>
      </c>
      <c r="K20" s="125">
        <f>'Mass Balance'!F236</f>
        <v>5.1921486186543318E-2</v>
      </c>
      <c r="L20" s="216"/>
      <c r="M20" s="198">
        <f>J39/(J4/1000)</f>
        <v>0</v>
      </c>
      <c r="N20" s="193" t="str">
        <f>G4</f>
        <v>R1 in (S5 &amp; S19)</v>
      </c>
      <c r="O20" s="197"/>
      <c r="P20" s="208"/>
      <c r="Q20" s="183">
        <f t="shared" si="1"/>
        <v>17</v>
      </c>
      <c r="R20" s="184" t="s">
        <v>221</v>
      </c>
      <c r="S20" s="122">
        <v>1</v>
      </c>
      <c r="T20" s="122">
        <v>2</v>
      </c>
      <c r="U20" s="122">
        <v>2.5</v>
      </c>
      <c r="V20" s="122">
        <v>3</v>
      </c>
      <c r="W20" s="122">
        <v>3.5</v>
      </c>
      <c r="X20" s="122">
        <f>'Cp Values'!F18</f>
        <v>0</v>
      </c>
      <c r="Y20" s="183">
        <v>17</v>
      </c>
      <c r="Z20" s="184" t="s">
        <v>214</v>
      </c>
      <c r="AA20" s="122">
        <v>30</v>
      </c>
      <c r="AB20" s="125" t="s">
        <v>215</v>
      </c>
      <c r="AC20" s="207"/>
      <c r="AD20" s="207"/>
      <c r="AE20" s="159">
        <v>10</v>
      </c>
      <c r="AF20" s="171" t="s">
        <v>405</v>
      </c>
      <c r="AG20" s="172">
        <v>7.6899999999999996E-2</v>
      </c>
      <c r="AH20" s="155">
        <f t="shared" si="2"/>
        <v>1.9224999999999999E-2</v>
      </c>
      <c r="AI20" s="155">
        <f t="shared" si="3"/>
        <v>0.134575</v>
      </c>
      <c r="AJ20" s="155">
        <v>5</v>
      </c>
      <c r="AK20" s="155">
        <v>16</v>
      </c>
      <c r="AL20" s="155">
        <v>1</v>
      </c>
      <c r="AM20" s="173"/>
      <c r="AN20" s="208"/>
      <c r="AO20" s="208"/>
      <c r="AP20" s="208"/>
      <c r="AQ20" s="208"/>
      <c r="AR20" s="208"/>
      <c r="AS20" s="208"/>
    </row>
    <row r="21" spans="1:45" ht="24" customHeight="1">
      <c r="A21" s="183">
        <v>18</v>
      </c>
      <c r="B21" s="184" t="s">
        <v>3</v>
      </c>
      <c r="C21" s="122">
        <v>277.11195999999995</v>
      </c>
      <c r="D21" s="125" t="s">
        <v>2</v>
      </c>
      <c r="E21" s="208"/>
      <c r="F21" s="183">
        <f t="shared" si="0"/>
        <v>18</v>
      </c>
      <c r="G21" s="250"/>
      <c r="H21" s="116" t="s">
        <v>7</v>
      </c>
      <c r="I21" s="122">
        <f>'Mass Balance'!D237</f>
        <v>14427.605516457665</v>
      </c>
      <c r="J21" s="122">
        <f>'Mass Balance'!E237</f>
        <v>259914.46758742616</v>
      </c>
      <c r="K21" s="125">
        <f>'Mass Balance'!F237</f>
        <v>0.53980581754093226</v>
      </c>
      <c r="L21" s="216"/>
      <c r="M21" s="196"/>
      <c r="N21" s="199" t="str">
        <f>G17</f>
        <v>R1 out (S6)</v>
      </c>
      <c r="O21" s="197"/>
      <c r="P21" s="208"/>
      <c r="Q21" s="183">
        <f t="shared" si="1"/>
        <v>18</v>
      </c>
      <c r="R21" s="184" t="s">
        <v>222</v>
      </c>
      <c r="S21" s="122">
        <v>5</v>
      </c>
      <c r="T21" s="122">
        <v>7</v>
      </c>
      <c r="U21" s="122">
        <v>9</v>
      </c>
      <c r="V21" s="122">
        <v>10</v>
      </c>
      <c r="W21" s="122">
        <v>12</v>
      </c>
      <c r="X21" s="122">
        <f>'Cp Values'!F19</f>
        <v>0</v>
      </c>
      <c r="Y21" s="183">
        <v>18</v>
      </c>
      <c r="Z21" s="184" t="s">
        <v>216</v>
      </c>
      <c r="AA21" s="122">
        <v>1000</v>
      </c>
      <c r="AB21" s="125" t="s">
        <v>217</v>
      </c>
      <c r="AC21" s="207"/>
      <c r="AD21" s="207"/>
      <c r="AE21" s="159">
        <v>11</v>
      </c>
      <c r="AF21" s="166" t="s">
        <v>406</v>
      </c>
      <c r="AG21" s="155">
        <v>8000</v>
      </c>
      <c r="AH21" s="155">
        <f t="shared" si="2"/>
        <v>2000</v>
      </c>
      <c r="AI21" s="155">
        <v>8760</v>
      </c>
      <c r="AJ21" s="155">
        <v>5</v>
      </c>
      <c r="AK21" s="155">
        <v>8</v>
      </c>
      <c r="AL21" s="155">
        <v>1</v>
      </c>
      <c r="AM21" s="173"/>
      <c r="AN21" s="208"/>
      <c r="AO21" s="208"/>
      <c r="AP21" s="208"/>
      <c r="AQ21" s="208"/>
      <c r="AR21" s="208"/>
      <c r="AS21" s="208"/>
    </row>
    <row r="22" spans="1:45" ht="24" customHeight="1" thickBot="1">
      <c r="A22" s="183">
        <v>19</v>
      </c>
      <c r="B22" s="184" t="s">
        <v>4</v>
      </c>
      <c r="C22" s="122">
        <v>115.10849999999999</v>
      </c>
      <c r="D22" s="125" t="s">
        <v>2</v>
      </c>
      <c r="E22" s="208"/>
      <c r="F22" s="183">
        <f t="shared" si="0"/>
        <v>19</v>
      </c>
      <c r="G22" s="250"/>
      <c r="H22" s="116" t="s">
        <v>292</v>
      </c>
      <c r="I22" s="122">
        <f>'Mass Balance'!D238</f>
        <v>624.1231070346164</v>
      </c>
      <c r="J22" s="122">
        <f>'Mass Balance'!E238</f>
        <v>82470.82848597721</v>
      </c>
      <c r="K22" s="125">
        <f>'Mass Balance'!F238</f>
        <v>0.17128031928109794</v>
      </c>
      <c r="L22" s="216"/>
      <c r="M22" s="196"/>
      <c r="N22" s="193" t="str">
        <f>G30</f>
        <v>R2 in (S9)</v>
      </c>
      <c r="O22" s="197"/>
      <c r="P22" s="208"/>
      <c r="Q22" s="187">
        <f t="shared" si="1"/>
        <v>19</v>
      </c>
      <c r="R22" s="188" t="str">
        <f>'Cp Values'!A10</f>
        <v>H2O(g)</v>
      </c>
      <c r="S22" s="189">
        <f>'Cp Values'!B10</f>
        <v>30.091999999999999</v>
      </c>
      <c r="T22" s="189">
        <f>'Cp Values'!C10</f>
        <v>6.8325139999999998</v>
      </c>
      <c r="U22" s="189">
        <f>'Cp Values'!D10</f>
        <v>6.7934349999999997</v>
      </c>
      <c r="V22" s="189">
        <f>'Cp Values'!E10</f>
        <v>-2.5344799999999998</v>
      </c>
      <c r="W22" s="189">
        <f>'Cp Values'!F10</f>
        <v>8.2139000000000004E-2</v>
      </c>
      <c r="X22" s="189"/>
      <c r="Y22" s="183">
        <v>19</v>
      </c>
      <c r="Z22" s="184" t="s">
        <v>223</v>
      </c>
      <c r="AA22" s="122">
        <v>0.3</v>
      </c>
      <c r="AB22" s="125"/>
      <c r="AC22" s="207"/>
      <c r="AD22" s="208"/>
      <c r="AE22" s="159">
        <v>12</v>
      </c>
      <c r="AF22" s="164" t="s">
        <v>407</v>
      </c>
      <c r="AG22" s="155">
        <v>62</v>
      </c>
      <c r="AH22" s="155">
        <f t="shared" si="2"/>
        <v>15.5</v>
      </c>
      <c r="AI22" s="155">
        <f t="shared" si="3"/>
        <v>108.5</v>
      </c>
      <c r="AJ22" s="155">
        <v>5</v>
      </c>
      <c r="AK22" s="155">
        <v>26</v>
      </c>
      <c r="AL22" s="155">
        <v>1</v>
      </c>
      <c r="AM22" s="155"/>
      <c r="AN22" s="208"/>
      <c r="AO22" s="208"/>
      <c r="AP22" s="208"/>
      <c r="AQ22" s="208"/>
      <c r="AR22" s="208"/>
      <c r="AS22" s="208"/>
    </row>
    <row r="23" spans="1:45" ht="24" customHeight="1">
      <c r="A23" s="183">
        <v>20</v>
      </c>
      <c r="B23" s="184" t="s">
        <v>5</v>
      </c>
      <c r="C23" s="122">
        <v>120.3676</v>
      </c>
      <c r="D23" s="125" t="s">
        <v>2</v>
      </c>
      <c r="E23" s="208"/>
      <c r="F23" s="183">
        <f t="shared" si="0"/>
        <v>20</v>
      </c>
      <c r="G23" s="250"/>
      <c r="H23" s="116" t="s">
        <v>9</v>
      </c>
      <c r="I23" s="122">
        <f>'Mass Balance'!D239</f>
        <v>27.95811739614641</v>
      </c>
      <c r="J23" s="122">
        <f>'Mass Balance'!E239</f>
        <v>11179.830476512756</v>
      </c>
      <c r="K23" s="125">
        <f>'Mass Balance'!F239</f>
        <v>2.3218936546166122E-2</v>
      </c>
      <c r="L23" s="216"/>
      <c r="M23" s="196"/>
      <c r="N23" s="193" t="str">
        <f>G43</f>
        <v>R2 out (S10)</v>
      </c>
      <c r="O23" s="197"/>
      <c r="P23" s="208"/>
      <c r="Q23" s="215"/>
      <c r="R23" s="214"/>
      <c r="S23" s="215"/>
      <c r="T23" s="215"/>
      <c r="U23" s="215"/>
      <c r="V23" s="215"/>
      <c r="W23" s="215"/>
      <c r="X23" s="208"/>
      <c r="Y23" s="183">
        <v>20</v>
      </c>
      <c r="Z23" s="184" t="s">
        <v>230</v>
      </c>
      <c r="AA23" s="122">
        <v>1</v>
      </c>
      <c r="AB23" s="125" t="s">
        <v>154</v>
      </c>
      <c r="AC23" s="207"/>
      <c r="AD23" s="208"/>
      <c r="AE23" s="159">
        <v>13</v>
      </c>
      <c r="AF23" s="164" t="s">
        <v>408</v>
      </c>
      <c r="AG23" s="174">
        <v>32</v>
      </c>
      <c r="AH23" s="155">
        <f t="shared" si="2"/>
        <v>8</v>
      </c>
      <c r="AI23" s="155">
        <f t="shared" si="3"/>
        <v>56</v>
      </c>
      <c r="AJ23" s="155">
        <v>5</v>
      </c>
      <c r="AK23" s="155">
        <v>29</v>
      </c>
      <c r="AL23" s="155">
        <v>1</v>
      </c>
      <c r="AM23" s="155"/>
      <c r="AN23" s="208"/>
      <c r="AO23" s="208"/>
      <c r="AP23" s="208"/>
      <c r="AQ23" s="208"/>
      <c r="AR23" s="208"/>
      <c r="AS23" s="208"/>
    </row>
    <row r="24" spans="1:45" ht="24" customHeight="1">
      <c r="A24" s="183">
        <v>21</v>
      </c>
      <c r="B24" s="184" t="s">
        <v>6</v>
      </c>
      <c r="C24" s="122">
        <v>60.084299999999999</v>
      </c>
      <c r="D24" s="125" t="s">
        <v>2</v>
      </c>
      <c r="E24" s="208"/>
      <c r="F24" s="183">
        <f t="shared" si="0"/>
        <v>21</v>
      </c>
      <c r="G24" s="250"/>
      <c r="H24" s="116" t="s">
        <v>27</v>
      </c>
      <c r="I24" s="122">
        <f>'Mass Balance'!D240</f>
        <v>0</v>
      </c>
      <c r="J24" s="122">
        <f>'Mass Balance'!E240</f>
        <v>0</v>
      </c>
      <c r="K24" s="125">
        <f>'Mass Balance'!F240</f>
        <v>0</v>
      </c>
      <c r="L24" s="216"/>
      <c r="M24" s="196"/>
      <c r="N24" s="193" t="str">
        <f>G56</f>
        <v>R3 in (S13)</v>
      </c>
      <c r="O24" s="197"/>
      <c r="P24" s="208"/>
      <c r="Q24" s="215"/>
      <c r="R24" s="214"/>
      <c r="S24" s="215"/>
      <c r="T24" s="215"/>
      <c r="U24" s="215"/>
      <c r="V24" s="215"/>
      <c r="W24" s="215"/>
      <c r="X24" s="208"/>
      <c r="Y24" s="183">
        <v>21</v>
      </c>
      <c r="Z24" s="184" t="s">
        <v>231</v>
      </c>
      <c r="AA24" s="122">
        <v>1</v>
      </c>
      <c r="AB24" s="125" t="s">
        <v>154</v>
      </c>
      <c r="AC24" s="207"/>
      <c r="AD24" s="208"/>
      <c r="AE24" s="159">
        <v>14</v>
      </c>
      <c r="AF24" s="175" t="s">
        <v>409</v>
      </c>
      <c r="AG24">
        <v>12</v>
      </c>
      <c r="AH24" s="155">
        <f t="shared" si="2"/>
        <v>3</v>
      </c>
      <c r="AI24" s="155">
        <f t="shared" si="3"/>
        <v>21</v>
      </c>
      <c r="AJ24" s="155">
        <v>5</v>
      </c>
      <c r="AK24" s="155">
        <v>30</v>
      </c>
      <c r="AL24" s="155">
        <v>1</v>
      </c>
      <c r="AM24" s="155"/>
      <c r="AN24" s="208"/>
      <c r="AO24" s="208"/>
      <c r="AP24" s="208"/>
      <c r="AQ24" s="208"/>
      <c r="AR24" s="208"/>
      <c r="AS24" s="208"/>
    </row>
    <row r="25" spans="1:45" ht="24" customHeight="1">
      <c r="A25" s="183">
        <v>22</v>
      </c>
      <c r="B25" s="184" t="s">
        <v>7</v>
      </c>
      <c r="C25" s="122">
        <v>18.015080000000001</v>
      </c>
      <c r="D25" s="125" t="s">
        <v>2</v>
      </c>
      <c r="E25" s="208"/>
      <c r="F25" s="183">
        <f t="shared" si="0"/>
        <v>22</v>
      </c>
      <c r="G25" s="250"/>
      <c r="H25" s="116" t="s">
        <v>28</v>
      </c>
      <c r="I25" s="122">
        <f>'Mass Balance'!D241</f>
        <v>0</v>
      </c>
      <c r="J25" s="122">
        <f>'Mass Balance'!E241</f>
        <v>0</v>
      </c>
      <c r="K25" s="125">
        <f>'Mass Balance'!F241</f>
        <v>0</v>
      </c>
      <c r="L25" s="216"/>
      <c r="M25" s="196"/>
      <c r="N25" s="193" t="str">
        <f>G69</f>
        <v>R3 out (S14)</v>
      </c>
      <c r="O25" s="197"/>
      <c r="P25" s="208"/>
      <c r="Q25" s="207"/>
      <c r="R25" s="207"/>
      <c r="S25" s="207"/>
      <c r="T25" s="207"/>
      <c r="U25" s="207"/>
      <c r="V25" s="207"/>
      <c r="W25" s="207"/>
      <c r="X25" s="207"/>
      <c r="Y25" s="183">
        <v>22</v>
      </c>
      <c r="Z25" s="184" t="s">
        <v>233</v>
      </c>
      <c r="AA25" s="122">
        <v>0.14000000000000001</v>
      </c>
      <c r="AB25" s="125" t="s">
        <v>66</v>
      </c>
      <c r="AC25" s="207"/>
      <c r="AD25" s="208"/>
      <c r="AE25" s="159">
        <v>15</v>
      </c>
      <c r="AF25" s="164" t="s">
        <v>410</v>
      </c>
      <c r="AG25" s="172">
        <v>209</v>
      </c>
      <c r="AH25" s="155">
        <f t="shared" si="2"/>
        <v>52.25</v>
      </c>
      <c r="AI25" s="155">
        <f t="shared" si="3"/>
        <v>365.75</v>
      </c>
      <c r="AJ25" s="155">
        <v>0</v>
      </c>
      <c r="AK25" s="155">
        <v>0</v>
      </c>
      <c r="AL25" s="155">
        <v>0</v>
      </c>
      <c r="AM25" s="172"/>
      <c r="AN25" s="208"/>
      <c r="AO25" s="208"/>
      <c r="AP25" s="208"/>
      <c r="AQ25" s="208"/>
      <c r="AR25" s="208"/>
      <c r="AS25" s="208"/>
    </row>
    <row r="26" spans="1:45" ht="24" customHeight="1">
      <c r="A26" s="183">
        <v>23</v>
      </c>
      <c r="B26" s="184" t="s">
        <v>8</v>
      </c>
      <c r="C26" s="122">
        <v>132.13872000000001</v>
      </c>
      <c r="D26" s="125" t="s">
        <v>2</v>
      </c>
      <c r="E26" s="208"/>
      <c r="F26" s="183">
        <f t="shared" si="0"/>
        <v>23</v>
      </c>
      <c r="G26" s="250"/>
      <c r="H26" s="116" t="s">
        <v>39</v>
      </c>
      <c r="I26" s="122">
        <f>'Mass Balance'!D242</f>
        <v>0</v>
      </c>
      <c r="J26" s="122">
        <f>'Mass Balance'!E242</f>
        <v>0</v>
      </c>
      <c r="K26" s="125">
        <f>'Mass Balance'!F242</f>
        <v>0</v>
      </c>
      <c r="L26" s="216"/>
      <c r="M26" s="196"/>
      <c r="N26" s="193" t="str">
        <f>G82</f>
        <v>EV  in (S16)</v>
      </c>
      <c r="O26" s="197"/>
      <c r="P26" s="208"/>
      <c r="Q26" s="207"/>
      <c r="R26" s="207"/>
      <c r="S26" s="207"/>
      <c r="T26" s="207"/>
      <c r="U26" s="207"/>
      <c r="V26" s="207"/>
      <c r="W26" s="207"/>
      <c r="X26" s="207"/>
      <c r="Y26" s="183">
        <f>Y25+1</f>
        <v>23</v>
      </c>
      <c r="Z26" s="184" t="s">
        <v>234</v>
      </c>
      <c r="AA26" s="122">
        <v>0</v>
      </c>
      <c r="AB26" s="125" t="s">
        <v>66</v>
      </c>
      <c r="AC26" s="207"/>
      <c r="AD26" s="208"/>
      <c r="AE26" s="159">
        <v>16</v>
      </c>
      <c r="AF26" s="164" t="s">
        <v>411</v>
      </c>
      <c r="AG26">
        <v>61.6</v>
      </c>
      <c r="AH26" s="155">
        <f t="shared" si="2"/>
        <v>15.4</v>
      </c>
      <c r="AI26" s="155">
        <f t="shared" si="3"/>
        <v>107.8</v>
      </c>
      <c r="AJ26" s="155">
        <v>0</v>
      </c>
      <c r="AK26" s="155">
        <v>0</v>
      </c>
      <c r="AL26" s="155">
        <v>0</v>
      </c>
      <c r="AM26" s="155"/>
      <c r="AN26" s="208"/>
      <c r="AO26" s="208"/>
      <c r="AP26" s="208"/>
      <c r="AQ26" s="208"/>
      <c r="AR26" s="208"/>
      <c r="AS26" s="208"/>
    </row>
    <row r="27" spans="1:45" ht="24" customHeight="1">
      <c r="A27" s="183">
        <v>24</v>
      </c>
      <c r="B27" s="184" t="s">
        <v>9</v>
      </c>
      <c r="C27" s="122">
        <v>399.87780000000004</v>
      </c>
      <c r="D27" s="125" t="s">
        <v>2</v>
      </c>
      <c r="E27" s="208"/>
      <c r="F27" s="183">
        <f t="shared" si="0"/>
        <v>24</v>
      </c>
      <c r="G27" s="250"/>
      <c r="H27" s="116" t="s">
        <v>291</v>
      </c>
      <c r="I27" s="122">
        <f>'Mass Balance'!D243</f>
        <v>0</v>
      </c>
      <c r="J27" s="122">
        <f>'Mass Balance'!E243</f>
        <v>0</v>
      </c>
      <c r="K27" s="125">
        <f>'Mass Balance'!F243</f>
        <v>0</v>
      </c>
      <c r="L27" s="216"/>
      <c r="M27" s="196"/>
      <c r="N27" s="193" t="str">
        <f>G95</f>
        <v>EV  out dry (S17)</v>
      </c>
      <c r="O27" s="197"/>
      <c r="P27" s="208"/>
      <c r="Q27" s="207"/>
      <c r="R27" s="207"/>
      <c r="S27" s="207"/>
      <c r="T27" s="207"/>
      <c r="U27" s="207"/>
      <c r="V27" s="207"/>
      <c r="W27" s="207"/>
      <c r="X27" s="207"/>
      <c r="Y27" s="183">
        <f t="shared" ref="Y27:Y33" si="4">Y26+1</f>
        <v>24</v>
      </c>
      <c r="Z27" s="184" t="s">
        <v>235</v>
      </c>
      <c r="AA27" s="122">
        <v>0.85</v>
      </c>
      <c r="AB27" s="125" t="s">
        <v>66</v>
      </c>
      <c r="AC27" s="207"/>
      <c r="AD27" s="208"/>
      <c r="AE27" s="159">
        <v>17</v>
      </c>
      <c r="AF27" s="164" t="s">
        <v>412</v>
      </c>
      <c r="AG27" s="173">
        <v>1320</v>
      </c>
      <c r="AH27" s="155">
        <f t="shared" si="2"/>
        <v>330</v>
      </c>
      <c r="AI27" s="155">
        <f t="shared" si="3"/>
        <v>2310</v>
      </c>
      <c r="AJ27" s="173">
        <v>0</v>
      </c>
      <c r="AK27" s="173">
        <v>0</v>
      </c>
      <c r="AL27" s="173">
        <v>0</v>
      </c>
      <c r="AM27" s="173"/>
      <c r="AN27" s="208"/>
      <c r="AO27" s="208"/>
      <c r="AP27" s="208"/>
      <c r="AQ27" s="208"/>
      <c r="AR27" s="208"/>
      <c r="AS27" s="208"/>
    </row>
    <row r="28" spans="1:45" ht="24" customHeight="1">
      <c r="A28" s="183">
        <v>25</v>
      </c>
      <c r="B28" s="184" t="s">
        <v>27</v>
      </c>
      <c r="C28" s="122">
        <v>35.045299999999997</v>
      </c>
      <c r="D28" s="125" t="s">
        <v>2</v>
      </c>
      <c r="E28" s="208"/>
      <c r="F28" s="183">
        <f t="shared" si="0"/>
        <v>25</v>
      </c>
      <c r="G28" s="250"/>
      <c r="H28" s="116" t="s">
        <v>40</v>
      </c>
      <c r="I28" s="122">
        <f>'Mass Balance'!D244</f>
        <v>0</v>
      </c>
      <c r="J28" s="122">
        <f>'Mass Balance'!E244</f>
        <v>0</v>
      </c>
      <c r="K28" s="125">
        <f>'Mass Balance'!F244</f>
        <v>0</v>
      </c>
      <c r="L28" s="216"/>
      <c r="M28" s="196"/>
      <c r="N28" s="193" t="str">
        <f>G108</f>
        <v>EV  out wet (S20)</v>
      </c>
      <c r="O28" s="197"/>
      <c r="P28" s="208"/>
      <c r="Q28" s="207"/>
      <c r="R28" s="207"/>
      <c r="S28" s="207"/>
      <c r="T28" s="207"/>
      <c r="U28" s="207"/>
      <c r="V28" s="207"/>
      <c r="W28" s="207"/>
      <c r="X28" s="207"/>
      <c r="Y28" s="183">
        <f t="shared" si="4"/>
        <v>25</v>
      </c>
      <c r="Z28" s="184" t="s">
        <v>379</v>
      </c>
      <c r="AA28" s="122">
        <v>7.0000000000000007E-2</v>
      </c>
      <c r="AB28" s="125" t="s">
        <v>66</v>
      </c>
      <c r="AC28" s="207"/>
      <c r="AD28" s="208"/>
      <c r="AE28" s="159">
        <v>18</v>
      </c>
      <c r="AF28" s="176" t="s">
        <v>413</v>
      </c>
      <c r="AG28" s="155">
        <v>140</v>
      </c>
      <c r="AH28" s="155">
        <f t="shared" si="2"/>
        <v>35</v>
      </c>
      <c r="AI28" s="155">
        <f t="shared" si="3"/>
        <v>245</v>
      </c>
      <c r="AJ28" s="155">
        <v>5</v>
      </c>
      <c r="AK28" s="155">
        <v>31</v>
      </c>
      <c r="AL28" s="155">
        <v>1</v>
      </c>
      <c r="AM28" s="155"/>
      <c r="AN28" s="208"/>
      <c r="AO28" s="208"/>
      <c r="AP28" s="208"/>
      <c r="AQ28" s="208"/>
      <c r="AR28" s="208"/>
      <c r="AS28" s="208"/>
    </row>
    <row r="29" spans="1:45" ht="24" customHeight="1">
      <c r="A29" s="183">
        <v>26</v>
      </c>
      <c r="B29" s="184" t="s">
        <v>28</v>
      </c>
      <c r="C29" s="122">
        <v>106.86672</v>
      </c>
      <c r="D29" s="125" t="s">
        <v>2</v>
      </c>
      <c r="E29" s="208"/>
      <c r="F29" s="183">
        <f t="shared" si="0"/>
        <v>26</v>
      </c>
      <c r="G29" s="250"/>
      <c r="H29" s="116" t="s">
        <v>54</v>
      </c>
      <c r="I29" s="122">
        <f>'Mass Balance'!D245</f>
        <v>0</v>
      </c>
      <c r="J29" s="122">
        <f>'Mass Balance'!E245</f>
        <v>0</v>
      </c>
      <c r="K29" s="125">
        <f>'Mass Balance'!F245</f>
        <v>0</v>
      </c>
      <c r="L29" s="216"/>
      <c r="M29" s="196"/>
      <c r="N29" s="193" t="str">
        <f>G121</f>
        <v>Solvent regeneration in (S17)</v>
      </c>
      <c r="O29" s="197"/>
      <c r="P29" s="208"/>
      <c r="Q29" s="207"/>
      <c r="R29" s="207"/>
      <c r="S29" s="207"/>
      <c r="T29" s="207"/>
      <c r="U29" s="207"/>
      <c r="V29" s="207"/>
      <c r="W29" s="207"/>
      <c r="X29" s="207"/>
      <c r="Y29" s="183">
        <f t="shared" si="4"/>
        <v>26</v>
      </c>
      <c r="Z29" s="184" t="str">
        <f>Assumptions!H14</f>
        <v>Electricity</v>
      </c>
      <c r="AA29" s="122">
        <v>62</v>
      </c>
      <c r="AB29" s="125" t="s">
        <v>421</v>
      </c>
      <c r="AC29" s="207"/>
      <c r="AD29" s="208"/>
      <c r="AE29" s="159">
        <v>19</v>
      </c>
      <c r="AF29" s="176" t="s">
        <v>414</v>
      </c>
      <c r="AG29" s="173">
        <v>0.08</v>
      </c>
      <c r="AH29" s="155">
        <f t="shared" si="2"/>
        <v>0.02</v>
      </c>
      <c r="AI29" s="155">
        <f t="shared" si="3"/>
        <v>0.14000000000000001</v>
      </c>
      <c r="AJ29" s="177">
        <v>5</v>
      </c>
      <c r="AK29" s="177">
        <v>39</v>
      </c>
      <c r="AL29" s="177">
        <v>1</v>
      </c>
      <c r="AM29" s="177"/>
      <c r="AN29" s="208"/>
      <c r="AO29" s="208"/>
      <c r="AP29" s="208"/>
      <c r="AQ29" s="208"/>
      <c r="AR29" s="208"/>
      <c r="AS29" s="208"/>
    </row>
    <row r="30" spans="1:45" ht="24" customHeight="1">
      <c r="A30" s="183">
        <v>27</v>
      </c>
      <c r="B30" s="184" t="s">
        <v>39</v>
      </c>
      <c r="C30" s="122">
        <v>138.35914</v>
      </c>
      <c r="D30" s="125" t="s">
        <v>2</v>
      </c>
      <c r="E30" s="208"/>
      <c r="F30" s="183">
        <f t="shared" si="0"/>
        <v>27</v>
      </c>
      <c r="G30" s="256" t="s">
        <v>298</v>
      </c>
      <c r="H30" s="116" t="s">
        <v>3</v>
      </c>
      <c r="I30" s="122">
        <f>'Mass Balance'!D246</f>
        <v>0</v>
      </c>
      <c r="J30" s="122">
        <f>'Mass Balance'!E246</f>
        <v>0</v>
      </c>
      <c r="K30" s="125">
        <f>'Mass Balance'!F246</f>
        <v>0</v>
      </c>
      <c r="L30" s="216"/>
      <c r="M30" s="196"/>
      <c r="N30" s="193" t="str">
        <f>G134</f>
        <v>Solvent regeneration out gas phase (S23)</v>
      </c>
      <c r="O30" s="197"/>
      <c r="P30" s="208"/>
      <c r="Q30" s="207"/>
      <c r="R30" s="207"/>
      <c r="S30" s="207"/>
      <c r="T30" s="207"/>
      <c r="U30" s="207"/>
      <c r="V30" s="207"/>
      <c r="W30" s="207"/>
      <c r="X30" s="207"/>
      <c r="Y30" s="183">
        <f t="shared" si="4"/>
        <v>27</v>
      </c>
      <c r="Z30" s="184" t="str">
        <f>Assumptions!H15</f>
        <v xml:space="preserve">Steam from Natural Gas Boiler </v>
      </c>
      <c r="AA30" s="122">
        <f>Assumptions!I15</f>
        <v>6</v>
      </c>
      <c r="AB30" s="125" t="s">
        <v>421</v>
      </c>
      <c r="AC30" s="207"/>
      <c r="AD30" s="208"/>
      <c r="AE30" s="159">
        <v>20</v>
      </c>
      <c r="AF30" s="176" t="s">
        <v>415</v>
      </c>
      <c r="AG30" s="173">
        <v>1200</v>
      </c>
      <c r="AH30" s="155">
        <f t="shared" si="2"/>
        <v>300</v>
      </c>
      <c r="AI30" s="155">
        <f t="shared" si="3"/>
        <v>2100</v>
      </c>
      <c r="AJ30" s="178">
        <v>5</v>
      </c>
      <c r="AK30" s="178">
        <v>36</v>
      </c>
      <c r="AL30" s="178">
        <v>1</v>
      </c>
      <c r="AM30" s="178"/>
      <c r="AN30" s="208"/>
      <c r="AO30" s="208"/>
      <c r="AP30" s="208"/>
      <c r="AQ30" s="208"/>
      <c r="AR30" s="208"/>
      <c r="AS30" s="208"/>
    </row>
    <row r="31" spans="1:45" ht="24" customHeight="1">
      <c r="A31" s="183">
        <v>28</v>
      </c>
      <c r="B31" s="184" t="s">
        <v>38</v>
      </c>
      <c r="C31" s="122">
        <v>79.0548</v>
      </c>
      <c r="D31" s="125" t="s">
        <v>2</v>
      </c>
      <c r="E31" s="208"/>
      <c r="F31" s="183">
        <f t="shared" si="0"/>
        <v>28</v>
      </c>
      <c r="G31" s="256"/>
      <c r="H31" s="116" t="s">
        <v>293</v>
      </c>
      <c r="I31" s="122">
        <f>'Mass Balance'!D247</f>
        <v>192.03787908757397</v>
      </c>
      <c r="J31" s="122">
        <f>'Mass Balance'!E247</f>
        <v>22105.192204952007</v>
      </c>
      <c r="K31" s="125">
        <f>'Mass Balance'!F247</f>
        <v>4.2627766511101367E-2</v>
      </c>
      <c r="L31" s="216"/>
      <c r="M31" s="196"/>
      <c r="N31" s="193" t="str">
        <f>G147</f>
        <v>Solvent regeneration out solid phase (S18)</v>
      </c>
      <c r="O31" s="197"/>
      <c r="P31" s="208"/>
      <c r="Q31" s="207"/>
      <c r="R31" s="207"/>
      <c r="S31" s="207"/>
      <c r="T31" s="207"/>
      <c r="U31" s="207"/>
      <c r="V31" s="207"/>
      <c r="W31" s="207"/>
      <c r="X31" s="207"/>
      <c r="Y31" s="183">
        <f t="shared" si="4"/>
        <v>28</v>
      </c>
      <c r="Z31" s="184" t="str">
        <f>Assumptions!H16</f>
        <v>Process water</v>
      </c>
      <c r="AA31" s="122">
        <f>Assumptions!I16</f>
        <v>0.2</v>
      </c>
      <c r="AB31" s="125" t="s">
        <v>422</v>
      </c>
      <c r="AC31" s="207"/>
      <c r="AD31" s="208"/>
      <c r="AE31" s="159">
        <v>21</v>
      </c>
      <c r="AF31" s="166" t="s">
        <v>416</v>
      </c>
      <c r="AG31" s="155">
        <v>102</v>
      </c>
      <c r="AH31" s="155">
        <f t="shared" si="2"/>
        <v>25.5</v>
      </c>
      <c r="AI31" s="155">
        <f t="shared" si="3"/>
        <v>178.5</v>
      </c>
      <c r="AJ31" s="155">
        <v>5</v>
      </c>
      <c r="AK31" s="155">
        <v>50</v>
      </c>
      <c r="AL31" s="155">
        <v>1</v>
      </c>
      <c r="AM31" s="155"/>
      <c r="AN31" s="208"/>
      <c r="AO31" s="208"/>
      <c r="AP31" s="208"/>
      <c r="AQ31" s="208"/>
      <c r="AR31" s="208"/>
      <c r="AS31" s="208"/>
    </row>
    <row r="32" spans="1:45" ht="24" customHeight="1">
      <c r="A32" s="183">
        <v>29</v>
      </c>
      <c r="B32" s="184" t="s">
        <v>40</v>
      </c>
      <c r="C32" s="122">
        <v>44.009500000000003</v>
      </c>
      <c r="D32" s="125" t="s">
        <v>2</v>
      </c>
      <c r="E32" s="208"/>
      <c r="F32" s="183">
        <f t="shared" si="0"/>
        <v>29</v>
      </c>
      <c r="G32" s="256"/>
      <c r="H32" s="116" t="s">
        <v>5</v>
      </c>
      <c r="I32" s="122">
        <f>'Mass Balance'!D248</f>
        <v>624.1231070346164</v>
      </c>
      <c r="J32" s="122">
        <f>'Mass Balance'!E248</f>
        <v>75124.200498299891</v>
      </c>
      <c r="K32" s="125">
        <f>'Mass Balance'!F248</f>
        <v>0.1448698952030508</v>
      </c>
      <c r="L32" s="216"/>
      <c r="M32" s="196"/>
      <c r="N32" s="193" t="str">
        <f>G160</f>
        <v>Water in Adsorption ABC (S22)</v>
      </c>
      <c r="O32" s="197"/>
      <c r="P32" s="208"/>
      <c r="Q32" s="207"/>
      <c r="R32" s="207"/>
      <c r="S32" s="207"/>
      <c r="T32" s="207"/>
      <c r="U32" s="207"/>
      <c r="V32" s="207"/>
      <c r="W32" s="207"/>
      <c r="X32" s="207"/>
      <c r="Y32" s="183">
        <f t="shared" si="4"/>
        <v>29</v>
      </c>
      <c r="Z32" s="184" t="str">
        <f>Assumptions!H17</f>
        <v>Natural Gas</v>
      </c>
      <c r="AA32" s="122">
        <v>32</v>
      </c>
      <c r="AB32" s="125" t="s">
        <v>423</v>
      </c>
      <c r="AC32" s="207"/>
      <c r="AD32" s="208"/>
      <c r="AE32" s="159">
        <v>22</v>
      </c>
      <c r="AF32" s="166" t="s">
        <v>417</v>
      </c>
      <c r="AG32" s="173">
        <v>32</v>
      </c>
      <c r="AH32" s="155">
        <f t="shared" si="2"/>
        <v>8</v>
      </c>
      <c r="AI32" s="155">
        <f t="shared" si="3"/>
        <v>56</v>
      </c>
      <c r="AJ32" s="155">
        <v>5</v>
      </c>
      <c r="AK32" s="155">
        <v>51</v>
      </c>
      <c r="AL32" s="155">
        <v>1</v>
      </c>
      <c r="AM32" s="155"/>
      <c r="AN32" s="208"/>
      <c r="AO32" s="208"/>
      <c r="AP32" s="208"/>
      <c r="AQ32" s="208"/>
      <c r="AR32" s="208"/>
      <c r="AS32" s="208"/>
    </row>
    <row r="33" spans="1:45" ht="24" customHeight="1">
      <c r="A33" s="183">
        <v>30</v>
      </c>
      <c r="B33" s="184" t="s">
        <v>54</v>
      </c>
      <c r="C33" s="122">
        <v>17.03022</v>
      </c>
      <c r="D33" s="125" t="s">
        <v>2</v>
      </c>
      <c r="E33" s="208"/>
      <c r="F33" s="183">
        <f t="shared" si="0"/>
        <v>30</v>
      </c>
      <c r="G33" s="256"/>
      <c r="H33" s="116" t="s">
        <v>6</v>
      </c>
      <c r="I33" s="122">
        <f>'Mass Balance'!D249</f>
        <v>0</v>
      </c>
      <c r="J33" s="122">
        <f>'Mass Balance'!E249</f>
        <v>0</v>
      </c>
      <c r="K33" s="125">
        <f>'Mass Balance'!F249</f>
        <v>0</v>
      </c>
      <c r="L33" s="216"/>
      <c r="M33" s="196"/>
      <c r="N33" s="193" t="str">
        <f>G173</f>
        <v>CO2 Capture in liquid (S24)</v>
      </c>
      <c r="O33" s="197"/>
      <c r="P33" s="208"/>
      <c r="Q33" s="207"/>
      <c r="R33" s="207"/>
      <c r="S33" s="207"/>
      <c r="T33" s="207"/>
      <c r="U33" s="207"/>
      <c r="V33" s="207"/>
      <c r="W33" s="207"/>
      <c r="X33" s="207"/>
      <c r="Y33" s="183">
        <f t="shared" si="4"/>
        <v>30</v>
      </c>
      <c r="Z33" s="184" t="str">
        <f>Assumptions!H18</f>
        <v>Mineral-Serpentine</v>
      </c>
      <c r="AA33" s="122">
        <v>12</v>
      </c>
      <c r="AB33" s="125" t="s">
        <v>352</v>
      </c>
      <c r="AC33" s="207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</row>
    <row r="34" spans="1:45" ht="24" customHeight="1">
      <c r="A34" s="183">
        <v>31</v>
      </c>
      <c r="B34" s="184" t="s">
        <v>140</v>
      </c>
      <c r="C34" s="122">
        <v>10</v>
      </c>
      <c r="D34" s="125" t="s">
        <v>141</v>
      </c>
      <c r="E34" s="208"/>
      <c r="F34" s="183">
        <f t="shared" si="0"/>
        <v>31</v>
      </c>
      <c r="G34" s="256"/>
      <c r="H34" s="116" t="s">
        <v>7</v>
      </c>
      <c r="I34" s="122">
        <f>'Mass Balance'!D250</f>
        <v>17561.989329628257</v>
      </c>
      <c r="J34" s="122">
        <f>'Mass Balance'!E250</f>
        <v>316380.64273239946</v>
      </c>
      <c r="K34" s="125">
        <f>'Mass Balance'!F250</f>
        <v>0.61011006111078447</v>
      </c>
      <c r="L34" s="216"/>
      <c r="M34" s="192"/>
      <c r="N34" s="193" t="s">
        <v>312</v>
      </c>
      <c r="O34" s="185"/>
      <c r="P34" s="208"/>
      <c r="Q34" s="207"/>
      <c r="R34" s="207"/>
      <c r="S34" s="207"/>
      <c r="T34" s="207"/>
      <c r="U34" s="207"/>
      <c r="V34" s="207"/>
      <c r="W34" s="207"/>
      <c r="X34" s="207"/>
      <c r="Y34" s="183">
        <v>31</v>
      </c>
      <c r="Z34" s="184" t="str">
        <f>Assumptions!H19</f>
        <v>(NH4)2SO4</v>
      </c>
      <c r="AA34" s="122">
        <v>140</v>
      </c>
      <c r="AB34" s="125" t="str">
        <f>Assumptions!J19</f>
        <v>USD/t</v>
      </c>
      <c r="AC34" s="208"/>
      <c r="AD34" s="208"/>
      <c r="AE34" s="207"/>
      <c r="AF34" s="207"/>
      <c r="AG34" s="207"/>
      <c r="AH34" s="207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</row>
    <row r="35" spans="1:45" ht="24" customHeight="1">
      <c r="A35" s="183">
        <v>32</v>
      </c>
      <c r="B35" s="184" t="s">
        <v>149</v>
      </c>
      <c r="C35" s="122">
        <v>9.81</v>
      </c>
      <c r="D35" s="125" t="s">
        <v>150</v>
      </c>
      <c r="E35" s="208"/>
      <c r="F35" s="183">
        <f t="shared" si="0"/>
        <v>32</v>
      </c>
      <c r="G35" s="256"/>
      <c r="H35" s="116" t="s">
        <v>292</v>
      </c>
      <c r="I35" s="122">
        <f>'Mass Balance'!D251</f>
        <v>615.93167346819087</v>
      </c>
      <c r="J35" s="122">
        <f>'Mass Balance'!E251</f>
        <v>81388.422939544704</v>
      </c>
      <c r="K35" s="125">
        <f>'Mass Balance'!F251</f>
        <v>0.15694985402553802</v>
      </c>
      <c r="L35" s="216"/>
      <c r="M35" s="196"/>
      <c r="N35" s="193" t="s">
        <v>313</v>
      </c>
      <c r="O35" s="197"/>
      <c r="P35" s="214"/>
      <c r="Q35" s="215"/>
      <c r="R35" s="214"/>
      <c r="S35" s="215"/>
      <c r="T35" s="215"/>
      <c r="U35" s="215"/>
      <c r="V35" s="215"/>
      <c r="W35" s="215"/>
      <c r="X35" s="208"/>
      <c r="Y35" s="183">
        <v>32</v>
      </c>
      <c r="Z35" s="184" t="s">
        <v>249</v>
      </c>
      <c r="AA35" s="122">
        <f>'Mass Balance'!D11/3</f>
        <v>0</v>
      </c>
      <c r="AB35" s="125" t="s">
        <v>250</v>
      </c>
      <c r="AC35" s="207"/>
      <c r="AD35" s="208"/>
      <c r="AE35" s="207"/>
      <c r="AF35" s="207"/>
      <c r="AG35" s="207"/>
      <c r="AH35" s="207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</row>
    <row r="36" spans="1:45" ht="24" customHeight="1">
      <c r="A36" s="183">
        <v>33</v>
      </c>
      <c r="B36" s="184" t="s">
        <v>197</v>
      </c>
      <c r="C36" s="122">
        <f>900/1000</f>
        <v>0.9</v>
      </c>
      <c r="D36" s="186" t="s">
        <v>148</v>
      </c>
      <c r="E36" s="208"/>
      <c r="F36" s="183">
        <f t="shared" si="0"/>
        <v>33</v>
      </c>
      <c r="G36" s="256"/>
      <c r="H36" s="116" t="s">
        <v>9</v>
      </c>
      <c r="I36" s="122">
        <f>'Mass Balance'!D252</f>
        <v>27.591175267724051</v>
      </c>
      <c r="J36" s="122">
        <f>'Mass Balance'!E252</f>
        <v>11033.098465471905</v>
      </c>
      <c r="K36" s="125">
        <f>'Mass Balance'!F252</f>
        <v>2.1276283911920334E-2</v>
      </c>
      <c r="L36" s="216"/>
      <c r="M36" s="196"/>
      <c r="N36" s="193" t="s">
        <v>3</v>
      </c>
      <c r="O36" s="197"/>
      <c r="P36" s="214"/>
      <c r="Q36" s="215"/>
      <c r="R36" s="219"/>
      <c r="S36" s="219"/>
      <c r="T36" s="219"/>
      <c r="U36" s="219"/>
      <c r="V36" s="219"/>
      <c r="W36" s="219"/>
      <c r="X36" s="219"/>
      <c r="Y36" s="183">
        <v>33</v>
      </c>
      <c r="Z36" s="184" t="s">
        <v>251</v>
      </c>
      <c r="AA36" s="122">
        <v>0.04</v>
      </c>
      <c r="AB36" s="125" t="s">
        <v>420</v>
      </c>
      <c r="AC36" s="207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</row>
    <row r="37" spans="1:45" ht="24" customHeight="1">
      <c r="A37" s="183">
        <v>34</v>
      </c>
      <c r="B37" s="184" t="s">
        <v>147</v>
      </c>
      <c r="C37" s="122">
        <f>1000/1000</f>
        <v>1</v>
      </c>
      <c r="D37" s="186" t="s">
        <v>148</v>
      </c>
      <c r="E37" s="208"/>
      <c r="F37" s="183">
        <f t="shared" si="0"/>
        <v>34</v>
      </c>
      <c r="G37" s="256"/>
      <c r="H37" s="116" t="s">
        <v>27</v>
      </c>
      <c r="I37" s="122">
        <f>'Mass Balance'!D253</f>
        <v>357.5849306939183</v>
      </c>
      <c r="J37" s="122">
        <f>'Mass Balance'!E253</f>
        <v>12531.671171647575</v>
      </c>
      <c r="K37" s="125">
        <f>'Mass Balance'!F253</f>
        <v>2.4166139237605092E-2</v>
      </c>
      <c r="L37" s="216"/>
      <c r="M37" s="196"/>
      <c r="N37" s="193" t="s">
        <v>293</v>
      </c>
      <c r="O37" s="197"/>
      <c r="P37" s="214"/>
      <c r="Q37" s="215"/>
      <c r="R37" s="214"/>
      <c r="S37" s="215"/>
      <c r="T37" s="215"/>
      <c r="U37" s="215"/>
      <c r="V37" s="215"/>
      <c r="W37" s="215"/>
      <c r="X37" s="208"/>
      <c r="Y37" s="183">
        <v>34</v>
      </c>
      <c r="Z37" s="184" t="s">
        <v>252</v>
      </c>
      <c r="AA37" s="122">
        <v>3.2000000000000001E-2</v>
      </c>
      <c r="AB37" s="125" t="s">
        <v>420</v>
      </c>
      <c r="AC37" s="207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</row>
    <row r="38" spans="1:45" ht="24" customHeight="1">
      <c r="A38" s="183">
        <v>35</v>
      </c>
      <c r="B38" s="184" t="s">
        <v>198</v>
      </c>
      <c r="C38" s="122">
        <f>1780/1000</f>
        <v>1.78</v>
      </c>
      <c r="D38" s="186" t="s">
        <v>148</v>
      </c>
      <c r="E38" s="208"/>
      <c r="F38" s="183">
        <f t="shared" si="0"/>
        <v>35</v>
      </c>
      <c r="G38" s="256"/>
      <c r="H38" s="116" t="s">
        <v>28</v>
      </c>
      <c r="I38" s="122">
        <f>'Mass Balance'!D254</f>
        <v>0</v>
      </c>
      <c r="J38" s="122">
        <f>'Mass Balance'!E254</f>
        <v>0</v>
      </c>
      <c r="K38" s="125">
        <f>'Mass Balance'!F254</f>
        <v>0</v>
      </c>
      <c r="L38" s="216"/>
      <c r="M38" s="196"/>
      <c r="N38" s="193" t="s">
        <v>5</v>
      </c>
      <c r="O38" s="197"/>
      <c r="P38" s="214"/>
      <c r="Q38" s="215"/>
      <c r="R38" s="214"/>
      <c r="S38" s="215"/>
      <c r="T38" s="215"/>
      <c r="U38" s="215"/>
      <c r="V38" s="215"/>
      <c r="W38" s="215"/>
      <c r="X38" s="208"/>
      <c r="Y38" s="183">
        <v>35</v>
      </c>
      <c r="Z38" s="184" t="s">
        <v>384</v>
      </c>
      <c r="AA38" s="122">
        <f>AA37/10</f>
        <v>3.2000000000000002E-3</v>
      </c>
      <c r="AB38" s="125" t="s">
        <v>420</v>
      </c>
      <c r="AC38" s="207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</row>
    <row r="39" spans="1:45" ht="24" customHeight="1">
      <c r="A39" s="183">
        <v>36</v>
      </c>
      <c r="B39" s="184" t="s">
        <v>199</v>
      </c>
      <c r="C39" s="122">
        <f>1580/1000</f>
        <v>1.58</v>
      </c>
      <c r="D39" s="186" t="s">
        <v>148</v>
      </c>
      <c r="E39" s="208"/>
      <c r="F39" s="183">
        <f t="shared" si="0"/>
        <v>36</v>
      </c>
      <c r="G39" s="256"/>
      <c r="H39" s="116" t="s">
        <v>39</v>
      </c>
      <c r="I39" s="122">
        <f>'Mass Balance'!D255</f>
        <v>0</v>
      </c>
      <c r="J39" s="122">
        <f>'Mass Balance'!E255</f>
        <v>0</v>
      </c>
      <c r="K39" s="125">
        <f>'Mass Balance'!F255</f>
        <v>0</v>
      </c>
      <c r="L39" s="216"/>
      <c r="M39" s="196"/>
      <c r="N39" s="193" t="s">
        <v>6</v>
      </c>
      <c r="O39" s="197"/>
      <c r="P39" s="214"/>
      <c r="Q39" s="215"/>
      <c r="R39" s="214"/>
      <c r="S39" s="215"/>
      <c r="T39" s="215"/>
      <c r="U39" s="215"/>
      <c r="V39" s="215"/>
      <c r="W39" s="215"/>
      <c r="X39" s="208"/>
      <c r="Y39" s="183">
        <v>36</v>
      </c>
      <c r="Z39" s="184" t="s">
        <v>383</v>
      </c>
      <c r="AA39" s="122">
        <v>1200</v>
      </c>
      <c r="AB39" s="125" t="s">
        <v>253</v>
      </c>
      <c r="AC39" s="207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</row>
    <row r="40" spans="1:45" ht="24" customHeight="1">
      <c r="A40" s="183">
        <v>37</v>
      </c>
      <c r="B40" s="184" t="s">
        <v>201</v>
      </c>
      <c r="C40" s="122">
        <v>2.6</v>
      </c>
      <c r="D40" s="186" t="s">
        <v>148</v>
      </c>
      <c r="E40" s="208"/>
      <c r="F40" s="183">
        <f t="shared" si="0"/>
        <v>37</v>
      </c>
      <c r="G40" s="256"/>
      <c r="H40" s="116" t="s">
        <v>291</v>
      </c>
      <c r="I40" s="122">
        <f>'Mass Balance'!D256</f>
        <v>0</v>
      </c>
      <c r="J40" s="122">
        <f>'Mass Balance'!E256</f>
        <v>0</v>
      </c>
      <c r="K40" s="125">
        <f>'Mass Balance'!F256</f>
        <v>0</v>
      </c>
      <c r="L40" s="216"/>
      <c r="M40" s="196"/>
      <c r="N40" s="193" t="s">
        <v>7</v>
      </c>
      <c r="O40" s="197"/>
      <c r="P40" s="214"/>
      <c r="Q40" s="215"/>
      <c r="R40" s="214"/>
      <c r="S40" s="215"/>
      <c r="T40" s="215"/>
      <c r="U40" s="215"/>
      <c r="V40" s="215"/>
      <c r="W40" s="215"/>
      <c r="X40" s="208"/>
      <c r="Y40" s="183"/>
      <c r="Z40" s="184"/>
      <c r="AA40" s="122"/>
      <c r="AB40" s="125"/>
      <c r="AC40" s="207"/>
      <c r="AD40" s="212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</row>
    <row r="41" spans="1:45" ht="24" customHeight="1">
      <c r="A41" s="183">
        <v>38</v>
      </c>
      <c r="B41" s="184" t="s">
        <v>207</v>
      </c>
      <c r="C41" s="122">
        <v>8000</v>
      </c>
      <c r="D41" s="186" t="s">
        <v>200</v>
      </c>
      <c r="E41" s="208"/>
      <c r="F41" s="183">
        <f t="shared" si="0"/>
        <v>38</v>
      </c>
      <c r="G41" s="256"/>
      <c r="H41" s="116" t="s">
        <v>40</v>
      </c>
      <c r="I41" s="122">
        <f>'Mass Balance'!D257</f>
        <v>0</v>
      </c>
      <c r="J41" s="122">
        <f>'Mass Balance'!E257</f>
        <v>0</v>
      </c>
      <c r="K41" s="125">
        <f>'Mass Balance'!F257</f>
        <v>0</v>
      </c>
      <c r="L41" s="216"/>
      <c r="M41" s="196"/>
      <c r="N41" s="193" t="s">
        <v>292</v>
      </c>
      <c r="O41" s="197"/>
      <c r="P41" s="214"/>
      <c r="Q41" s="215"/>
      <c r="R41" s="214"/>
      <c r="S41" s="215"/>
      <c r="T41" s="215"/>
      <c r="U41" s="215"/>
      <c r="V41" s="215"/>
      <c r="W41" s="215"/>
      <c r="X41" s="208"/>
      <c r="Y41" s="183"/>
      <c r="Z41" s="184"/>
      <c r="AA41" s="122"/>
      <c r="AB41" s="125"/>
      <c r="AC41" s="207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</row>
    <row r="42" spans="1:45" ht="24" customHeight="1">
      <c r="A42" s="183">
        <v>39</v>
      </c>
      <c r="B42" s="184" t="s">
        <v>227</v>
      </c>
      <c r="C42" s="122">
        <f>1780/1000</f>
        <v>1.78</v>
      </c>
      <c r="D42" s="186" t="s">
        <v>148</v>
      </c>
      <c r="E42" s="208"/>
      <c r="F42" s="183">
        <f t="shared" si="0"/>
        <v>39</v>
      </c>
      <c r="G42" s="256"/>
      <c r="H42" s="116" t="s">
        <v>54</v>
      </c>
      <c r="I42" s="122">
        <f>'Mass Balance'!D258</f>
        <v>0</v>
      </c>
      <c r="J42" s="122">
        <f>'Mass Balance'!E258</f>
        <v>0</v>
      </c>
      <c r="K42" s="125">
        <f>'Mass Balance'!F258</f>
        <v>0</v>
      </c>
      <c r="L42" s="216"/>
      <c r="M42" s="196"/>
      <c r="N42" s="193" t="s">
        <v>9</v>
      </c>
      <c r="O42" s="197"/>
      <c r="P42" s="214"/>
      <c r="Q42" s="215"/>
      <c r="R42" s="214"/>
      <c r="S42" s="215"/>
      <c r="T42" s="215"/>
      <c r="U42" s="215"/>
      <c r="V42" s="215"/>
      <c r="W42" s="215"/>
      <c r="X42" s="208"/>
      <c r="Y42" s="183">
        <v>39</v>
      </c>
      <c r="Z42" s="184" t="s">
        <v>355</v>
      </c>
      <c r="AA42" s="122">
        <v>0.08</v>
      </c>
      <c r="AB42" s="125"/>
      <c r="AC42" s="207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</row>
    <row r="43" spans="1:45" ht="24" customHeight="1">
      <c r="A43" s="183">
        <v>40</v>
      </c>
      <c r="B43" s="184" t="s">
        <v>228</v>
      </c>
      <c r="C43" s="122">
        <f>3100/1000</f>
        <v>3.1</v>
      </c>
      <c r="D43" s="186" t="s">
        <v>148</v>
      </c>
      <c r="E43" s="208"/>
      <c r="F43" s="183">
        <f t="shared" si="0"/>
        <v>40</v>
      </c>
      <c r="G43" s="250" t="s">
        <v>295</v>
      </c>
      <c r="H43" s="116" t="s">
        <v>3</v>
      </c>
      <c r="I43" s="122">
        <f>'Mass Balance'!D259</f>
        <v>0</v>
      </c>
      <c r="J43" s="122">
        <f>'Mass Balance'!E259</f>
        <v>0</v>
      </c>
      <c r="K43" s="125">
        <f>'Mass Balance'!F259</f>
        <v>0</v>
      </c>
      <c r="L43" s="216"/>
      <c r="M43" s="196"/>
      <c r="N43" s="193" t="s">
        <v>27</v>
      </c>
      <c r="O43" s="197"/>
      <c r="P43" s="214"/>
      <c r="Q43" s="215"/>
      <c r="R43" s="214"/>
      <c r="S43" s="215"/>
      <c r="T43" s="215"/>
      <c r="U43" s="215"/>
      <c r="V43" s="215"/>
      <c r="W43" s="215"/>
      <c r="X43" s="208"/>
      <c r="Y43" s="183">
        <v>40</v>
      </c>
      <c r="Z43" s="184" t="s">
        <v>356</v>
      </c>
      <c r="AA43" s="122">
        <v>0.12</v>
      </c>
      <c r="AB43" s="125"/>
      <c r="AC43" s="207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</row>
    <row r="44" spans="1:45" ht="24" customHeight="1">
      <c r="A44" s="183">
        <v>41</v>
      </c>
      <c r="B44" s="184" t="s">
        <v>328</v>
      </c>
      <c r="C44" s="122">
        <v>0.8</v>
      </c>
      <c r="D44" s="125"/>
      <c r="E44" s="208"/>
      <c r="F44" s="183">
        <f t="shared" si="0"/>
        <v>41</v>
      </c>
      <c r="G44" s="250"/>
      <c r="H44" s="116" t="s">
        <v>293</v>
      </c>
      <c r="I44" s="122">
        <f>'Mass Balance'!D260</f>
        <v>0</v>
      </c>
      <c r="J44" s="122">
        <f>'Mass Balance'!E260</f>
        <v>0</v>
      </c>
      <c r="K44" s="125">
        <f>'Mass Balance'!F260</f>
        <v>0</v>
      </c>
      <c r="L44" s="216"/>
      <c r="M44" s="196"/>
      <c r="N44" s="193" t="s">
        <v>28</v>
      </c>
      <c r="O44" s="197"/>
      <c r="P44" s="208"/>
      <c r="Q44" s="215"/>
      <c r="R44" s="214"/>
      <c r="S44" s="215"/>
      <c r="T44" s="215"/>
      <c r="U44" s="215"/>
      <c r="V44" s="215"/>
      <c r="W44" s="215"/>
      <c r="X44" s="208"/>
      <c r="Y44" s="183">
        <v>41</v>
      </c>
      <c r="Z44" s="184" t="s">
        <v>378</v>
      </c>
      <c r="AA44" s="122">
        <v>10</v>
      </c>
      <c r="AB44" s="125" t="s">
        <v>253</v>
      </c>
      <c r="AC44" s="207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</row>
    <row r="45" spans="1:45" ht="27.95" customHeight="1">
      <c r="A45" s="183">
        <v>42</v>
      </c>
      <c r="B45" s="184" t="s">
        <v>329</v>
      </c>
      <c r="C45" s="122">
        <v>2.96</v>
      </c>
      <c r="D45" s="125" t="s">
        <v>148</v>
      </c>
      <c r="E45" s="208"/>
      <c r="F45" s="183">
        <f t="shared" si="0"/>
        <v>42</v>
      </c>
      <c r="G45" s="250"/>
      <c r="H45" s="116" t="s">
        <v>5</v>
      </c>
      <c r="I45" s="122">
        <f>'Mass Balance'!D261</f>
        <v>624.1231070346164</v>
      </c>
      <c r="J45" s="122">
        <f>'Mass Balance'!E261</f>
        <v>75124.200498299891</v>
      </c>
      <c r="K45" s="125">
        <f>'Mass Balance'!F261</f>
        <v>0.1448698952030508</v>
      </c>
      <c r="L45" s="221"/>
      <c r="M45" s="196"/>
      <c r="N45" s="193" t="s">
        <v>39</v>
      </c>
      <c r="O45" s="197"/>
      <c r="P45" s="208"/>
      <c r="Q45" s="215"/>
      <c r="R45" s="214"/>
      <c r="S45" s="215"/>
      <c r="T45" s="215"/>
      <c r="U45" s="215"/>
      <c r="V45" s="215"/>
      <c r="W45" s="215"/>
      <c r="X45" s="208"/>
      <c r="Y45" s="183">
        <v>42</v>
      </c>
      <c r="Z45" s="184" t="s">
        <v>259</v>
      </c>
      <c r="AA45" s="122">
        <v>19690.305736036145</v>
      </c>
      <c r="AB45" s="125" t="s">
        <v>250</v>
      </c>
      <c r="AC45" s="213"/>
      <c r="AD45" s="212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</row>
    <row r="46" spans="1:45" ht="27.95" customHeight="1">
      <c r="A46" s="183">
        <v>43</v>
      </c>
      <c r="B46" s="184" t="s">
        <v>344</v>
      </c>
      <c r="C46" s="122">
        <v>1.2839</v>
      </c>
      <c r="D46" s="125"/>
      <c r="E46" s="208"/>
      <c r="F46" s="183">
        <f t="shared" si="0"/>
        <v>43</v>
      </c>
      <c r="G46" s="250"/>
      <c r="H46" s="116" t="s">
        <v>6</v>
      </c>
      <c r="I46" s="122">
        <f>'Mass Balance'!D262</f>
        <v>0</v>
      </c>
      <c r="J46" s="122">
        <f>'Mass Balance'!E262</f>
        <v>0</v>
      </c>
      <c r="K46" s="125">
        <f>'Mass Balance'!F262</f>
        <v>0</v>
      </c>
      <c r="L46" s="221"/>
      <c r="M46" s="196"/>
      <c r="N46" s="193" t="s">
        <v>291</v>
      </c>
      <c r="O46" s="197"/>
      <c r="P46" s="208"/>
      <c r="Q46" s="215"/>
      <c r="R46" s="214"/>
      <c r="S46" s="215"/>
      <c r="T46" s="215"/>
      <c r="U46" s="215"/>
      <c r="V46" s="215"/>
      <c r="W46" s="215"/>
      <c r="X46" s="208"/>
      <c r="Y46" s="183">
        <v>43</v>
      </c>
      <c r="Z46" s="184"/>
      <c r="AA46" s="122">
        <f>AA45*AA11/1000</f>
        <v>157522.44588828916</v>
      </c>
      <c r="AB46" s="125" t="s">
        <v>64</v>
      </c>
      <c r="AC46" s="207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</row>
    <row r="47" spans="1:45" ht="27.95" customHeight="1">
      <c r="A47" s="183">
        <v>44</v>
      </c>
      <c r="B47" s="184" t="s">
        <v>345</v>
      </c>
      <c r="C47" s="122">
        <v>4.1859999999999999</v>
      </c>
      <c r="D47" s="125"/>
      <c r="E47" s="208"/>
      <c r="F47" s="183">
        <f t="shared" si="0"/>
        <v>44</v>
      </c>
      <c r="G47" s="250"/>
      <c r="H47" s="116" t="s">
        <v>7</v>
      </c>
      <c r="I47" s="122">
        <f>'Mass Balance'!D263</f>
        <v>17754.02720871583</v>
      </c>
      <c r="J47" s="122">
        <f>'Mass Balance'!E263</f>
        <v>319840.22048719239</v>
      </c>
      <c r="K47" s="125">
        <f>'Mass Balance'!F263</f>
        <v>0.61678152867329117</v>
      </c>
      <c r="L47" s="221"/>
      <c r="M47" s="196"/>
      <c r="N47" s="193" t="s">
        <v>40</v>
      </c>
      <c r="O47" s="197"/>
      <c r="P47" s="208"/>
      <c r="Q47" s="215"/>
      <c r="R47" s="214"/>
      <c r="S47" s="215"/>
      <c r="T47" s="215"/>
      <c r="U47" s="215"/>
      <c r="V47" s="215"/>
      <c r="W47" s="215"/>
      <c r="X47" s="208"/>
      <c r="Y47" s="183">
        <v>44</v>
      </c>
      <c r="Z47" s="184" t="s">
        <v>331</v>
      </c>
      <c r="AA47" s="122">
        <v>1000</v>
      </c>
      <c r="AB47" s="125" t="s">
        <v>209</v>
      </c>
      <c r="AC47" s="207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</row>
    <row r="48" spans="1:45" ht="27.95" customHeight="1" thickBot="1">
      <c r="A48" s="183">
        <f>A47+1</f>
        <v>45</v>
      </c>
      <c r="B48" s="184" t="s">
        <v>346</v>
      </c>
      <c r="C48" s="122">
        <v>0.5</v>
      </c>
      <c r="D48" s="125" t="s">
        <v>65</v>
      </c>
      <c r="E48" s="208"/>
      <c r="F48" s="183">
        <f t="shared" si="0"/>
        <v>45</v>
      </c>
      <c r="G48" s="250"/>
      <c r="H48" s="116" t="s">
        <v>292</v>
      </c>
      <c r="I48" s="122">
        <f>'Mass Balance'!D264</f>
        <v>890.74307835893694</v>
      </c>
      <c r="J48" s="122">
        <f>'Mass Balance'!E264</f>
        <v>117701.65022320964</v>
      </c>
      <c r="K48" s="125">
        <f>'Mass Balance'!F264</f>
        <v>0.22697646856752116</v>
      </c>
      <c r="L48" s="142"/>
      <c r="M48" s="200"/>
      <c r="N48" s="201" t="s">
        <v>54</v>
      </c>
      <c r="O48" s="202"/>
      <c r="P48" s="208"/>
      <c r="Q48" s="215"/>
      <c r="R48" s="214"/>
      <c r="S48" s="215"/>
      <c r="T48" s="215"/>
      <c r="U48" s="215"/>
      <c r="V48" s="215"/>
      <c r="W48" s="215"/>
      <c r="X48" s="208"/>
      <c r="Y48" s="183">
        <v>45</v>
      </c>
      <c r="Z48" s="184" t="s">
        <v>332</v>
      </c>
      <c r="AA48" s="122">
        <v>1000</v>
      </c>
      <c r="AB48" s="125" t="s">
        <v>209</v>
      </c>
      <c r="AC48" s="207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</row>
    <row r="49" spans="1:45" ht="27.95" customHeight="1">
      <c r="A49" s="183">
        <f t="shared" ref="A49:A51" si="5">A48+1</f>
        <v>46</v>
      </c>
      <c r="B49" s="184" t="s">
        <v>349</v>
      </c>
      <c r="C49" s="122">
        <v>0.95</v>
      </c>
      <c r="D49" s="125"/>
      <c r="E49" s="208"/>
      <c r="F49" s="183">
        <f t="shared" si="0"/>
        <v>46</v>
      </c>
      <c r="G49" s="250"/>
      <c r="H49" s="116" t="s">
        <v>9</v>
      </c>
      <c r="I49" s="122">
        <f>'Mass Balance'!D265</f>
        <v>0</v>
      </c>
      <c r="J49" s="122">
        <f>'Mass Balance'!E265</f>
        <v>0</v>
      </c>
      <c r="K49" s="125">
        <f>'Mass Balance'!F265</f>
        <v>0</v>
      </c>
      <c r="L49" s="216"/>
      <c r="M49" s="215"/>
      <c r="N49" s="215"/>
      <c r="O49" s="208"/>
      <c r="P49" s="208"/>
      <c r="Q49" s="215"/>
      <c r="R49" s="214"/>
      <c r="S49" s="215"/>
      <c r="T49" s="215"/>
      <c r="U49" s="215"/>
      <c r="V49" s="215"/>
      <c r="W49" s="215"/>
      <c r="X49" s="208"/>
      <c r="Y49" s="183">
        <v>46</v>
      </c>
      <c r="Z49" s="184" t="s">
        <v>333</v>
      </c>
      <c r="AA49" s="122">
        <v>1000</v>
      </c>
      <c r="AB49" s="125" t="s">
        <v>209</v>
      </c>
      <c r="AC49" s="207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</row>
    <row r="50" spans="1:45" ht="27.95" customHeight="1">
      <c r="A50" s="183">
        <f t="shared" si="5"/>
        <v>47</v>
      </c>
      <c r="B50" s="184" t="s">
        <v>350</v>
      </c>
      <c r="C50" s="122">
        <v>0.25</v>
      </c>
      <c r="D50" s="125"/>
      <c r="E50" s="208"/>
      <c r="F50" s="183">
        <f t="shared" si="0"/>
        <v>47</v>
      </c>
      <c r="G50" s="250"/>
      <c r="H50" s="116" t="s">
        <v>27</v>
      </c>
      <c r="I50" s="122">
        <f>'Mass Balance'!D266</f>
        <v>0</v>
      </c>
      <c r="J50" s="122">
        <f>'Mass Balance'!E266</f>
        <v>0</v>
      </c>
      <c r="K50" s="125">
        <f>'Mass Balance'!F266</f>
        <v>0</v>
      </c>
      <c r="L50" s="216"/>
      <c r="M50" s="215"/>
      <c r="N50" s="215"/>
      <c r="O50" s="208"/>
      <c r="P50" s="208"/>
      <c r="Q50" s="215"/>
      <c r="R50" s="214"/>
      <c r="S50" s="215"/>
      <c r="T50" s="215"/>
      <c r="U50" s="215"/>
      <c r="V50" s="215"/>
      <c r="W50" s="215"/>
      <c r="X50" s="208"/>
      <c r="Y50" s="183">
        <v>47</v>
      </c>
      <c r="Z50" s="184" t="s">
        <v>335</v>
      </c>
      <c r="AA50" s="122">
        <v>0.02</v>
      </c>
      <c r="AB50" s="125" t="s">
        <v>152</v>
      </c>
      <c r="AC50" s="207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</row>
    <row r="51" spans="1:45" ht="27.95" customHeight="1" thickBot="1">
      <c r="A51" s="187">
        <f t="shared" si="5"/>
        <v>48</v>
      </c>
      <c r="B51" s="188" t="s">
        <v>386</v>
      </c>
      <c r="C51" s="189">
        <v>0.3</v>
      </c>
      <c r="D51" s="190"/>
      <c r="E51" s="208"/>
      <c r="F51" s="183">
        <f t="shared" si="0"/>
        <v>48</v>
      </c>
      <c r="G51" s="250"/>
      <c r="H51" s="116" t="s">
        <v>28</v>
      </c>
      <c r="I51" s="122">
        <f>'Mass Balance'!D267</f>
        <v>55.182350535448101</v>
      </c>
      <c r="J51" s="122">
        <f>'Mass Balance'!E267</f>
        <v>5897.1568036135823</v>
      </c>
      <c r="K51" s="125">
        <f>'Mass Balance'!F267</f>
        <v>1.1372107556136874E-2</v>
      </c>
      <c r="L51" s="216"/>
      <c r="M51" s="215"/>
      <c r="N51" s="215"/>
      <c r="O51" s="208"/>
      <c r="P51" s="208"/>
      <c r="Q51" s="215"/>
      <c r="R51" s="214"/>
      <c r="S51" s="217"/>
      <c r="T51" s="215"/>
      <c r="U51" s="215"/>
      <c r="V51" s="215"/>
      <c r="W51" s="215"/>
      <c r="X51" s="208"/>
      <c r="Y51" s="183">
        <v>48</v>
      </c>
      <c r="Z51" s="184" t="s">
        <v>336</v>
      </c>
      <c r="AA51" s="122">
        <v>3000</v>
      </c>
      <c r="AB51" s="125" t="s">
        <v>337</v>
      </c>
      <c r="AC51" s="207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</row>
    <row r="52" spans="1:45" ht="27.95" customHeight="1">
      <c r="A52" s="214"/>
      <c r="B52" s="214"/>
      <c r="C52" s="215"/>
      <c r="D52" s="215"/>
      <c r="E52" s="208"/>
      <c r="F52" s="183">
        <f t="shared" si="0"/>
        <v>49</v>
      </c>
      <c r="G52" s="250"/>
      <c r="H52" s="116" t="s">
        <v>39</v>
      </c>
      <c r="I52" s="122">
        <f>'Mass Balance'!D268</f>
        <v>0</v>
      </c>
      <c r="J52" s="122">
        <f>'Mass Balance'!E268</f>
        <v>0</v>
      </c>
      <c r="K52" s="125">
        <f>'Mass Balance'!F268</f>
        <v>0</v>
      </c>
      <c r="L52" s="216"/>
      <c r="M52" s="215"/>
      <c r="N52" s="215"/>
      <c r="O52" s="208"/>
      <c r="P52" s="208"/>
      <c r="Q52" s="215"/>
      <c r="R52" s="214"/>
      <c r="S52" s="215"/>
      <c r="T52" s="215"/>
      <c r="U52" s="215"/>
      <c r="V52" s="215"/>
      <c r="W52" s="215"/>
      <c r="X52" s="208"/>
      <c r="Y52" s="183">
        <v>49</v>
      </c>
      <c r="Z52" s="184" t="str">
        <f>Assumptions!H20</f>
        <v>NH4OH (25%)</v>
      </c>
      <c r="AA52" s="122">
        <f>Assumptions!I20</f>
        <v>300</v>
      </c>
      <c r="AB52" s="125" t="str">
        <f>Assumptions!J20</f>
        <v>USD/t</v>
      </c>
      <c r="AC52" s="207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</row>
    <row r="53" spans="1:45" ht="27.95" customHeight="1">
      <c r="A53" s="214"/>
      <c r="B53" s="214"/>
      <c r="C53" s="215"/>
      <c r="D53" s="215"/>
      <c r="E53" s="208"/>
      <c r="F53" s="183">
        <f t="shared" si="0"/>
        <v>50</v>
      </c>
      <c r="G53" s="250"/>
      <c r="H53" s="116" t="s">
        <v>291</v>
      </c>
      <c r="I53" s="122">
        <f>'Mass Balance'!D269</f>
        <v>0</v>
      </c>
      <c r="J53" s="122">
        <f>'Mass Balance'!E269</f>
        <v>0</v>
      </c>
      <c r="K53" s="125">
        <f>'Mass Balance'!F269</f>
        <v>0</v>
      </c>
      <c r="L53" s="216"/>
      <c r="M53" s="215"/>
      <c r="N53" s="215"/>
      <c r="O53" s="208"/>
      <c r="P53" s="208"/>
      <c r="Q53" s="215"/>
      <c r="R53" s="214"/>
      <c r="S53" s="215"/>
      <c r="T53" s="215"/>
      <c r="U53" s="215"/>
      <c r="V53" s="215"/>
      <c r="W53" s="215"/>
      <c r="X53" s="208"/>
      <c r="Y53" s="183">
        <v>50</v>
      </c>
      <c r="Z53" s="184" t="s">
        <v>351</v>
      </c>
      <c r="AA53" s="122">
        <v>102</v>
      </c>
      <c r="AB53" s="125" t="s">
        <v>352</v>
      </c>
      <c r="AC53" s="207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</row>
    <row r="54" spans="1:45" ht="27.95" customHeight="1">
      <c r="A54" s="214"/>
      <c r="B54" s="214"/>
      <c r="C54" s="215"/>
      <c r="D54" s="215"/>
      <c r="E54" s="208"/>
      <c r="F54" s="183">
        <f t="shared" si="0"/>
        <v>51</v>
      </c>
      <c r="G54" s="250"/>
      <c r="H54" s="116" t="s">
        <v>40</v>
      </c>
      <c r="I54" s="122">
        <f>'Mass Balance'!D270</f>
        <v>0</v>
      </c>
      <c r="J54" s="122">
        <f>'Mass Balance'!E270</f>
        <v>0</v>
      </c>
      <c r="K54" s="125">
        <f>'Mass Balance'!F270</f>
        <v>0</v>
      </c>
      <c r="L54" s="216"/>
      <c r="M54" s="215"/>
      <c r="N54" s="215"/>
      <c r="O54" s="208"/>
      <c r="P54" s="208"/>
      <c r="Q54" s="215"/>
      <c r="R54" s="214"/>
      <c r="S54" s="215"/>
      <c r="T54" s="215"/>
      <c r="U54" s="215"/>
      <c r="V54" s="215"/>
      <c r="W54" s="215"/>
      <c r="X54" s="208"/>
      <c r="Y54" s="183">
        <v>51</v>
      </c>
      <c r="Z54" s="184" t="s">
        <v>353</v>
      </c>
      <c r="AA54" s="122">
        <v>32</v>
      </c>
      <c r="AB54" s="125" t="s">
        <v>352</v>
      </c>
      <c r="AC54" s="207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</row>
    <row r="55" spans="1:45" ht="27.95" customHeight="1">
      <c r="A55" s="214"/>
      <c r="B55" s="214"/>
      <c r="C55" s="215"/>
      <c r="D55" s="215"/>
      <c r="E55" s="208"/>
      <c r="F55" s="183">
        <f t="shared" si="0"/>
        <v>52</v>
      </c>
      <c r="G55" s="250"/>
      <c r="H55" s="116" t="s">
        <v>54</v>
      </c>
      <c r="I55" s="122">
        <f>'Mass Balance'!D271</f>
        <v>0</v>
      </c>
      <c r="J55" s="122">
        <f>'Mass Balance'!E271</f>
        <v>0</v>
      </c>
      <c r="K55" s="125">
        <f>'Mass Balance'!F271</f>
        <v>0</v>
      </c>
      <c r="L55" s="216"/>
      <c r="M55" s="215"/>
      <c r="N55" s="215"/>
      <c r="O55" s="208"/>
      <c r="P55" s="208"/>
      <c r="Q55" s="215"/>
      <c r="R55" s="214"/>
      <c r="S55" s="215"/>
      <c r="T55" s="215"/>
      <c r="U55" s="215"/>
      <c r="V55" s="215"/>
      <c r="W55" s="215"/>
      <c r="X55" s="208"/>
      <c r="Y55" s="183">
        <v>52</v>
      </c>
      <c r="Z55" s="116" t="s">
        <v>359</v>
      </c>
      <c r="AA55" s="122">
        <v>417</v>
      </c>
      <c r="AB55" s="125" t="s">
        <v>371</v>
      </c>
      <c r="AC55" s="207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</row>
    <row r="56" spans="1:45" ht="27.95" customHeight="1">
      <c r="A56" s="214"/>
      <c r="B56" s="214"/>
      <c r="C56" s="215"/>
      <c r="D56" s="215"/>
      <c r="E56" s="208"/>
      <c r="F56" s="183">
        <f t="shared" si="0"/>
        <v>53</v>
      </c>
      <c r="G56" s="250" t="s">
        <v>297</v>
      </c>
      <c r="H56" s="116" t="s">
        <v>3</v>
      </c>
      <c r="I56" s="122">
        <f>'Mass Balance'!D272</f>
        <v>0</v>
      </c>
      <c r="J56" s="122">
        <f>'Mass Balance'!E272</f>
        <v>0</v>
      </c>
      <c r="K56" s="125">
        <f>'Mass Balance'!F272</f>
        <v>0</v>
      </c>
      <c r="L56" s="216"/>
      <c r="M56" s="215"/>
      <c r="N56" s="215"/>
      <c r="O56" s="208"/>
      <c r="P56" s="208"/>
      <c r="Q56" s="215"/>
      <c r="R56" s="214"/>
      <c r="S56" s="215"/>
      <c r="T56" s="215"/>
      <c r="U56" s="215"/>
      <c r="V56" s="215"/>
      <c r="W56" s="215"/>
      <c r="X56" s="208"/>
      <c r="Y56" s="183">
        <v>53</v>
      </c>
      <c r="Z56" s="116" t="s">
        <v>360</v>
      </c>
      <c r="AA56" s="122">
        <v>241</v>
      </c>
      <c r="AB56" s="125" t="s">
        <v>371</v>
      </c>
      <c r="AC56" s="207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</row>
    <row r="57" spans="1:45" ht="27.95" customHeight="1">
      <c r="A57" s="214"/>
      <c r="B57" s="214"/>
      <c r="C57" s="215"/>
      <c r="D57" s="215"/>
      <c r="E57" s="208"/>
      <c r="F57" s="183">
        <f t="shared" si="0"/>
        <v>54</v>
      </c>
      <c r="G57" s="250"/>
      <c r="H57" s="116" t="s">
        <v>293</v>
      </c>
      <c r="I57" s="122">
        <f>'Mass Balance'!D273</f>
        <v>0</v>
      </c>
      <c r="J57" s="122">
        <f>'Mass Balance'!E273</f>
        <v>0</v>
      </c>
      <c r="K57" s="125">
        <f>'Mass Balance'!F273</f>
        <v>0</v>
      </c>
      <c r="L57" s="216"/>
      <c r="M57" s="215"/>
      <c r="N57" s="218"/>
      <c r="O57" s="208"/>
      <c r="P57" s="208"/>
      <c r="Q57" s="215"/>
      <c r="R57" s="214"/>
      <c r="S57" s="215"/>
      <c r="T57" s="215"/>
      <c r="U57" s="215"/>
      <c r="V57" s="215"/>
      <c r="W57" s="215"/>
      <c r="X57" s="208"/>
      <c r="Y57" s="183">
        <v>54</v>
      </c>
      <c r="Z57" s="116" t="s">
        <v>369</v>
      </c>
      <c r="AA57" s="122">
        <v>2.58E-2</v>
      </c>
      <c r="AB57" s="125" t="s">
        <v>372</v>
      </c>
      <c r="AC57" s="207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</row>
    <row r="58" spans="1:45" ht="27.95" customHeight="1">
      <c r="A58" s="214"/>
      <c r="B58" s="214"/>
      <c r="C58" s="215"/>
      <c r="D58" s="215"/>
      <c r="E58" s="208"/>
      <c r="F58" s="183">
        <f t="shared" si="0"/>
        <v>55</v>
      </c>
      <c r="G58" s="250"/>
      <c r="H58" s="116" t="s">
        <v>5</v>
      </c>
      <c r="I58" s="122">
        <f>'Mass Balance'!D274</f>
        <v>624.1231070346164</v>
      </c>
      <c r="J58" s="122">
        <f>'Mass Balance'!E274</f>
        <v>75124.200498299891</v>
      </c>
      <c r="K58" s="125">
        <f>'Mass Balance'!F274</f>
        <v>9.164739157012973E-2</v>
      </c>
      <c r="L58" s="216"/>
      <c r="M58" s="215"/>
      <c r="N58" s="215"/>
      <c r="O58" s="208"/>
      <c r="P58" s="208"/>
      <c r="Q58" s="215"/>
      <c r="R58" s="214"/>
      <c r="S58" s="215"/>
      <c r="T58" s="215"/>
      <c r="U58" s="215"/>
      <c r="V58" s="215"/>
      <c r="W58" s="215"/>
      <c r="X58" s="208"/>
      <c r="Y58" s="183">
        <v>55</v>
      </c>
      <c r="Z58" s="116" t="s">
        <v>370</v>
      </c>
      <c r="AA58" s="122">
        <v>7.909999999999999E-2</v>
      </c>
      <c r="AB58" s="125" t="s">
        <v>372</v>
      </c>
      <c r="AC58" s="207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</row>
    <row r="59" spans="1:45" ht="27.95" customHeight="1">
      <c r="A59" s="214"/>
      <c r="B59" s="214"/>
      <c r="C59" s="215"/>
      <c r="D59" s="215"/>
      <c r="E59" s="208"/>
      <c r="F59" s="183">
        <f t="shared" si="0"/>
        <v>56</v>
      </c>
      <c r="G59" s="250"/>
      <c r="H59" s="116" t="s">
        <v>6</v>
      </c>
      <c r="I59" s="122">
        <f>'Mass Balance'!D275</f>
        <v>0</v>
      </c>
      <c r="J59" s="122">
        <f>'Mass Balance'!E275</f>
        <v>0</v>
      </c>
      <c r="K59" s="125">
        <f>'Mass Balance'!F275</f>
        <v>0</v>
      </c>
      <c r="L59" s="216"/>
      <c r="M59" s="215"/>
      <c r="N59" s="215"/>
      <c r="O59" s="208"/>
      <c r="P59" s="208"/>
      <c r="Q59" s="215"/>
      <c r="R59" s="214"/>
      <c r="S59" s="215"/>
      <c r="T59" s="215"/>
      <c r="U59" s="215"/>
      <c r="V59" s="215"/>
      <c r="W59" s="215"/>
      <c r="X59" s="208"/>
      <c r="Y59" s="183">
        <v>56</v>
      </c>
      <c r="Z59" s="116" t="s">
        <v>361</v>
      </c>
      <c r="AA59" s="122">
        <v>5.23</v>
      </c>
      <c r="AB59" s="125" t="s">
        <v>373</v>
      </c>
      <c r="AC59" s="207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</row>
    <row r="60" spans="1:45" ht="27.95" customHeight="1">
      <c r="A60" s="214"/>
      <c r="B60" s="214"/>
      <c r="C60" s="215"/>
      <c r="D60" s="215"/>
      <c r="E60" s="208"/>
      <c r="F60" s="183">
        <f t="shared" si="0"/>
        <v>57</v>
      </c>
      <c r="G60" s="250"/>
      <c r="H60" s="116" t="s">
        <v>7</v>
      </c>
      <c r="I60" s="122">
        <f>'Mass Balance'!D276</f>
        <v>29320.069103976835</v>
      </c>
      <c r="J60" s="122">
        <f>'Mass Balance'!E276</f>
        <v>528203.39051367098</v>
      </c>
      <c r="K60" s="125">
        <f>'Mass Balance'!F276</f>
        <v>0.64437907675532691</v>
      </c>
      <c r="L60" s="216"/>
      <c r="M60" s="215"/>
      <c r="N60" s="215"/>
      <c r="O60" s="208"/>
      <c r="P60" s="208"/>
      <c r="Q60" s="215"/>
      <c r="R60" s="214"/>
      <c r="S60" s="215"/>
      <c r="T60" s="215"/>
      <c r="U60" s="215"/>
      <c r="V60" s="215"/>
      <c r="W60" s="215"/>
      <c r="X60" s="208"/>
      <c r="Y60" s="183">
        <v>57</v>
      </c>
      <c r="Z60" s="116" t="s">
        <v>362</v>
      </c>
      <c r="AA60" s="205">
        <v>0</v>
      </c>
      <c r="AB60" s="206" t="s">
        <v>374</v>
      </c>
      <c r="AC60" s="207"/>
      <c r="AD60" s="182" t="s">
        <v>425</v>
      </c>
      <c r="AE60" s="182"/>
      <c r="AF60" s="182"/>
      <c r="AG60" s="182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</row>
    <row r="61" spans="1:45" ht="27.95" customHeight="1">
      <c r="A61" s="214"/>
      <c r="B61" s="214"/>
      <c r="C61" s="215"/>
      <c r="D61" s="215"/>
      <c r="E61" s="208"/>
      <c r="F61" s="183">
        <f t="shared" si="0"/>
        <v>58</v>
      </c>
      <c r="G61" s="250"/>
      <c r="H61" s="116" t="s">
        <v>292</v>
      </c>
      <c r="I61" s="122">
        <f>'Mass Balance'!D277</f>
        <v>890.74307835893694</v>
      </c>
      <c r="J61" s="122">
        <f>'Mass Balance'!E277</f>
        <v>117701.65022320964</v>
      </c>
      <c r="K61" s="125">
        <f>'Mass Balance'!F277</f>
        <v>0.14358953779083558</v>
      </c>
      <c r="L61" s="216"/>
      <c r="M61" s="215"/>
      <c r="N61" s="215"/>
      <c r="O61" s="208"/>
      <c r="P61" s="208"/>
      <c r="Q61" s="215"/>
      <c r="R61" s="214"/>
      <c r="S61" s="215"/>
      <c r="T61" s="215"/>
      <c r="U61" s="215"/>
      <c r="V61" s="215"/>
      <c r="W61" s="215"/>
      <c r="X61" s="208"/>
      <c r="Y61" s="183">
        <v>58</v>
      </c>
      <c r="Z61" s="116" t="s">
        <v>366</v>
      </c>
      <c r="AA61" s="205">
        <v>0</v>
      </c>
      <c r="AB61" s="206" t="s">
        <v>375</v>
      </c>
      <c r="AC61" s="207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</row>
    <row r="62" spans="1:45" ht="27.95" customHeight="1">
      <c r="A62" s="214"/>
      <c r="B62" s="214"/>
      <c r="C62" s="215"/>
      <c r="D62" s="215"/>
      <c r="E62" s="208"/>
      <c r="F62" s="183">
        <f t="shared" si="0"/>
        <v>59</v>
      </c>
      <c r="G62" s="250"/>
      <c r="H62" s="116" t="s">
        <v>9</v>
      </c>
      <c r="I62" s="122">
        <f>'Mass Balance'!D278</f>
        <v>0</v>
      </c>
      <c r="J62" s="122">
        <f>'Mass Balance'!E278</f>
        <v>0</v>
      </c>
      <c r="K62" s="125">
        <f>'Mass Balance'!F278</f>
        <v>0</v>
      </c>
      <c r="L62" s="216"/>
      <c r="M62" s="215"/>
      <c r="N62" s="215"/>
      <c r="O62" s="208"/>
      <c r="P62" s="208"/>
      <c r="Q62" s="215"/>
      <c r="R62" s="214"/>
      <c r="S62" s="215"/>
      <c r="T62" s="215"/>
      <c r="U62" s="215"/>
      <c r="V62" s="215"/>
      <c r="W62" s="215"/>
      <c r="X62" s="208"/>
      <c r="Y62" s="183">
        <v>59</v>
      </c>
      <c r="Z62" s="116" t="s">
        <v>367</v>
      </c>
      <c r="AA62" s="122">
        <v>852</v>
      </c>
      <c r="AB62" s="125" t="s">
        <v>376</v>
      </c>
      <c r="AC62" s="207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</row>
    <row r="63" spans="1:45" ht="27.95" customHeight="1">
      <c r="A63" s="214"/>
      <c r="B63" s="214"/>
      <c r="C63" s="215"/>
      <c r="D63" s="215"/>
      <c r="E63" s="208"/>
      <c r="F63" s="183">
        <f t="shared" si="0"/>
        <v>60</v>
      </c>
      <c r="G63" s="250"/>
      <c r="H63" s="116" t="s">
        <v>27</v>
      </c>
      <c r="I63" s="122">
        <f>'Mass Balance'!D279</f>
        <v>0</v>
      </c>
      <c r="J63" s="122">
        <f>'Mass Balance'!E279</f>
        <v>0</v>
      </c>
      <c r="K63" s="125">
        <f>'Mass Balance'!F279</f>
        <v>0</v>
      </c>
      <c r="L63" s="216"/>
      <c r="M63" s="215"/>
      <c r="N63" s="215"/>
      <c r="O63" s="208"/>
      <c r="P63" s="208"/>
      <c r="Q63" s="215"/>
      <c r="R63" s="214"/>
      <c r="S63" s="215"/>
      <c r="T63" s="215"/>
      <c r="U63" s="215"/>
      <c r="V63" s="215"/>
      <c r="W63" s="215"/>
      <c r="X63" s="208"/>
      <c r="Y63" s="183">
        <v>60</v>
      </c>
      <c r="Z63" s="116" t="s">
        <v>368</v>
      </c>
      <c r="AA63" s="205">
        <v>0</v>
      </c>
      <c r="AB63" s="206" t="s">
        <v>377</v>
      </c>
      <c r="AC63" s="207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</row>
    <row r="64" spans="1:45" ht="27.95" customHeight="1">
      <c r="A64" s="214"/>
      <c r="B64" s="214"/>
      <c r="C64" s="215"/>
      <c r="D64" s="215"/>
      <c r="E64" s="208"/>
      <c r="F64" s="183">
        <f t="shared" si="0"/>
        <v>61</v>
      </c>
      <c r="G64" s="250"/>
      <c r="H64" s="116" t="s">
        <v>28</v>
      </c>
      <c r="I64" s="122">
        <f>'Mass Balance'!D280</f>
        <v>0</v>
      </c>
      <c r="J64" s="122">
        <f>'Mass Balance'!E280</f>
        <v>0</v>
      </c>
      <c r="K64" s="125">
        <f>'Mass Balance'!F280</f>
        <v>0</v>
      </c>
      <c r="L64" s="216"/>
      <c r="M64" s="215"/>
      <c r="N64" s="215"/>
      <c r="O64" s="208"/>
      <c r="P64" s="208"/>
      <c r="Q64" s="215"/>
      <c r="R64" s="214"/>
      <c r="S64" s="215"/>
      <c r="T64" s="215"/>
      <c r="U64" s="215"/>
      <c r="V64" s="215"/>
      <c r="W64" s="215"/>
      <c r="X64" s="208"/>
      <c r="Y64" s="183">
        <v>61</v>
      </c>
      <c r="Z64" s="116" t="s">
        <v>363</v>
      </c>
      <c r="AA64" s="205">
        <v>0</v>
      </c>
      <c r="AB64" s="206" t="s">
        <v>374</v>
      </c>
      <c r="AC64" s="207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</row>
    <row r="65" spans="1:45" ht="27.95" customHeight="1">
      <c r="A65" s="214"/>
      <c r="B65" s="214"/>
      <c r="C65" s="215"/>
      <c r="D65" s="215"/>
      <c r="E65" s="208"/>
      <c r="F65" s="183">
        <f t="shared" si="0"/>
        <v>62</v>
      </c>
      <c r="G65" s="250"/>
      <c r="H65" s="116" t="s">
        <v>39</v>
      </c>
      <c r="I65" s="122">
        <f>'Mass Balance'!D281</f>
        <v>0</v>
      </c>
      <c r="J65" s="122">
        <f>'Mass Balance'!E281</f>
        <v>0</v>
      </c>
      <c r="K65" s="125">
        <f>'Mass Balance'!F281</f>
        <v>0</v>
      </c>
      <c r="L65" s="216"/>
      <c r="M65" s="215"/>
      <c r="N65" s="215"/>
      <c r="O65" s="208"/>
      <c r="P65" s="208"/>
      <c r="Q65" s="215"/>
      <c r="R65" s="214"/>
      <c r="S65" s="215"/>
      <c r="T65" s="215"/>
      <c r="U65" s="215"/>
      <c r="V65" s="215"/>
      <c r="W65" s="215"/>
      <c r="X65" s="208"/>
      <c r="Y65" s="183">
        <v>62</v>
      </c>
      <c r="Z65" s="116" t="s">
        <v>364</v>
      </c>
      <c r="AA65" s="205">
        <v>0</v>
      </c>
      <c r="AB65" s="206" t="s">
        <v>374</v>
      </c>
      <c r="AC65" s="207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</row>
    <row r="66" spans="1:45" ht="27.95" customHeight="1">
      <c r="B66" s="214"/>
      <c r="C66" s="215"/>
      <c r="D66" s="215"/>
      <c r="E66" s="208"/>
      <c r="F66" s="183">
        <f t="shared" si="0"/>
        <v>63</v>
      </c>
      <c r="G66" s="250"/>
      <c r="H66" s="116" t="s">
        <v>291</v>
      </c>
      <c r="I66" s="122">
        <f>'Mass Balance'!D282</f>
        <v>1248.2462140692328</v>
      </c>
      <c r="J66" s="122">
        <f>'Mass Balance'!E282</f>
        <v>98679.854804000381</v>
      </c>
      <c r="K66" s="125">
        <f>'Mass Balance'!F282</f>
        <v>0.12038399388370778</v>
      </c>
      <c r="L66" s="216"/>
      <c r="M66" s="215"/>
      <c r="N66" s="215"/>
      <c r="O66" s="208"/>
      <c r="P66" s="208"/>
      <c r="Q66" s="215"/>
      <c r="R66" s="214"/>
      <c r="S66" s="215"/>
      <c r="T66" s="215"/>
      <c r="U66" s="215"/>
      <c r="V66" s="215"/>
      <c r="W66" s="215"/>
      <c r="X66" s="208"/>
      <c r="Y66" s="183">
        <v>63</v>
      </c>
      <c r="Z66" s="116" t="s">
        <v>365</v>
      </c>
      <c r="AA66" s="205">
        <v>0</v>
      </c>
      <c r="AB66" s="206" t="s">
        <v>374</v>
      </c>
      <c r="AC66" s="207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</row>
    <row r="67" spans="1:45" ht="27.95" customHeight="1">
      <c r="A67" s="214"/>
      <c r="B67" s="214"/>
      <c r="C67" s="215"/>
      <c r="D67" s="215"/>
      <c r="E67" s="208"/>
      <c r="F67" s="183">
        <f t="shared" si="0"/>
        <v>64</v>
      </c>
      <c r="G67" s="250"/>
      <c r="H67" s="116" t="s">
        <v>40</v>
      </c>
      <c r="I67" s="122">
        <f>'Mass Balance'!D283</f>
        <v>0</v>
      </c>
      <c r="J67" s="122">
        <f>'Mass Balance'!E283</f>
        <v>0</v>
      </c>
      <c r="K67" s="125">
        <f>'Mass Balance'!F283</f>
        <v>0</v>
      </c>
      <c r="L67" s="216"/>
      <c r="M67" s="215"/>
      <c r="N67" s="215"/>
      <c r="O67" s="208"/>
      <c r="P67" s="208"/>
      <c r="Q67" s="215"/>
      <c r="R67" s="214"/>
      <c r="S67" s="215"/>
      <c r="T67" s="215"/>
      <c r="U67" s="215"/>
      <c r="V67" s="215"/>
      <c r="W67" s="215"/>
      <c r="X67" s="208"/>
      <c r="Y67" s="183">
        <f>Y66+1</f>
        <v>64</v>
      </c>
      <c r="Z67" s="184" t="s">
        <v>380</v>
      </c>
      <c r="AA67" s="122">
        <v>20</v>
      </c>
      <c r="AB67" s="125"/>
      <c r="AC67" s="207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</row>
    <row r="68" spans="1:45" ht="27.95" customHeight="1">
      <c r="A68" s="214"/>
      <c r="B68" s="214"/>
      <c r="C68" s="215"/>
      <c r="D68" s="215"/>
      <c r="E68" s="208"/>
      <c r="F68" s="183">
        <f t="shared" si="0"/>
        <v>65</v>
      </c>
      <c r="G68" s="250"/>
      <c r="H68" s="116" t="s">
        <v>54</v>
      </c>
      <c r="I68" s="122">
        <f>'Mass Balance'!D284</f>
        <v>0</v>
      </c>
      <c r="J68" s="122">
        <f>'Mass Balance'!E284</f>
        <v>0</v>
      </c>
      <c r="K68" s="125">
        <f>'Mass Balance'!F284</f>
        <v>0</v>
      </c>
      <c r="L68" s="216"/>
      <c r="M68" s="215"/>
      <c r="N68" s="215"/>
      <c r="O68" s="208"/>
      <c r="P68" s="208"/>
      <c r="Q68" s="215"/>
      <c r="R68" s="214"/>
      <c r="S68" s="215"/>
      <c r="T68" s="215"/>
      <c r="U68" s="215"/>
      <c r="V68" s="215"/>
      <c r="W68" s="215"/>
      <c r="X68" s="208"/>
      <c r="Y68" s="183">
        <f t="shared" ref="Y68:Y72" si="6">Y67+1</f>
        <v>65</v>
      </c>
      <c r="Z68" s="184" t="s">
        <v>381</v>
      </c>
      <c r="AA68" s="122">
        <v>0.1055</v>
      </c>
      <c r="AB68" s="125"/>
      <c r="AC68" s="207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</row>
    <row r="69" spans="1:45" ht="27.95" customHeight="1">
      <c r="A69" s="214"/>
      <c r="B69" s="214"/>
      <c r="C69" s="215"/>
      <c r="D69" s="215"/>
      <c r="E69" s="208"/>
      <c r="F69" s="183">
        <f t="shared" si="0"/>
        <v>66</v>
      </c>
      <c r="G69" s="250" t="s">
        <v>299</v>
      </c>
      <c r="H69" s="116" t="s">
        <v>3</v>
      </c>
      <c r="I69" s="122">
        <f>'Mass Balance'!D285</f>
        <v>0</v>
      </c>
      <c r="J69" s="122">
        <f>'Mass Balance'!E285</f>
        <v>0</v>
      </c>
      <c r="K69" s="125">
        <f>'Mass Balance'!F285</f>
        <v>0</v>
      </c>
      <c r="L69" s="216"/>
      <c r="M69" s="215"/>
      <c r="N69" s="215"/>
      <c r="O69" s="208"/>
      <c r="P69" s="208"/>
      <c r="Q69" s="215"/>
      <c r="R69" s="214"/>
      <c r="S69" s="215"/>
      <c r="T69" s="215"/>
      <c r="U69" s="215"/>
      <c r="V69" s="215"/>
      <c r="W69" s="215"/>
      <c r="X69" s="208"/>
      <c r="Y69" s="183">
        <f t="shared" si="6"/>
        <v>66</v>
      </c>
      <c r="Z69" s="184" t="s">
        <v>382</v>
      </c>
      <c r="AA69" s="122">
        <v>1</v>
      </c>
      <c r="AB69" s="125" t="s">
        <v>215</v>
      </c>
      <c r="AC69" s="207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</row>
    <row r="70" spans="1:45" ht="27.95" customHeight="1">
      <c r="A70" s="214"/>
      <c r="B70" s="214"/>
      <c r="C70" s="215"/>
      <c r="D70" s="215"/>
      <c r="E70" s="208"/>
      <c r="F70" s="183">
        <f t="shared" ref="F70:F133" si="7">F69+1</f>
        <v>67</v>
      </c>
      <c r="G70" s="250"/>
      <c r="H70" s="116" t="s">
        <v>293</v>
      </c>
      <c r="I70" s="122">
        <f>'Mass Balance'!D286</f>
        <v>0</v>
      </c>
      <c r="J70" s="122">
        <f>'Mass Balance'!E286</f>
        <v>0</v>
      </c>
      <c r="K70" s="125">
        <f>'Mass Balance'!F286</f>
        <v>0</v>
      </c>
      <c r="L70" s="216"/>
      <c r="M70" s="215"/>
      <c r="N70" s="215"/>
      <c r="O70" s="208"/>
      <c r="P70" s="208"/>
      <c r="Q70" s="215"/>
      <c r="R70" s="214"/>
      <c r="S70" s="215"/>
      <c r="T70" s="215"/>
      <c r="U70" s="215"/>
      <c r="V70" s="215"/>
      <c r="W70" s="215"/>
      <c r="X70" s="208"/>
      <c r="Y70" s="183">
        <f t="shared" si="6"/>
        <v>67</v>
      </c>
      <c r="Z70" s="184" t="s">
        <v>385</v>
      </c>
      <c r="AA70" s="122">
        <v>3.3000000000000002E-2</v>
      </c>
      <c r="AB70" s="125" t="s">
        <v>372</v>
      </c>
      <c r="AC70" s="207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</row>
    <row r="71" spans="1:45" ht="27.95" customHeight="1">
      <c r="A71" s="214"/>
      <c r="B71" s="214"/>
      <c r="C71" s="215"/>
      <c r="D71" s="215"/>
      <c r="E71" s="208"/>
      <c r="F71" s="183">
        <f t="shared" si="7"/>
        <v>68</v>
      </c>
      <c r="G71" s="250"/>
      <c r="H71" s="116" t="s">
        <v>5</v>
      </c>
      <c r="I71" s="122">
        <f>'Mass Balance'!D287</f>
        <v>31.206155351730949</v>
      </c>
      <c r="J71" s="122">
        <f>'Mass Balance'!E287</f>
        <v>3756.2100249150099</v>
      </c>
      <c r="K71" s="125">
        <f>'Mass Balance'!F287</f>
        <v>4.5823695785065059E-3</v>
      </c>
      <c r="L71" s="216"/>
      <c r="M71" s="215"/>
      <c r="N71" s="215"/>
      <c r="O71" s="208"/>
      <c r="P71" s="208"/>
      <c r="Q71" s="215"/>
      <c r="R71" s="214"/>
      <c r="S71" s="215"/>
      <c r="T71" s="215"/>
      <c r="U71" s="215"/>
      <c r="V71" s="215"/>
      <c r="W71" s="215"/>
      <c r="X71" s="208"/>
      <c r="Y71" s="183">
        <f t="shared" si="6"/>
        <v>68</v>
      </c>
      <c r="Z71" s="184"/>
      <c r="AA71" s="122"/>
      <c r="AB71" s="125"/>
      <c r="AC71" s="207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</row>
    <row r="72" spans="1:45" ht="27.95" customHeight="1" thickBot="1">
      <c r="A72" s="214"/>
      <c r="B72" s="214"/>
      <c r="C72" s="215"/>
      <c r="D72" s="215"/>
      <c r="E72" s="208"/>
      <c r="F72" s="183">
        <f t="shared" si="7"/>
        <v>69</v>
      </c>
      <c r="G72" s="250"/>
      <c r="H72" s="116" t="s">
        <v>6</v>
      </c>
      <c r="I72" s="122">
        <f>'Mass Balance'!D288</f>
        <v>0</v>
      </c>
      <c r="J72" s="122">
        <f>'Mass Balance'!E288</f>
        <v>0</v>
      </c>
      <c r="K72" s="125">
        <f>'Mass Balance'!F288</f>
        <v>0</v>
      </c>
      <c r="L72" s="216"/>
      <c r="M72" s="215"/>
      <c r="N72" s="215"/>
      <c r="O72" s="208"/>
      <c r="P72" s="208"/>
      <c r="Q72" s="215"/>
      <c r="R72" s="214"/>
      <c r="S72" s="215"/>
      <c r="T72" s="215"/>
      <c r="U72" s="215"/>
      <c r="V72" s="215"/>
      <c r="W72" s="215"/>
      <c r="X72" s="208"/>
      <c r="Y72" s="187">
        <f t="shared" si="6"/>
        <v>69</v>
      </c>
      <c r="Z72" s="188"/>
      <c r="AA72" s="189"/>
      <c r="AB72" s="190"/>
      <c r="AC72" s="207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Q72" s="208"/>
      <c r="AR72" s="208"/>
      <c r="AS72" s="208"/>
    </row>
    <row r="73" spans="1:45" ht="27.95" customHeight="1">
      <c r="A73" s="214"/>
      <c r="B73" s="214"/>
      <c r="C73" s="215"/>
      <c r="D73" s="215"/>
      <c r="E73" s="208"/>
      <c r="F73" s="183">
        <f t="shared" si="7"/>
        <v>70</v>
      </c>
      <c r="G73" s="250"/>
      <c r="H73" s="116" t="s">
        <v>7</v>
      </c>
      <c r="I73" s="122">
        <f>'Mass Balance'!D289</f>
        <v>28134.235200611063</v>
      </c>
      <c r="J73" s="122">
        <f>'Mass Balance'!E289</f>
        <v>506840.49787782435</v>
      </c>
      <c r="K73" s="125">
        <f>'Mass Balance'!F289</f>
        <v>0.61831752304185505</v>
      </c>
      <c r="L73" s="216"/>
      <c r="M73" s="215"/>
      <c r="N73" s="215"/>
      <c r="O73" s="208"/>
      <c r="P73" s="208"/>
      <c r="Q73" s="215"/>
      <c r="R73" s="214"/>
      <c r="S73" s="215"/>
      <c r="T73" s="215"/>
      <c r="U73" s="215"/>
      <c r="V73" s="215"/>
      <c r="W73" s="215"/>
      <c r="X73" s="208"/>
      <c r="Y73" s="208"/>
      <c r="Z73" s="214"/>
      <c r="AA73" s="215"/>
      <c r="AB73" s="215"/>
      <c r="AC73" s="207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</row>
    <row r="74" spans="1:45" ht="27.95" customHeight="1">
      <c r="A74" s="214"/>
      <c r="B74" s="214"/>
      <c r="C74" s="215"/>
      <c r="D74" s="215"/>
      <c r="E74" s="208"/>
      <c r="F74" s="183">
        <f t="shared" si="7"/>
        <v>71</v>
      </c>
      <c r="G74" s="250"/>
      <c r="H74" s="116" t="s">
        <v>292</v>
      </c>
      <c r="I74" s="122">
        <f>'Mass Balance'!D290</f>
        <v>1483.6600300418224</v>
      </c>
      <c r="J74" s="122">
        <f>'Mass Balance'!E290</f>
        <v>196048.93728488797</v>
      </c>
      <c r="K74" s="125">
        <f>'Mass Balance'!F290</f>
        <v>0.23916891764675155</v>
      </c>
      <c r="L74" s="216"/>
      <c r="M74" s="215"/>
      <c r="N74" s="215"/>
      <c r="O74" s="208"/>
      <c r="P74" s="208"/>
      <c r="Q74" s="215"/>
      <c r="R74" s="214"/>
      <c r="S74" s="215"/>
      <c r="T74" s="215"/>
      <c r="U74" s="215"/>
      <c r="V74" s="215"/>
      <c r="W74" s="215"/>
      <c r="X74" s="208"/>
      <c r="Y74" s="208"/>
      <c r="Z74" s="214"/>
      <c r="AA74" s="215"/>
      <c r="AB74" s="215"/>
      <c r="AC74" s="207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</row>
    <row r="75" spans="1:45" ht="27.95" customHeight="1">
      <c r="A75" s="214"/>
      <c r="B75" s="214"/>
      <c r="C75" s="215"/>
      <c r="D75" s="215"/>
      <c r="E75" s="208"/>
      <c r="F75" s="183">
        <f t="shared" si="7"/>
        <v>72</v>
      </c>
      <c r="G75" s="250"/>
      <c r="H75" s="116" t="s">
        <v>9</v>
      </c>
      <c r="I75" s="122">
        <f>'Mass Balance'!D291</f>
        <v>0</v>
      </c>
      <c r="J75" s="122">
        <f>'Mass Balance'!E291</f>
        <v>0</v>
      </c>
      <c r="K75" s="125">
        <f>'Mass Balance'!F291</f>
        <v>0</v>
      </c>
      <c r="L75" s="216"/>
      <c r="M75" s="215"/>
      <c r="N75" s="215"/>
      <c r="O75" s="208"/>
      <c r="P75" s="208"/>
      <c r="Q75" s="215"/>
      <c r="R75" s="214"/>
      <c r="S75" s="215"/>
      <c r="T75" s="215"/>
      <c r="U75" s="215"/>
      <c r="V75" s="215"/>
      <c r="W75" s="215"/>
      <c r="X75" s="208"/>
      <c r="Y75" s="208"/>
      <c r="Z75" s="214"/>
      <c r="AA75" s="215"/>
      <c r="AB75" s="215"/>
      <c r="AC75" s="207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</row>
    <row r="76" spans="1:45" ht="27.95" customHeight="1">
      <c r="A76" s="214"/>
      <c r="B76" s="214"/>
      <c r="C76" s="215"/>
      <c r="D76" s="215"/>
      <c r="E76" s="208"/>
      <c r="F76" s="183">
        <f t="shared" si="7"/>
        <v>73</v>
      </c>
      <c r="G76" s="250"/>
      <c r="H76" s="116" t="s">
        <v>27</v>
      </c>
      <c r="I76" s="122">
        <f>'Mass Balance'!D292</f>
        <v>0</v>
      </c>
      <c r="J76" s="122">
        <f>'Mass Balance'!E292</f>
        <v>0</v>
      </c>
      <c r="K76" s="125">
        <f>'Mass Balance'!F292</f>
        <v>0</v>
      </c>
      <c r="L76" s="216"/>
      <c r="M76" s="215"/>
      <c r="N76" s="215"/>
      <c r="O76" s="208"/>
      <c r="P76" s="208"/>
      <c r="Q76" s="215"/>
      <c r="R76" s="214"/>
      <c r="S76" s="215"/>
      <c r="T76" s="215"/>
      <c r="U76" s="215"/>
      <c r="V76" s="215"/>
      <c r="W76" s="215"/>
      <c r="X76" s="208"/>
      <c r="Y76" s="208"/>
      <c r="Z76" s="214"/>
      <c r="AA76" s="215"/>
      <c r="AB76" s="215"/>
      <c r="AC76" s="207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</row>
    <row r="77" spans="1:45" ht="27.95" customHeight="1">
      <c r="A77" s="214"/>
      <c r="B77" s="214"/>
      <c r="C77" s="215"/>
      <c r="D77" s="215"/>
      <c r="E77" s="208"/>
      <c r="F77" s="183">
        <f t="shared" si="7"/>
        <v>74</v>
      </c>
      <c r="G77" s="250"/>
      <c r="H77" s="116" t="s">
        <v>28</v>
      </c>
      <c r="I77" s="122">
        <f>'Mass Balance'!D293</f>
        <v>0</v>
      </c>
      <c r="J77" s="122">
        <f>'Mass Balance'!E293</f>
        <v>0</v>
      </c>
      <c r="K77" s="125">
        <f>'Mass Balance'!F293</f>
        <v>0</v>
      </c>
      <c r="L77" s="216"/>
      <c r="M77" s="215"/>
      <c r="N77" s="215"/>
      <c r="O77" s="208"/>
      <c r="P77" s="208"/>
      <c r="Q77" s="215"/>
      <c r="R77" s="214"/>
      <c r="S77" s="215"/>
      <c r="T77" s="215"/>
      <c r="U77" s="215"/>
      <c r="V77" s="215"/>
      <c r="W77" s="215"/>
      <c r="X77" s="208"/>
      <c r="Y77" s="208"/>
      <c r="Z77" s="214"/>
      <c r="AA77" s="215"/>
      <c r="AB77" s="215"/>
      <c r="AC77" s="207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</row>
    <row r="78" spans="1:45" ht="27.95" customHeight="1">
      <c r="A78" s="214"/>
      <c r="B78" s="214"/>
      <c r="C78" s="215"/>
      <c r="D78" s="215"/>
      <c r="E78" s="208"/>
      <c r="F78" s="183">
        <f t="shared" si="7"/>
        <v>75</v>
      </c>
      <c r="G78" s="250"/>
      <c r="H78" s="116" t="s">
        <v>39</v>
      </c>
      <c r="I78" s="122">
        <f>'Mass Balance'!D294</f>
        <v>592.9169516828855</v>
      </c>
      <c r="J78" s="122">
        <f>'Mass Balance'!E294</f>
        <v>82035.479526265583</v>
      </c>
      <c r="K78" s="125">
        <f>'Mass Balance'!F294</f>
        <v>0.100078771752881</v>
      </c>
      <c r="L78" s="216"/>
      <c r="M78" s="215"/>
      <c r="N78" s="215"/>
      <c r="O78" s="208"/>
      <c r="P78" s="208"/>
      <c r="Q78" s="215"/>
      <c r="R78" s="214"/>
      <c r="S78" s="215"/>
      <c r="T78" s="215"/>
      <c r="U78" s="215"/>
      <c r="V78" s="215"/>
      <c r="W78" s="215"/>
      <c r="X78" s="208"/>
      <c r="Y78" s="208"/>
      <c r="Z78" s="214"/>
      <c r="AA78" s="215"/>
      <c r="AB78" s="215"/>
      <c r="AC78" s="207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</row>
    <row r="79" spans="1:45" ht="27.95" customHeight="1">
      <c r="A79" s="214"/>
      <c r="B79" s="214"/>
      <c r="C79" s="215"/>
      <c r="D79" s="215"/>
      <c r="E79" s="208"/>
      <c r="F79" s="183">
        <f t="shared" si="7"/>
        <v>76</v>
      </c>
      <c r="G79" s="250"/>
      <c r="H79" s="116" t="s">
        <v>291</v>
      </c>
      <c r="I79" s="122">
        <f>'Mass Balance'!D295</f>
        <v>62.412310703461806</v>
      </c>
      <c r="J79" s="122">
        <f>'Mass Balance'!E295</f>
        <v>4933.9927402000321</v>
      </c>
      <c r="K79" s="125">
        <f>'Mass Balance'!F295</f>
        <v>6.0191996941854056E-3</v>
      </c>
      <c r="L79" s="216"/>
      <c r="M79" s="215"/>
      <c r="N79" s="215"/>
      <c r="O79" s="208"/>
      <c r="P79" s="208"/>
      <c r="Q79" s="215"/>
      <c r="R79" s="214"/>
      <c r="S79" s="215"/>
      <c r="T79" s="215"/>
      <c r="U79" s="215"/>
      <c r="V79" s="215"/>
      <c r="W79" s="215"/>
      <c r="X79" s="208"/>
      <c r="Y79" s="208"/>
      <c r="Z79" s="214"/>
      <c r="AA79" s="215"/>
      <c r="AB79" s="215"/>
      <c r="AC79" s="207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</row>
    <row r="80" spans="1:45" ht="27.95" customHeight="1">
      <c r="A80" s="214"/>
      <c r="B80" s="214"/>
      <c r="C80" s="215"/>
      <c r="D80" s="215"/>
      <c r="E80" s="208"/>
      <c r="F80" s="183">
        <f t="shared" si="7"/>
        <v>77</v>
      </c>
      <c r="G80" s="250"/>
      <c r="H80" s="116" t="s">
        <v>40</v>
      </c>
      <c r="I80" s="122">
        <f>'Mass Balance'!D296</f>
        <v>592.9169516828855</v>
      </c>
      <c r="J80" s="122">
        <f>'Mass Balance'!E296</f>
        <v>26093.978585087953</v>
      </c>
      <c r="K80" s="125">
        <f>'Mass Balance'!F296</f>
        <v>3.1833218285820634E-2</v>
      </c>
      <c r="L80" s="216"/>
      <c r="M80" s="215"/>
      <c r="N80" s="215"/>
      <c r="O80" s="208"/>
      <c r="P80" s="208"/>
      <c r="Q80" s="215"/>
      <c r="R80" s="214"/>
      <c r="S80" s="215"/>
      <c r="T80" s="215"/>
      <c r="U80" s="215"/>
      <c r="V80" s="215"/>
      <c r="W80" s="215"/>
      <c r="X80" s="208"/>
      <c r="Y80" s="57"/>
      <c r="Z80" s="55"/>
      <c r="AA80" s="56"/>
      <c r="AB80" s="56"/>
      <c r="AC80"/>
      <c r="AN80" s="208"/>
      <c r="AO80" s="208"/>
      <c r="AP80" s="208"/>
      <c r="AQ80" s="208"/>
      <c r="AR80" s="208"/>
      <c r="AS80" s="208"/>
    </row>
    <row r="81" spans="1:45" ht="27.95" customHeight="1">
      <c r="A81" s="214"/>
      <c r="B81" s="214"/>
      <c r="C81" s="215"/>
      <c r="D81" s="215"/>
      <c r="E81" s="208"/>
      <c r="F81" s="183">
        <f t="shared" si="7"/>
        <v>78</v>
      </c>
      <c r="G81" s="250"/>
      <c r="H81" s="116" t="s">
        <v>54</v>
      </c>
      <c r="I81" s="122">
        <f>'Mass Balance'!D297</f>
        <v>0</v>
      </c>
      <c r="J81" s="122">
        <f>'Mass Balance'!E297</f>
        <v>0</v>
      </c>
      <c r="K81" s="125">
        <f>'Mass Balance'!F297</f>
        <v>0</v>
      </c>
      <c r="Y81" s="57"/>
      <c r="Z81" s="55"/>
      <c r="AA81" s="56"/>
      <c r="AB81" s="56"/>
      <c r="AC81"/>
      <c r="AN81" s="208"/>
      <c r="AO81" s="208"/>
      <c r="AP81" s="208"/>
      <c r="AQ81" s="208"/>
      <c r="AR81" s="208"/>
      <c r="AS81" s="208"/>
    </row>
    <row r="82" spans="1:45" ht="27.95" customHeight="1">
      <c r="A82" s="214"/>
      <c r="B82" s="214"/>
      <c r="C82" s="215"/>
      <c r="D82" s="215"/>
      <c r="E82" s="208"/>
      <c r="F82" s="183">
        <f t="shared" si="7"/>
        <v>79</v>
      </c>
      <c r="G82" s="250" t="s">
        <v>300</v>
      </c>
      <c r="H82" s="116" t="s">
        <v>3</v>
      </c>
      <c r="I82" s="122">
        <f>'Mass Balance'!D298</f>
        <v>0</v>
      </c>
      <c r="J82" s="122">
        <f>'Mass Balance'!E298</f>
        <v>0</v>
      </c>
      <c r="K82" s="125">
        <f>'Mass Balance'!F298</f>
        <v>0</v>
      </c>
      <c r="Y82" s="57"/>
      <c r="Z82" s="55"/>
      <c r="AA82" s="56"/>
      <c r="AB82" s="56"/>
      <c r="AC82"/>
      <c r="AN82" s="208"/>
      <c r="AO82" s="208"/>
      <c r="AP82" s="208"/>
      <c r="AQ82" s="208"/>
      <c r="AR82" s="208"/>
      <c r="AS82" s="208"/>
    </row>
    <row r="83" spans="1:45" ht="27.95" customHeight="1">
      <c r="A83" s="214"/>
      <c r="B83" s="214"/>
      <c r="C83" s="215"/>
      <c r="D83" s="215"/>
      <c r="E83" s="208"/>
      <c r="F83" s="183">
        <f t="shared" si="7"/>
        <v>80</v>
      </c>
      <c r="G83" s="250"/>
      <c r="H83" s="116" t="s">
        <v>293</v>
      </c>
      <c r="I83" s="122">
        <f>'Mass Balance'!D299</f>
        <v>0</v>
      </c>
      <c r="J83" s="122">
        <f>'Mass Balance'!E299</f>
        <v>0</v>
      </c>
      <c r="K83" s="125">
        <f>'Mass Balance'!F299</f>
        <v>0</v>
      </c>
      <c r="Y83" s="57"/>
      <c r="Z83" s="55"/>
      <c r="AA83" s="56"/>
      <c r="AB83" s="56"/>
      <c r="AC83"/>
      <c r="AN83" s="208"/>
      <c r="AO83" s="208"/>
      <c r="AP83" s="208"/>
      <c r="AQ83" s="208"/>
      <c r="AR83" s="208"/>
      <c r="AS83" s="208"/>
    </row>
    <row r="84" spans="1:45" ht="27.95" customHeight="1">
      <c r="A84" s="214"/>
      <c r="B84" s="214"/>
      <c r="C84" s="215"/>
      <c r="D84" s="215"/>
      <c r="E84" s="208"/>
      <c r="F84" s="183">
        <f t="shared" si="7"/>
        <v>81</v>
      </c>
      <c r="G84" s="250"/>
      <c r="H84" s="116" t="s">
        <v>5</v>
      </c>
      <c r="I84" s="122">
        <f>'Mass Balance'!D300</f>
        <v>0</v>
      </c>
      <c r="J84" s="122">
        <f>'Mass Balance'!E300</f>
        <v>0</v>
      </c>
      <c r="K84" s="125">
        <f>'Mass Balance'!F300</f>
        <v>0</v>
      </c>
      <c r="Y84" s="57"/>
      <c r="Z84" s="55"/>
      <c r="AA84" s="56"/>
      <c r="AB84" s="56"/>
      <c r="AC84"/>
    </row>
    <row r="85" spans="1:45" ht="27.95" customHeight="1">
      <c r="A85" s="214"/>
      <c r="B85" s="214"/>
      <c r="C85" s="215"/>
      <c r="D85" s="215"/>
      <c r="E85" s="208"/>
      <c r="F85" s="183">
        <f t="shared" si="7"/>
        <v>82</v>
      </c>
      <c r="G85" s="250"/>
      <c r="H85" s="116" t="s">
        <v>6</v>
      </c>
      <c r="I85" s="122">
        <f>'Mass Balance'!D301</f>
        <v>0</v>
      </c>
      <c r="J85" s="122">
        <f>'Mass Balance'!E301</f>
        <v>0</v>
      </c>
      <c r="K85" s="125">
        <f>'Mass Balance'!F301</f>
        <v>0</v>
      </c>
      <c r="Y85" s="57"/>
      <c r="Z85" s="55"/>
      <c r="AA85" s="56"/>
      <c r="AB85" s="56"/>
      <c r="AC85"/>
    </row>
    <row r="86" spans="1:45" ht="27.95" customHeight="1">
      <c r="A86" s="214"/>
      <c r="B86" s="214"/>
      <c r="C86" s="215"/>
      <c r="D86" s="215"/>
      <c r="E86" s="208"/>
      <c r="F86" s="183">
        <f t="shared" si="7"/>
        <v>83</v>
      </c>
      <c r="G86" s="250"/>
      <c r="H86" s="116" t="s">
        <v>7</v>
      </c>
      <c r="I86" s="122">
        <f>'Mass Balance'!D302</f>
        <v>27628.267240396832</v>
      </c>
      <c r="J86" s="122">
        <f>'Mass Balance'!E302</f>
        <v>497725.4445971282</v>
      </c>
      <c r="K86" s="125">
        <f>'Mass Balance'!F302</f>
        <v>0.69141175238507069</v>
      </c>
      <c r="Y86" s="57"/>
      <c r="Z86" s="55"/>
      <c r="AA86" s="56"/>
      <c r="AB86" s="56"/>
      <c r="AC86"/>
    </row>
    <row r="87" spans="1:45" ht="27.95" customHeight="1">
      <c r="A87" s="214"/>
      <c r="B87" s="214"/>
      <c r="C87" s="215"/>
      <c r="D87" s="215"/>
      <c r="E87" s="208"/>
      <c r="F87" s="183">
        <f t="shared" si="7"/>
        <v>84</v>
      </c>
      <c r="G87" s="250"/>
      <c r="H87" s="116" t="s">
        <v>292</v>
      </c>
      <c r="I87" s="122">
        <f>'Mass Balance'!D303</f>
        <v>1483.6600300418224</v>
      </c>
      <c r="J87" s="122">
        <f>'Mass Balance'!E303</f>
        <v>196048.93728488797</v>
      </c>
      <c r="K87" s="125">
        <f>'Mass Balance'!F303</f>
        <v>0.27233998332372439</v>
      </c>
      <c r="Y87" s="57"/>
      <c r="Z87" s="55"/>
      <c r="AA87" s="56"/>
      <c r="AB87" s="56"/>
      <c r="AC87"/>
    </row>
    <row r="88" spans="1:45" ht="27.95" customHeight="1">
      <c r="A88" s="214"/>
      <c r="B88" s="214"/>
      <c r="C88" s="215"/>
      <c r="D88" s="215"/>
      <c r="E88" s="208"/>
      <c r="F88" s="183">
        <f t="shared" si="7"/>
        <v>85</v>
      </c>
      <c r="G88" s="250"/>
      <c r="H88" s="116" t="s">
        <v>9</v>
      </c>
      <c r="I88" s="122">
        <f>'Mass Balance'!D304</f>
        <v>0</v>
      </c>
      <c r="J88" s="122">
        <f>'Mass Balance'!E304</f>
        <v>0</v>
      </c>
      <c r="K88" s="125">
        <f>'Mass Balance'!F304</f>
        <v>0</v>
      </c>
      <c r="Y88" s="57"/>
      <c r="Z88" s="55"/>
      <c r="AA88" s="56"/>
      <c r="AB88" s="56"/>
      <c r="AC88"/>
    </row>
    <row r="89" spans="1:45" ht="27.95" customHeight="1">
      <c r="A89" s="214"/>
      <c r="B89" s="214"/>
      <c r="C89" s="215"/>
      <c r="D89" s="215"/>
      <c r="E89" s="208"/>
      <c r="F89" s="183">
        <f t="shared" si="7"/>
        <v>86</v>
      </c>
      <c r="G89" s="250"/>
      <c r="H89" s="116" t="s">
        <v>27</v>
      </c>
      <c r="I89" s="122">
        <f>'Mass Balance'!D305</f>
        <v>0</v>
      </c>
      <c r="J89" s="122">
        <f>'Mass Balance'!E305</f>
        <v>0</v>
      </c>
      <c r="K89" s="125">
        <f>'Mass Balance'!F305</f>
        <v>0</v>
      </c>
      <c r="Y89" s="57"/>
      <c r="Z89" s="55"/>
      <c r="AA89" s="56"/>
      <c r="AB89" s="56"/>
      <c r="AC89"/>
    </row>
    <row r="90" spans="1:45" ht="27.95" customHeight="1">
      <c r="A90" s="214"/>
      <c r="B90" s="214"/>
      <c r="C90" s="215"/>
      <c r="D90" s="215"/>
      <c r="E90" s="208"/>
      <c r="F90" s="183">
        <f t="shared" si="7"/>
        <v>87</v>
      </c>
      <c r="G90" s="250"/>
      <c r="H90" s="116" t="s">
        <v>28</v>
      </c>
      <c r="I90" s="122">
        <f>'Mass Balance'!D306</f>
        <v>0</v>
      </c>
      <c r="J90" s="122">
        <f>'Mass Balance'!E306</f>
        <v>0</v>
      </c>
      <c r="K90" s="125">
        <f>'Mass Balance'!F306</f>
        <v>0</v>
      </c>
      <c r="Y90" s="57"/>
      <c r="Z90" s="55"/>
      <c r="AA90" s="56"/>
      <c r="AB90" s="56"/>
      <c r="AC90"/>
    </row>
    <row r="91" spans="1:45" ht="27.95" customHeight="1">
      <c r="A91" s="214"/>
      <c r="B91" s="214"/>
      <c r="C91" s="215"/>
      <c r="D91" s="215"/>
      <c r="E91" s="208"/>
      <c r="F91" s="183">
        <f t="shared" si="7"/>
        <v>88</v>
      </c>
      <c r="G91" s="250"/>
      <c r="H91" s="116" t="s">
        <v>39</v>
      </c>
      <c r="I91" s="122">
        <f>'Mass Balance'!D307</f>
        <v>0</v>
      </c>
      <c r="J91" s="122">
        <f>'Mass Balance'!E307</f>
        <v>0</v>
      </c>
      <c r="K91" s="125">
        <f>'Mass Balance'!F307</f>
        <v>0</v>
      </c>
      <c r="Y91" s="57"/>
      <c r="Z91" s="55"/>
      <c r="AA91" s="56"/>
      <c r="AB91" s="56"/>
      <c r="AC91"/>
    </row>
    <row r="92" spans="1:45" ht="27.95" customHeight="1">
      <c r="A92" s="214"/>
      <c r="B92" s="214"/>
      <c r="C92" s="215"/>
      <c r="D92" s="215"/>
      <c r="E92" s="208"/>
      <c r="F92" s="183">
        <f t="shared" si="7"/>
        <v>89</v>
      </c>
      <c r="G92" s="250"/>
      <c r="H92" s="116" t="s">
        <v>291</v>
      </c>
      <c r="I92" s="122">
        <f>'Mass Balance'!D308</f>
        <v>0</v>
      </c>
      <c r="J92" s="122">
        <f>'Mass Balance'!E308</f>
        <v>0</v>
      </c>
      <c r="K92" s="125">
        <f>'Mass Balance'!F308</f>
        <v>0</v>
      </c>
      <c r="Y92" s="57"/>
      <c r="Z92" s="55"/>
      <c r="AA92" s="56"/>
      <c r="AB92" s="56"/>
      <c r="AC92"/>
    </row>
    <row r="93" spans="1:45" ht="27.95" customHeight="1">
      <c r="A93" s="214"/>
      <c r="B93" s="214"/>
      <c r="C93" s="215"/>
      <c r="D93" s="215"/>
      <c r="E93" s="208"/>
      <c r="F93" s="183">
        <f t="shared" si="7"/>
        <v>90</v>
      </c>
      <c r="G93" s="250"/>
      <c r="H93" s="116" t="s">
        <v>40</v>
      </c>
      <c r="I93" s="122">
        <f>'Mass Balance'!D309</f>
        <v>592.9169516828855</v>
      </c>
      <c r="J93" s="122">
        <f>'Mass Balance'!E309</f>
        <v>26093.978585087953</v>
      </c>
      <c r="K93" s="125">
        <f>'Mass Balance'!F309</f>
        <v>3.624826429120491E-2</v>
      </c>
      <c r="Y93" s="57"/>
      <c r="Z93" s="55"/>
      <c r="AA93" s="56"/>
      <c r="AB93" s="56"/>
      <c r="AC93"/>
    </row>
    <row r="94" spans="1:45" ht="27.95" customHeight="1">
      <c r="A94" s="214"/>
      <c r="B94" s="214"/>
      <c r="C94" s="215"/>
      <c r="D94" s="215"/>
      <c r="E94" s="208"/>
      <c r="F94" s="183">
        <f t="shared" si="7"/>
        <v>91</v>
      </c>
      <c r="G94" s="250"/>
      <c r="H94" s="116" t="s">
        <v>54</v>
      </c>
      <c r="I94" s="122">
        <f>'Mass Balance'!D310</f>
        <v>0</v>
      </c>
      <c r="J94" s="122">
        <f>'Mass Balance'!E310</f>
        <v>0</v>
      </c>
      <c r="K94" s="125">
        <f>'Mass Balance'!F310</f>
        <v>0</v>
      </c>
      <c r="Y94" s="57"/>
      <c r="Z94" s="55"/>
      <c r="AA94" s="56"/>
      <c r="AB94" s="56"/>
      <c r="AC94"/>
    </row>
    <row r="95" spans="1:45" ht="27.95" customHeight="1">
      <c r="A95" s="214"/>
      <c r="B95" s="214"/>
      <c r="C95" s="215"/>
      <c r="D95" s="215"/>
      <c r="E95" s="208"/>
      <c r="F95" s="183">
        <f t="shared" si="7"/>
        <v>92</v>
      </c>
      <c r="G95" s="250" t="s">
        <v>301</v>
      </c>
      <c r="H95" s="116" t="s">
        <v>3</v>
      </c>
      <c r="I95" s="122">
        <f>'Mass Balance'!D311</f>
        <v>0</v>
      </c>
      <c r="J95" s="122">
        <f>'Mass Balance'!E311</f>
        <v>0</v>
      </c>
      <c r="K95" s="125">
        <f>'Mass Balance'!F311</f>
        <v>0</v>
      </c>
      <c r="Y95" s="57"/>
      <c r="Z95" s="55"/>
      <c r="AA95" s="56"/>
      <c r="AB95" s="56"/>
      <c r="AC95"/>
    </row>
    <row r="96" spans="1:45" ht="27.95" customHeight="1">
      <c r="A96" s="214"/>
      <c r="B96" s="214"/>
      <c r="C96" s="215"/>
      <c r="D96" s="215"/>
      <c r="E96" s="208"/>
      <c r="F96" s="183">
        <f t="shared" si="7"/>
        <v>93</v>
      </c>
      <c r="G96" s="250"/>
      <c r="H96" s="116" t="s">
        <v>293</v>
      </c>
      <c r="I96" s="122">
        <f>'Mass Balance'!D312</f>
        <v>0</v>
      </c>
      <c r="J96" s="122">
        <f>'Mass Balance'!E312</f>
        <v>0</v>
      </c>
      <c r="K96" s="125">
        <f>'Mass Balance'!F312</f>
        <v>0</v>
      </c>
      <c r="Y96" s="57"/>
      <c r="Z96" s="55"/>
      <c r="AA96" s="56"/>
      <c r="AB96" s="56"/>
      <c r="AC96"/>
    </row>
    <row r="97" spans="1:29" ht="27.95" customHeight="1">
      <c r="A97" s="214"/>
      <c r="B97" s="214"/>
      <c r="C97" s="215"/>
      <c r="D97" s="215"/>
      <c r="E97" s="208"/>
      <c r="F97" s="183">
        <f t="shared" si="7"/>
        <v>94</v>
      </c>
      <c r="G97" s="250"/>
      <c r="H97" s="116" t="s">
        <v>5</v>
      </c>
      <c r="I97" s="122">
        <f>'Mass Balance'!D313</f>
        <v>0</v>
      </c>
      <c r="J97" s="122">
        <f>'Mass Balance'!E313</f>
        <v>0</v>
      </c>
      <c r="K97" s="125">
        <f>'Mass Balance'!F313</f>
        <v>0</v>
      </c>
      <c r="Y97" s="57"/>
      <c r="Z97" s="55"/>
      <c r="AA97" s="56"/>
      <c r="AB97" s="56"/>
      <c r="AC97"/>
    </row>
    <row r="98" spans="1:29" ht="27.95" customHeight="1">
      <c r="A98" s="214"/>
      <c r="B98" s="214"/>
      <c r="C98" s="215"/>
      <c r="D98" s="215"/>
      <c r="E98" s="208"/>
      <c r="F98" s="183">
        <f t="shared" si="7"/>
        <v>95</v>
      </c>
      <c r="G98" s="250"/>
      <c r="H98" s="116" t="s">
        <v>6</v>
      </c>
      <c r="I98" s="122">
        <f>'Mass Balance'!D314</f>
        <v>0</v>
      </c>
      <c r="J98" s="122">
        <f>'Mass Balance'!E314</f>
        <v>0</v>
      </c>
      <c r="K98" s="125">
        <f>'Mass Balance'!F314</f>
        <v>0</v>
      </c>
      <c r="AC98"/>
    </row>
    <row r="99" spans="1:29" ht="27.95" customHeight="1">
      <c r="A99" s="214"/>
      <c r="B99" s="214"/>
      <c r="C99" s="215"/>
      <c r="D99" s="215"/>
      <c r="E99" s="208"/>
      <c r="F99" s="183">
        <f t="shared" si="7"/>
        <v>96</v>
      </c>
      <c r="G99" s="250"/>
      <c r="H99" s="116" t="s">
        <v>7</v>
      </c>
      <c r="I99" s="122">
        <f>'Mass Balance'!D315</f>
        <v>552.56534480793709</v>
      </c>
      <c r="J99" s="122">
        <f>'Mass Balance'!E315</f>
        <v>9954.5088919425725</v>
      </c>
      <c r="K99" s="125">
        <f>'Mass Balance'!F315</f>
        <v>4.8322050318506608E-2</v>
      </c>
      <c r="AC99"/>
    </row>
    <row r="100" spans="1:29" ht="27.95" customHeight="1">
      <c r="A100" s="214"/>
      <c r="B100" s="214"/>
      <c r="C100" s="215"/>
      <c r="D100" s="215"/>
      <c r="E100" s="208"/>
      <c r="F100" s="183">
        <f t="shared" si="7"/>
        <v>97</v>
      </c>
      <c r="G100" s="250"/>
      <c r="H100" s="116" t="s">
        <v>292</v>
      </c>
      <c r="I100" s="122">
        <f>'Mass Balance'!D316</f>
        <v>1483.6600300418224</v>
      </c>
      <c r="J100" s="122">
        <f>'Mass Balance'!E316</f>
        <v>196048.93728488797</v>
      </c>
      <c r="K100" s="125">
        <f>'Mass Balance'!F316</f>
        <v>0.95167794968149344</v>
      </c>
      <c r="AC100"/>
    </row>
    <row r="101" spans="1:29" ht="27.95" customHeight="1">
      <c r="A101" s="214"/>
      <c r="B101" s="214"/>
      <c r="C101" s="215"/>
      <c r="D101" s="215"/>
      <c r="E101" s="208"/>
      <c r="F101" s="183">
        <f t="shared" si="7"/>
        <v>98</v>
      </c>
      <c r="G101" s="250"/>
      <c r="H101" s="116" t="s">
        <v>9</v>
      </c>
      <c r="I101" s="122">
        <f>'Mass Balance'!D317</f>
        <v>0</v>
      </c>
      <c r="J101" s="122">
        <f>'Mass Balance'!E317</f>
        <v>0</v>
      </c>
      <c r="K101" s="125">
        <f>'Mass Balance'!F317</f>
        <v>0</v>
      </c>
    </row>
    <row r="102" spans="1:29" ht="27.95" customHeight="1">
      <c r="A102" s="214"/>
      <c r="B102" s="214"/>
      <c r="C102" s="215"/>
      <c r="D102" s="215"/>
      <c r="E102" s="208"/>
      <c r="F102" s="183">
        <f t="shared" si="7"/>
        <v>99</v>
      </c>
      <c r="G102" s="250"/>
      <c r="H102" s="116" t="s">
        <v>27</v>
      </c>
      <c r="I102" s="122">
        <f>'Mass Balance'!D318</f>
        <v>0</v>
      </c>
      <c r="J102" s="122">
        <f>'Mass Balance'!E318</f>
        <v>0</v>
      </c>
      <c r="K102" s="125">
        <f>'Mass Balance'!F318</f>
        <v>0</v>
      </c>
    </row>
    <row r="103" spans="1:29" ht="27.95" customHeight="1">
      <c r="A103" s="214"/>
      <c r="B103" s="214"/>
      <c r="C103" s="215"/>
      <c r="D103" s="215"/>
      <c r="E103" s="208"/>
      <c r="F103" s="183">
        <f t="shared" si="7"/>
        <v>100</v>
      </c>
      <c r="G103" s="250"/>
      <c r="H103" s="116" t="s">
        <v>28</v>
      </c>
      <c r="I103" s="122">
        <f>'Mass Balance'!D319</f>
        <v>0</v>
      </c>
      <c r="J103" s="122">
        <f>'Mass Balance'!E319</f>
        <v>0</v>
      </c>
      <c r="K103" s="125">
        <f>'Mass Balance'!F319</f>
        <v>0</v>
      </c>
    </row>
    <row r="104" spans="1:29" ht="27.95" customHeight="1">
      <c r="A104" s="214"/>
      <c r="B104" s="214"/>
      <c r="C104" s="215"/>
      <c r="D104" s="215"/>
      <c r="E104" s="208"/>
      <c r="F104" s="183">
        <f t="shared" si="7"/>
        <v>101</v>
      </c>
      <c r="G104" s="250"/>
      <c r="H104" s="116" t="s">
        <v>39</v>
      </c>
      <c r="I104" s="122">
        <f>'Mass Balance'!D320</f>
        <v>0</v>
      </c>
      <c r="J104" s="122">
        <f>'Mass Balance'!E320</f>
        <v>0</v>
      </c>
      <c r="K104" s="125">
        <f>'Mass Balance'!F320</f>
        <v>0</v>
      </c>
    </row>
    <row r="105" spans="1:29" ht="27.95" customHeight="1">
      <c r="A105" s="214"/>
      <c r="B105" s="214"/>
      <c r="C105" s="215"/>
      <c r="D105" s="215"/>
      <c r="E105" s="208"/>
      <c r="F105" s="183">
        <f t="shared" si="7"/>
        <v>102</v>
      </c>
      <c r="G105" s="250"/>
      <c r="H105" s="116" t="s">
        <v>291</v>
      </c>
      <c r="I105" s="122">
        <f>'Mass Balance'!D321</f>
        <v>0</v>
      </c>
      <c r="J105" s="122">
        <f>'Mass Balance'!E321</f>
        <v>0</v>
      </c>
      <c r="K105" s="125">
        <f>'Mass Balance'!F321</f>
        <v>0</v>
      </c>
    </row>
    <row r="106" spans="1:29" ht="27.95" customHeight="1">
      <c r="A106" s="214"/>
      <c r="B106" s="214"/>
      <c r="C106" s="215"/>
      <c r="D106" s="215"/>
      <c r="E106" s="208"/>
      <c r="F106" s="183">
        <f t="shared" si="7"/>
        <v>103</v>
      </c>
      <c r="G106" s="250"/>
      <c r="H106" s="116" t="s">
        <v>40</v>
      </c>
      <c r="I106" s="122">
        <f>'Mass Balance'!D322</f>
        <v>0</v>
      </c>
      <c r="J106" s="122">
        <f>'Mass Balance'!E322</f>
        <v>0</v>
      </c>
      <c r="K106" s="125">
        <f>'Mass Balance'!F322</f>
        <v>0</v>
      </c>
    </row>
    <row r="107" spans="1:29" ht="27.95" customHeight="1">
      <c r="A107" s="214"/>
      <c r="B107" s="214"/>
      <c r="C107" s="215"/>
      <c r="D107" s="215"/>
      <c r="E107" s="208"/>
      <c r="F107" s="183">
        <f t="shared" si="7"/>
        <v>104</v>
      </c>
      <c r="G107" s="250"/>
      <c r="H107" s="116" t="s">
        <v>54</v>
      </c>
      <c r="I107" s="122">
        <f>'Mass Balance'!D323</f>
        <v>0</v>
      </c>
      <c r="J107" s="122">
        <f>'Mass Balance'!E323</f>
        <v>0</v>
      </c>
      <c r="K107" s="125">
        <f>'Mass Balance'!F323</f>
        <v>0</v>
      </c>
    </row>
    <row r="108" spans="1:29" ht="27.95" customHeight="1">
      <c r="A108" s="214"/>
      <c r="B108" s="214"/>
      <c r="C108" s="215"/>
      <c r="D108" s="215"/>
      <c r="E108" s="208"/>
      <c r="F108" s="183">
        <f t="shared" si="7"/>
        <v>105</v>
      </c>
      <c r="G108" s="250" t="s">
        <v>302</v>
      </c>
      <c r="H108" s="116" t="s">
        <v>3</v>
      </c>
      <c r="I108" s="122">
        <f>'Mass Balance'!D324</f>
        <v>0</v>
      </c>
      <c r="J108" s="122">
        <f>'Mass Balance'!E324</f>
        <v>0</v>
      </c>
      <c r="K108" s="125">
        <f>'Mass Balance'!F324</f>
        <v>0</v>
      </c>
    </row>
    <row r="109" spans="1:29" ht="27.95" customHeight="1">
      <c r="A109" s="214"/>
      <c r="B109" s="214"/>
      <c r="C109" s="215"/>
      <c r="D109" s="215"/>
      <c r="E109" s="208"/>
      <c r="F109" s="183">
        <f t="shared" si="7"/>
        <v>106</v>
      </c>
      <c r="G109" s="250"/>
      <c r="H109" s="116" t="s">
        <v>293</v>
      </c>
      <c r="I109" s="122">
        <f>'Mass Balance'!D325</f>
        <v>0</v>
      </c>
      <c r="J109" s="122">
        <f>'Mass Balance'!E325</f>
        <v>0</v>
      </c>
      <c r="K109" s="125">
        <f>'Mass Balance'!F325</f>
        <v>0</v>
      </c>
    </row>
    <row r="110" spans="1:29" ht="27.95" customHeight="1">
      <c r="A110" s="214"/>
      <c r="B110" s="214"/>
      <c r="C110" s="215"/>
      <c r="D110" s="215"/>
      <c r="E110" s="208"/>
      <c r="F110" s="183">
        <f t="shared" si="7"/>
        <v>107</v>
      </c>
      <c r="G110" s="250"/>
      <c r="H110" s="116" t="s">
        <v>5</v>
      </c>
      <c r="I110" s="122">
        <f>'Mass Balance'!D326</f>
        <v>0</v>
      </c>
      <c r="J110" s="122">
        <f>'Mass Balance'!E326</f>
        <v>0</v>
      </c>
      <c r="K110" s="125">
        <f>'Mass Balance'!F326</f>
        <v>0</v>
      </c>
    </row>
    <row r="111" spans="1:29" ht="27.95" customHeight="1">
      <c r="A111" s="214"/>
      <c r="B111" s="214"/>
      <c r="C111" s="215"/>
      <c r="D111" s="215"/>
      <c r="E111" s="208"/>
      <c r="F111" s="183">
        <f t="shared" si="7"/>
        <v>108</v>
      </c>
      <c r="G111" s="250"/>
      <c r="H111" s="116" t="s">
        <v>6</v>
      </c>
      <c r="I111" s="122">
        <f>'Mass Balance'!D327</f>
        <v>0</v>
      </c>
      <c r="J111" s="122">
        <f>'Mass Balance'!E327</f>
        <v>0</v>
      </c>
      <c r="K111" s="125">
        <f>'Mass Balance'!F327</f>
        <v>0</v>
      </c>
    </row>
    <row r="112" spans="1:29" ht="27.95" customHeight="1">
      <c r="A112" s="214"/>
      <c r="B112" s="214"/>
      <c r="C112" s="215"/>
      <c r="D112" s="215"/>
      <c r="E112" s="208"/>
      <c r="F112" s="183">
        <f t="shared" si="7"/>
        <v>109</v>
      </c>
      <c r="G112" s="250"/>
      <c r="H112" s="116" t="s">
        <v>7</v>
      </c>
      <c r="I112" s="122">
        <f>'Mass Balance'!D328</f>
        <v>27075.701895588896</v>
      </c>
      <c r="J112" s="122">
        <f>'Mass Balance'!E328</f>
        <v>487770.93570518564</v>
      </c>
      <c r="K112" s="125">
        <f>'Mass Balance'!F328</f>
        <v>0.94922015911296898</v>
      </c>
    </row>
    <row r="113" spans="1:11" ht="27.95" customHeight="1">
      <c r="A113" s="214"/>
      <c r="B113" s="214"/>
      <c r="C113" s="215"/>
      <c r="D113" s="215"/>
      <c r="E113" s="208"/>
      <c r="F113" s="183">
        <f t="shared" si="7"/>
        <v>110</v>
      </c>
      <c r="G113" s="250"/>
      <c r="H113" s="116" t="s">
        <v>292</v>
      </c>
      <c r="I113" s="122">
        <f>'Mass Balance'!D329</f>
        <v>0</v>
      </c>
      <c r="J113" s="122">
        <f>'Mass Balance'!E329</f>
        <v>0</v>
      </c>
      <c r="K113" s="125">
        <f>'Mass Balance'!F329</f>
        <v>0</v>
      </c>
    </row>
    <row r="114" spans="1:11" ht="27.95" customHeight="1">
      <c r="A114" s="214"/>
      <c r="B114" s="214"/>
      <c r="C114" s="215"/>
      <c r="D114" s="215"/>
      <c r="E114" s="208"/>
      <c r="F114" s="183">
        <f t="shared" si="7"/>
        <v>111</v>
      </c>
      <c r="G114" s="250"/>
      <c r="H114" s="116" t="s">
        <v>9</v>
      </c>
      <c r="I114" s="122">
        <f>'Mass Balance'!D330</f>
        <v>0</v>
      </c>
      <c r="J114" s="122">
        <f>'Mass Balance'!E330</f>
        <v>0</v>
      </c>
      <c r="K114" s="125">
        <f>'Mass Balance'!F330</f>
        <v>0</v>
      </c>
    </row>
    <row r="115" spans="1:11" ht="27.95" customHeight="1">
      <c r="A115" s="214"/>
      <c r="B115" s="214"/>
      <c r="C115" s="215"/>
      <c r="D115" s="215"/>
      <c r="E115" s="208"/>
      <c r="F115" s="183">
        <f t="shared" si="7"/>
        <v>112</v>
      </c>
      <c r="G115" s="250"/>
      <c r="H115" s="116" t="s">
        <v>27</v>
      </c>
      <c r="I115" s="122">
        <f>'Mass Balance'!D331</f>
        <v>0</v>
      </c>
      <c r="J115" s="122">
        <f>'Mass Balance'!E331</f>
        <v>0</v>
      </c>
      <c r="K115" s="125">
        <f>'Mass Balance'!F331</f>
        <v>0</v>
      </c>
    </row>
    <row r="116" spans="1:11" ht="27.95" customHeight="1">
      <c r="A116" s="214"/>
      <c r="B116" s="214"/>
      <c r="C116" s="215"/>
      <c r="D116" s="215"/>
      <c r="E116" s="208"/>
      <c r="F116" s="183">
        <f t="shared" si="7"/>
        <v>113</v>
      </c>
      <c r="G116" s="250"/>
      <c r="H116" s="116" t="s">
        <v>28</v>
      </c>
      <c r="I116" s="122">
        <f>'Mass Balance'!D332</f>
        <v>0</v>
      </c>
      <c r="J116" s="122">
        <f>'Mass Balance'!E332</f>
        <v>0</v>
      </c>
      <c r="K116" s="125">
        <f>'Mass Balance'!F332</f>
        <v>0</v>
      </c>
    </row>
    <row r="117" spans="1:11" ht="27.95" customHeight="1">
      <c r="A117" s="214"/>
      <c r="B117" s="214"/>
      <c r="C117" s="215"/>
      <c r="D117" s="215"/>
      <c r="E117" s="208"/>
      <c r="F117" s="183">
        <f t="shared" si="7"/>
        <v>114</v>
      </c>
      <c r="G117" s="250"/>
      <c r="H117" s="116" t="s">
        <v>39</v>
      </c>
      <c r="I117" s="122">
        <f>'Mass Balance'!D333</f>
        <v>0</v>
      </c>
      <c r="J117" s="122">
        <f>'Mass Balance'!E333</f>
        <v>0</v>
      </c>
      <c r="K117" s="125">
        <f>'Mass Balance'!F333</f>
        <v>0</v>
      </c>
    </row>
    <row r="118" spans="1:11" ht="27.95" customHeight="1">
      <c r="A118" s="214"/>
      <c r="B118" s="214"/>
      <c r="C118" s="215"/>
      <c r="D118" s="215"/>
      <c r="E118" s="208"/>
      <c r="F118" s="183">
        <f t="shared" si="7"/>
        <v>115</v>
      </c>
      <c r="G118" s="250"/>
      <c r="H118" s="116" t="s">
        <v>291</v>
      </c>
      <c r="I118" s="122">
        <f>'Mass Balance'!D334</f>
        <v>0</v>
      </c>
      <c r="J118" s="122">
        <f>'Mass Balance'!E334</f>
        <v>0</v>
      </c>
      <c r="K118" s="125">
        <f>'Mass Balance'!F334</f>
        <v>0</v>
      </c>
    </row>
    <row r="119" spans="1:11" ht="27.95" customHeight="1">
      <c r="A119" s="214"/>
      <c r="B119" s="214"/>
      <c r="C119" s="215"/>
      <c r="D119" s="215"/>
      <c r="E119" s="208"/>
      <c r="F119" s="183">
        <f t="shared" si="7"/>
        <v>116</v>
      </c>
      <c r="G119" s="250"/>
      <c r="H119" s="116" t="s">
        <v>40</v>
      </c>
      <c r="I119" s="122">
        <f>'Mass Balance'!D335</f>
        <v>592.9169516828855</v>
      </c>
      <c r="J119" s="122">
        <f>'Mass Balance'!E335</f>
        <v>26093.978585087953</v>
      </c>
      <c r="K119" s="125">
        <f>'Mass Balance'!F335</f>
        <v>5.0779840887031073E-2</v>
      </c>
    </row>
    <row r="120" spans="1:11" ht="27.95" customHeight="1">
      <c r="A120" s="214"/>
      <c r="B120" s="214"/>
      <c r="C120" s="215"/>
      <c r="D120" s="215"/>
      <c r="E120" s="208"/>
      <c r="F120" s="183">
        <f t="shared" si="7"/>
        <v>117</v>
      </c>
      <c r="G120" s="250"/>
      <c r="H120" s="116" t="s">
        <v>54</v>
      </c>
      <c r="I120" s="122">
        <f>'Mass Balance'!D336</f>
        <v>0</v>
      </c>
      <c r="J120" s="122">
        <f>'Mass Balance'!E336</f>
        <v>0</v>
      </c>
      <c r="K120" s="125">
        <f>'Mass Balance'!F336</f>
        <v>0</v>
      </c>
    </row>
    <row r="121" spans="1:11" ht="27.95" customHeight="1">
      <c r="A121" s="214"/>
      <c r="B121" s="214"/>
      <c r="C121" s="215"/>
      <c r="D121" s="215"/>
      <c r="E121" s="208"/>
      <c r="F121" s="183">
        <f t="shared" si="7"/>
        <v>118</v>
      </c>
      <c r="G121" s="250" t="s">
        <v>303</v>
      </c>
      <c r="H121" s="116" t="s">
        <v>3</v>
      </c>
      <c r="I121" s="122">
        <f>'Mass Balance'!D337</f>
        <v>0</v>
      </c>
      <c r="J121" s="122">
        <f>'Mass Balance'!E337</f>
        <v>0</v>
      </c>
      <c r="K121" s="125">
        <f>'Mass Balance'!F337</f>
        <v>0</v>
      </c>
    </row>
    <row r="122" spans="1:11" ht="27.95" customHeight="1">
      <c r="A122" s="214"/>
      <c r="B122" s="214"/>
      <c r="C122" s="215"/>
      <c r="D122" s="215"/>
      <c r="E122" s="208"/>
      <c r="F122" s="183">
        <f t="shared" si="7"/>
        <v>119</v>
      </c>
      <c r="G122" s="250"/>
      <c r="H122" s="116" t="s">
        <v>293</v>
      </c>
      <c r="I122" s="122">
        <f>'Mass Balance'!D338</f>
        <v>0</v>
      </c>
      <c r="J122" s="122">
        <f>'Mass Balance'!E338</f>
        <v>0</v>
      </c>
      <c r="K122" s="125">
        <f>'Mass Balance'!F338</f>
        <v>0</v>
      </c>
    </row>
    <row r="123" spans="1:11" ht="27.95" customHeight="1">
      <c r="A123" s="214"/>
      <c r="B123" s="214"/>
      <c r="C123" s="215"/>
      <c r="D123" s="215"/>
      <c r="E123" s="208"/>
      <c r="F123" s="183">
        <f t="shared" si="7"/>
        <v>120</v>
      </c>
      <c r="G123" s="250"/>
      <c r="H123" s="116" t="s">
        <v>5</v>
      </c>
      <c r="I123" s="122">
        <f>'Mass Balance'!D339</f>
        <v>0</v>
      </c>
      <c r="J123" s="122">
        <f>'Mass Balance'!E339</f>
        <v>0</v>
      </c>
      <c r="K123" s="125">
        <f>'Mass Balance'!F339</f>
        <v>0</v>
      </c>
    </row>
    <row r="124" spans="1:11" ht="27.95" customHeight="1">
      <c r="A124" s="214"/>
      <c r="B124" s="214"/>
      <c r="C124" s="215"/>
      <c r="D124" s="215"/>
      <c r="E124" s="208"/>
      <c r="F124" s="183">
        <f t="shared" si="7"/>
        <v>121</v>
      </c>
      <c r="G124" s="250"/>
      <c r="H124" s="116" t="s">
        <v>6</v>
      </c>
      <c r="I124" s="122">
        <f>'Mass Balance'!D340</f>
        <v>0</v>
      </c>
      <c r="J124" s="122">
        <f>'Mass Balance'!E340</f>
        <v>0</v>
      </c>
      <c r="K124" s="125">
        <f>'Mass Balance'!F340</f>
        <v>0</v>
      </c>
    </row>
    <row r="125" spans="1:11" ht="27.95" customHeight="1">
      <c r="A125" s="214"/>
      <c r="B125" s="214"/>
      <c r="C125" s="215"/>
      <c r="D125" s="215"/>
      <c r="E125" s="208"/>
      <c r="F125" s="183">
        <f t="shared" si="7"/>
        <v>122</v>
      </c>
      <c r="G125" s="250"/>
      <c r="H125" s="116" t="s">
        <v>7</v>
      </c>
      <c r="I125" s="122">
        <f>'Mass Balance'!D341</f>
        <v>552.56534480793709</v>
      </c>
      <c r="J125" s="122">
        <f>'Mass Balance'!E341</f>
        <v>9954.5088919425725</v>
      </c>
      <c r="K125" s="125">
        <f>'Mass Balance'!F341</f>
        <v>4.8322050318506608E-2</v>
      </c>
    </row>
    <row r="126" spans="1:11" ht="27.95" customHeight="1">
      <c r="A126" s="214"/>
      <c r="B126" s="214"/>
      <c r="C126" s="215"/>
      <c r="D126" s="215"/>
      <c r="E126" s="208"/>
      <c r="F126" s="183">
        <f t="shared" si="7"/>
        <v>123</v>
      </c>
      <c r="G126" s="250"/>
      <c r="H126" s="116" t="s">
        <v>292</v>
      </c>
      <c r="I126" s="122">
        <f>'Mass Balance'!D342</f>
        <v>1483.6600300418224</v>
      </c>
      <c r="J126" s="122">
        <f>'Mass Balance'!E342</f>
        <v>196048.93728488797</v>
      </c>
      <c r="K126" s="125">
        <f>'Mass Balance'!F342</f>
        <v>0.95167794968149344</v>
      </c>
    </row>
    <row r="127" spans="1:11" ht="27.95" customHeight="1">
      <c r="A127" s="214"/>
      <c r="B127" s="214"/>
      <c r="C127" s="215"/>
      <c r="D127" s="215"/>
      <c r="E127" s="208"/>
      <c r="F127" s="183">
        <f t="shared" si="7"/>
        <v>124</v>
      </c>
      <c r="G127" s="250"/>
      <c r="H127" s="116" t="s">
        <v>9</v>
      </c>
      <c r="I127" s="122">
        <f>'Mass Balance'!D343</f>
        <v>0</v>
      </c>
      <c r="J127" s="122">
        <f>'Mass Balance'!E343</f>
        <v>0</v>
      </c>
      <c r="K127" s="125">
        <f>'Mass Balance'!F343</f>
        <v>0</v>
      </c>
    </row>
    <row r="128" spans="1:11" ht="27.95" customHeight="1">
      <c r="A128" s="214"/>
      <c r="B128" s="214"/>
      <c r="C128" s="215"/>
      <c r="D128" s="215"/>
      <c r="E128" s="208"/>
      <c r="F128" s="183">
        <f t="shared" si="7"/>
        <v>125</v>
      </c>
      <c r="G128" s="250"/>
      <c r="H128" s="116" t="s">
        <v>27</v>
      </c>
      <c r="I128" s="122">
        <f>'Mass Balance'!D344</f>
        <v>0</v>
      </c>
      <c r="J128" s="122">
        <f>'Mass Balance'!E344</f>
        <v>0</v>
      </c>
      <c r="K128" s="125">
        <f>'Mass Balance'!F344</f>
        <v>0</v>
      </c>
    </row>
    <row r="129" spans="1:11" ht="27.95" customHeight="1">
      <c r="A129" s="214"/>
      <c r="B129" s="214"/>
      <c r="C129" s="215"/>
      <c r="D129" s="215"/>
      <c r="E129" s="208"/>
      <c r="F129" s="183">
        <f t="shared" si="7"/>
        <v>126</v>
      </c>
      <c r="G129" s="250"/>
      <c r="H129" s="116" t="s">
        <v>28</v>
      </c>
      <c r="I129" s="122">
        <f>'Mass Balance'!D345</f>
        <v>0</v>
      </c>
      <c r="J129" s="122">
        <f>'Mass Balance'!E345</f>
        <v>0</v>
      </c>
      <c r="K129" s="125">
        <f>'Mass Balance'!F345</f>
        <v>0</v>
      </c>
    </row>
    <row r="130" spans="1:11" ht="27.95" customHeight="1">
      <c r="A130" s="214"/>
      <c r="B130" s="214"/>
      <c r="C130" s="215"/>
      <c r="D130" s="215"/>
      <c r="E130" s="208"/>
      <c r="F130" s="183">
        <f t="shared" si="7"/>
        <v>127</v>
      </c>
      <c r="G130" s="250"/>
      <c r="H130" s="116" t="s">
        <v>39</v>
      </c>
      <c r="I130" s="122">
        <f>'Mass Balance'!D346</f>
        <v>0</v>
      </c>
      <c r="J130" s="122">
        <f>'Mass Balance'!E346</f>
        <v>0</v>
      </c>
      <c r="K130" s="125">
        <f>'Mass Balance'!F346</f>
        <v>0</v>
      </c>
    </row>
    <row r="131" spans="1:11" ht="27.95" customHeight="1">
      <c r="A131" s="214"/>
      <c r="B131" s="214"/>
      <c r="C131" s="215"/>
      <c r="D131" s="215"/>
      <c r="E131" s="208"/>
      <c r="F131" s="183">
        <f t="shared" si="7"/>
        <v>128</v>
      </c>
      <c r="G131" s="250"/>
      <c r="H131" s="116" t="s">
        <v>291</v>
      </c>
      <c r="I131" s="122">
        <f>'Mass Balance'!D347</f>
        <v>0</v>
      </c>
      <c r="J131" s="122">
        <f>'Mass Balance'!E347</f>
        <v>0</v>
      </c>
      <c r="K131" s="125">
        <f>'Mass Balance'!F347</f>
        <v>0</v>
      </c>
    </row>
    <row r="132" spans="1:11" ht="27.95" customHeight="1">
      <c r="A132" s="214"/>
      <c r="B132" s="214"/>
      <c r="C132" s="215"/>
      <c r="D132" s="215"/>
      <c r="E132" s="208"/>
      <c r="F132" s="183">
        <f t="shared" si="7"/>
        <v>129</v>
      </c>
      <c r="G132" s="250"/>
      <c r="H132" s="116" t="s">
        <v>40</v>
      </c>
      <c r="I132" s="122">
        <f>'Mass Balance'!D348</f>
        <v>0</v>
      </c>
      <c r="J132" s="122">
        <f>'Mass Balance'!E348</f>
        <v>0</v>
      </c>
      <c r="K132" s="125">
        <f>'Mass Balance'!F348</f>
        <v>0</v>
      </c>
    </row>
    <row r="133" spans="1:11" ht="27.95" customHeight="1">
      <c r="A133" s="214"/>
      <c r="B133" s="214"/>
      <c r="C133" s="215"/>
      <c r="D133" s="215"/>
      <c r="E133" s="208"/>
      <c r="F133" s="183">
        <f t="shared" si="7"/>
        <v>130</v>
      </c>
      <c r="G133" s="250"/>
      <c r="H133" s="116" t="s">
        <v>54</v>
      </c>
      <c r="I133" s="122">
        <f>'Mass Balance'!D349</f>
        <v>0</v>
      </c>
      <c r="J133" s="122">
        <f>'Mass Balance'!E349</f>
        <v>0</v>
      </c>
      <c r="K133" s="125">
        <f>'Mass Balance'!F349</f>
        <v>0</v>
      </c>
    </row>
    <row r="134" spans="1:11" ht="27.95" customHeight="1">
      <c r="A134" s="214"/>
      <c r="B134" s="214"/>
      <c r="C134" s="215"/>
      <c r="D134" s="215"/>
      <c r="E134" s="208"/>
      <c r="F134" s="183">
        <f t="shared" ref="F134:F197" si="8">F133+1</f>
        <v>131</v>
      </c>
      <c r="G134" s="250" t="s">
        <v>304</v>
      </c>
      <c r="H134" s="116" t="s">
        <v>3</v>
      </c>
      <c r="I134" s="122">
        <f>'Mass Balance'!D350</f>
        <v>0</v>
      </c>
      <c r="J134" s="122">
        <f>'Mass Balance'!E350</f>
        <v>0</v>
      </c>
      <c r="K134" s="125">
        <f>'Mass Balance'!F350</f>
        <v>0</v>
      </c>
    </row>
    <row r="135" spans="1:11" ht="27.95" customHeight="1">
      <c r="A135" s="214"/>
      <c r="B135" s="214"/>
      <c r="C135" s="215"/>
      <c r="D135" s="215"/>
      <c r="E135" s="208"/>
      <c r="F135" s="183">
        <f t="shared" si="8"/>
        <v>132</v>
      </c>
      <c r="G135" s="250"/>
      <c r="H135" s="116" t="s">
        <v>293</v>
      </c>
      <c r="I135" s="122">
        <f>'Mass Balance'!D351</f>
        <v>0</v>
      </c>
      <c r="J135" s="122">
        <f>'Mass Balance'!E351</f>
        <v>0</v>
      </c>
      <c r="K135" s="125">
        <f>'Mass Balance'!F351</f>
        <v>0</v>
      </c>
    </row>
    <row r="136" spans="1:11" ht="27.95" customHeight="1">
      <c r="A136" s="214"/>
      <c r="B136" s="214"/>
      <c r="C136" s="215"/>
      <c r="D136" s="215"/>
      <c r="E136" s="208"/>
      <c r="F136" s="183">
        <f t="shared" si="8"/>
        <v>133</v>
      </c>
      <c r="G136" s="250"/>
      <c r="H136" s="116" t="s">
        <v>5</v>
      </c>
      <c r="I136" s="122">
        <f>'Mass Balance'!D352</f>
        <v>0</v>
      </c>
      <c r="J136" s="122">
        <f>'Mass Balance'!E352</f>
        <v>0</v>
      </c>
      <c r="K136" s="125">
        <f>'Mass Balance'!F352</f>
        <v>0</v>
      </c>
    </row>
    <row r="137" spans="1:11" ht="27.95" customHeight="1">
      <c r="A137" s="214"/>
      <c r="B137" s="214"/>
      <c r="C137" s="215"/>
      <c r="D137" s="215"/>
      <c r="E137" s="208"/>
      <c r="F137" s="183">
        <f t="shared" si="8"/>
        <v>134</v>
      </c>
      <c r="G137" s="250"/>
      <c r="H137" s="116" t="s">
        <v>6</v>
      </c>
      <c r="I137" s="122">
        <f>'Mass Balance'!D353</f>
        <v>0</v>
      </c>
      <c r="J137" s="122">
        <f>'Mass Balance'!E353</f>
        <v>0</v>
      </c>
      <c r="K137" s="125">
        <f>'Mass Balance'!F353</f>
        <v>0</v>
      </c>
    </row>
    <row r="138" spans="1:11" ht="27.95" customHeight="1">
      <c r="A138" s="214"/>
      <c r="B138" s="214"/>
      <c r="C138" s="215"/>
      <c r="D138" s="215"/>
      <c r="E138" s="208"/>
      <c r="F138" s="183">
        <f t="shared" si="8"/>
        <v>135</v>
      </c>
      <c r="G138" s="250"/>
      <c r="H138" s="116" t="s">
        <v>7</v>
      </c>
      <c r="I138" s="122">
        <f>'Mass Balance'!D354</f>
        <v>552.56534480793709</v>
      </c>
      <c r="J138" s="122">
        <f>'Mass Balance'!E354</f>
        <v>9954.5088919425725</v>
      </c>
      <c r="K138" s="125">
        <f>'Mass Balance'!F354</f>
        <v>0.28262539497864836</v>
      </c>
    </row>
    <row r="139" spans="1:11" ht="27.95" customHeight="1">
      <c r="A139" s="214"/>
      <c r="B139" s="214"/>
      <c r="C139" s="215"/>
      <c r="D139" s="215"/>
      <c r="E139" s="208"/>
      <c r="F139" s="183">
        <f t="shared" si="8"/>
        <v>136</v>
      </c>
      <c r="G139" s="250"/>
      <c r="H139" s="116" t="s">
        <v>292</v>
      </c>
      <c r="I139" s="122">
        <f>'Mass Balance'!D355</f>
        <v>0</v>
      </c>
      <c r="J139" s="122">
        <f>'Mass Balance'!E355</f>
        <v>0</v>
      </c>
      <c r="K139" s="125">
        <f>'Mass Balance'!F355</f>
        <v>0</v>
      </c>
    </row>
    <row r="140" spans="1:11" ht="27.95" customHeight="1">
      <c r="A140" s="214"/>
      <c r="B140" s="214"/>
      <c r="C140" s="215"/>
      <c r="D140" s="215"/>
      <c r="E140" s="208"/>
      <c r="F140" s="183">
        <f t="shared" si="8"/>
        <v>137</v>
      </c>
      <c r="G140" s="250"/>
      <c r="H140" s="116" t="s">
        <v>9</v>
      </c>
      <c r="I140" s="122">
        <f>'Mass Balance'!D356</f>
        <v>0</v>
      </c>
      <c r="J140" s="122">
        <f>'Mass Balance'!E356</f>
        <v>0</v>
      </c>
      <c r="K140" s="125">
        <f>'Mass Balance'!F356</f>
        <v>0</v>
      </c>
    </row>
    <row r="141" spans="1:11" ht="27.95" customHeight="1">
      <c r="A141" s="214"/>
      <c r="B141" s="214"/>
      <c r="C141" s="215"/>
      <c r="D141" s="215"/>
      <c r="E141" s="208"/>
      <c r="F141" s="183">
        <f t="shared" si="8"/>
        <v>138</v>
      </c>
      <c r="G141" s="250"/>
      <c r="H141" s="116" t="s">
        <v>27</v>
      </c>
      <c r="I141" s="122">
        <f>'Mass Balance'!D357</f>
        <v>0</v>
      </c>
      <c r="J141" s="122">
        <f>'Mass Balance'!E357</f>
        <v>0</v>
      </c>
      <c r="K141" s="125">
        <f>'Mass Balance'!F357</f>
        <v>0</v>
      </c>
    </row>
    <row r="142" spans="1:11" ht="27.95" customHeight="1">
      <c r="A142" s="214"/>
      <c r="B142" s="214"/>
      <c r="C142" s="215"/>
      <c r="D142" s="215"/>
      <c r="E142" s="208"/>
      <c r="F142" s="183">
        <f t="shared" si="8"/>
        <v>139</v>
      </c>
      <c r="G142" s="250"/>
      <c r="H142" s="116" t="s">
        <v>28</v>
      </c>
      <c r="I142" s="122">
        <f>'Mass Balance'!D358</f>
        <v>0</v>
      </c>
      <c r="J142" s="122">
        <f>'Mass Balance'!E358</f>
        <v>0</v>
      </c>
      <c r="K142" s="125">
        <f>'Mass Balance'!F358</f>
        <v>0</v>
      </c>
    </row>
    <row r="143" spans="1:11" ht="27.95" customHeight="1">
      <c r="A143" s="214"/>
      <c r="B143" s="214"/>
      <c r="C143" s="215"/>
      <c r="D143" s="215"/>
      <c r="E143" s="208"/>
      <c r="F143" s="183">
        <f t="shared" si="8"/>
        <v>140</v>
      </c>
      <c r="G143" s="250"/>
      <c r="H143" s="116" t="s">
        <v>39</v>
      </c>
      <c r="I143" s="122">
        <f>'Mass Balance'!D359</f>
        <v>0</v>
      </c>
      <c r="J143" s="122">
        <f>'Mass Balance'!E359</f>
        <v>0</v>
      </c>
      <c r="K143" s="125">
        <f>'Mass Balance'!F359</f>
        <v>0</v>
      </c>
    </row>
    <row r="144" spans="1:11" ht="27.95" customHeight="1">
      <c r="A144" s="214"/>
      <c r="B144" s="214"/>
      <c r="C144" s="215"/>
      <c r="D144" s="215"/>
      <c r="E144" s="208"/>
      <c r="F144" s="183">
        <f t="shared" si="8"/>
        <v>141</v>
      </c>
      <c r="G144" s="250"/>
      <c r="H144" s="116" t="s">
        <v>291</v>
      </c>
      <c r="I144" s="122">
        <f>'Mass Balance'!D360</f>
        <v>0</v>
      </c>
      <c r="J144" s="122">
        <f>'Mass Balance'!E360</f>
        <v>0</v>
      </c>
      <c r="K144" s="125">
        <f>'Mass Balance'!F360</f>
        <v>0</v>
      </c>
    </row>
    <row r="145" spans="1:11" ht="27.95" customHeight="1">
      <c r="A145" s="214"/>
      <c r="B145" s="214"/>
      <c r="C145" s="215"/>
      <c r="D145" s="215"/>
      <c r="E145" s="208"/>
      <c r="F145" s="183">
        <f t="shared" si="8"/>
        <v>142</v>
      </c>
      <c r="G145" s="250"/>
      <c r="H145" s="116" t="s">
        <v>40</v>
      </c>
      <c r="I145" s="122">
        <f>'Mass Balance'!D361</f>
        <v>0</v>
      </c>
      <c r="J145" s="122">
        <f>'Mass Balance'!E361</f>
        <v>0</v>
      </c>
      <c r="K145" s="125">
        <f>'Mass Balance'!F361</f>
        <v>0</v>
      </c>
    </row>
    <row r="146" spans="1:11" ht="27.95" customHeight="1">
      <c r="A146" s="214"/>
      <c r="B146" s="214"/>
      <c r="C146" s="215"/>
      <c r="D146" s="215"/>
      <c r="E146" s="208"/>
      <c r="F146" s="183">
        <f t="shared" si="8"/>
        <v>143</v>
      </c>
      <c r="G146" s="250"/>
      <c r="H146" s="116" t="s">
        <v>54</v>
      </c>
      <c r="I146" s="122">
        <f>'Mass Balance'!D362</f>
        <v>1483.6600300418224</v>
      </c>
      <c r="J146" s="122">
        <f>'Mass Balance'!E362</f>
        <v>25267.056716818846</v>
      </c>
      <c r="K146" s="125">
        <f>'Mass Balance'!F362</f>
        <v>0.71737460502135164</v>
      </c>
    </row>
    <row r="147" spans="1:11" ht="27.95" customHeight="1">
      <c r="A147" s="214"/>
      <c r="B147" s="214"/>
      <c r="C147" s="215"/>
      <c r="D147" s="215"/>
      <c r="E147" s="208"/>
      <c r="F147" s="183">
        <f t="shared" si="8"/>
        <v>144</v>
      </c>
      <c r="G147" s="250" t="s">
        <v>305</v>
      </c>
      <c r="H147" s="116" t="s">
        <v>3</v>
      </c>
      <c r="I147" s="122">
        <f>'Mass Balance'!D363</f>
        <v>0</v>
      </c>
      <c r="J147" s="122">
        <f>'Mass Balance'!E363</f>
        <v>0</v>
      </c>
      <c r="K147" s="125">
        <f>'Mass Balance'!F363</f>
        <v>0</v>
      </c>
    </row>
    <row r="148" spans="1:11" ht="27.95" customHeight="1">
      <c r="A148" s="214"/>
      <c r="B148" s="214"/>
      <c r="C148" s="215"/>
      <c r="D148" s="215"/>
      <c r="E148" s="208"/>
      <c r="F148" s="183">
        <f t="shared" si="8"/>
        <v>145</v>
      </c>
      <c r="G148" s="250"/>
      <c r="H148" s="116" t="s">
        <v>293</v>
      </c>
      <c r="I148" s="122">
        <f>'Mass Balance'!D364</f>
        <v>1483.6600300418224</v>
      </c>
      <c r="J148" s="122">
        <f>'Mass Balance'!E364</f>
        <v>170781.88056806911</v>
      </c>
      <c r="K148" s="125">
        <f>'Mass Balance'!F364</f>
        <v>1</v>
      </c>
    </row>
    <row r="149" spans="1:11" ht="27.95" customHeight="1">
      <c r="A149" s="214"/>
      <c r="B149" s="214"/>
      <c r="C149" s="215"/>
      <c r="D149" s="215"/>
      <c r="E149" s="208"/>
      <c r="F149" s="183">
        <f t="shared" si="8"/>
        <v>146</v>
      </c>
      <c r="G149" s="250"/>
      <c r="H149" s="116" t="s">
        <v>5</v>
      </c>
      <c r="I149" s="122">
        <f>'Mass Balance'!D365</f>
        <v>0</v>
      </c>
      <c r="J149" s="122">
        <f>'Mass Balance'!E365</f>
        <v>0</v>
      </c>
      <c r="K149" s="125">
        <f>'Mass Balance'!F365</f>
        <v>0</v>
      </c>
    </row>
    <row r="150" spans="1:11" ht="27.95" customHeight="1">
      <c r="A150" s="214"/>
      <c r="B150" s="214"/>
      <c r="C150" s="215"/>
      <c r="D150" s="215"/>
      <c r="E150" s="208"/>
      <c r="F150" s="183">
        <f t="shared" si="8"/>
        <v>147</v>
      </c>
      <c r="G150" s="250"/>
      <c r="H150" s="116" t="s">
        <v>6</v>
      </c>
      <c r="I150" s="122">
        <f>'Mass Balance'!D366</f>
        <v>0</v>
      </c>
      <c r="J150" s="122">
        <f>'Mass Balance'!E366</f>
        <v>0</v>
      </c>
      <c r="K150" s="125">
        <f>'Mass Balance'!F366</f>
        <v>0</v>
      </c>
    </row>
    <row r="151" spans="1:11" ht="27.95" customHeight="1">
      <c r="A151" s="214"/>
      <c r="B151" s="214"/>
      <c r="C151" s="215"/>
      <c r="D151" s="215"/>
      <c r="E151" s="208"/>
      <c r="F151" s="183">
        <f t="shared" si="8"/>
        <v>148</v>
      </c>
      <c r="G151" s="250"/>
      <c r="H151" s="116" t="s">
        <v>7</v>
      </c>
      <c r="I151" s="122">
        <f>'Mass Balance'!D367</f>
        <v>0</v>
      </c>
      <c r="J151" s="122">
        <f>'Mass Balance'!E367</f>
        <v>0</v>
      </c>
      <c r="K151" s="125">
        <f>'Mass Balance'!F367</f>
        <v>0</v>
      </c>
    </row>
    <row r="152" spans="1:11" ht="27.95" customHeight="1">
      <c r="A152" s="214"/>
      <c r="B152" s="214"/>
      <c r="C152" s="215"/>
      <c r="D152" s="215"/>
      <c r="E152" s="208"/>
      <c r="F152" s="183">
        <f t="shared" si="8"/>
        <v>149</v>
      </c>
      <c r="G152" s="250"/>
      <c r="H152" s="116" t="s">
        <v>292</v>
      </c>
      <c r="I152" s="122">
        <f>'Mass Balance'!D368</f>
        <v>0</v>
      </c>
      <c r="J152" s="122">
        <f>'Mass Balance'!E368</f>
        <v>0</v>
      </c>
      <c r="K152" s="125">
        <f>'Mass Balance'!F368</f>
        <v>0</v>
      </c>
    </row>
    <row r="153" spans="1:11" ht="27.95" customHeight="1">
      <c r="A153" s="214"/>
      <c r="B153" s="214"/>
      <c r="C153" s="215"/>
      <c r="D153" s="215"/>
      <c r="E153" s="208"/>
      <c r="F153" s="183">
        <f t="shared" si="8"/>
        <v>150</v>
      </c>
      <c r="G153" s="250"/>
      <c r="H153" s="116" t="s">
        <v>9</v>
      </c>
      <c r="I153" s="122">
        <f>'Mass Balance'!D369</f>
        <v>0</v>
      </c>
      <c r="J153" s="122">
        <f>'Mass Balance'!E369</f>
        <v>0</v>
      </c>
      <c r="K153" s="125">
        <f>'Mass Balance'!F369</f>
        <v>0</v>
      </c>
    </row>
    <row r="154" spans="1:11">
      <c r="A154" s="214"/>
      <c r="B154" s="214"/>
      <c r="C154" s="215"/>
      <c r="D154" s="215"/>
      <c r="E154" s="208"/>
      <c r="F154" s="183">
        <f t="shared" si="8"/>
        <v>151</v>
      </c>
      <c r="G154" s="250"/>
      <c r="H154" s="116" t="s">
        <v>27</v>
      </c>
      <c r="I154" s="122">
        <f>'Mass Balance'!D370</f>
        <v>0</v>
      </c>
      <c r="J154" s="122">
        <f>'Mass Balance'!E370</f>
        <v>0</v>
      </c>
      <c r="K154" s="125">
        <f>'Mass Balance'!F370</f>
        <v>0</v>
      </c>
    </row>
    <row r="155" spans="1:11">
      <c r="A155" s="214"/>
      <c r="B155" s="214"/>
      <c r="C155" s="215"/>
      <c r="D155" s="215"/>
      <c r="E155" s="208"/>
      <c r="F155" s="183">
        <f t="shared" si="8"/>
        <v>152</v>
      </c>
      <c r="G155" s="250"/>
      <c r="H155" s="116" t="s">
        <v>28</v>
      </c>
      <c r="I155" s="122">
        <f>'Mass Balance'!D371</f>
        <v>0</v>
      </c>
      <c r="J155" s="122">
        <f>'Mass Balance'!E371</f>
        <v>0</v>
      </c>
      <c r="K155" s="125">
        <f>'Mass Balance'!F371</f>
        <v>0</v>
      </c>
    </row>
    <row r="156" spans="1:11">
      <c r="A156" s="214"/>
      <c r="B156" s="214"/>
      <c r="C156" s="215"/>
      <c r="D156" s="215"/>
      <c r="E156" s="208"/>
      <c r="F156" s="183">
        <f t="shared" si="8"/>
        <v>153</v>
      </c>
      <c r="G156" s="250"/>
      <c r="H156" s="116" t="s">
        <v>39</v>
      </c>
      <c r="I156" s="122">
        <f>'Mass Balance'!D372</f>
        <v>0</v>
      </c>
      <c r="J156" s="122">
        <f>'Mass Balance'!E372</f>
        <v>0</v>
      </c>
      <c r="K156" s="125">
        <f>'Mass Balance'!F372</f>
        <v>0</v>
      </c>
    </row>
    <row r="157" spans="1:11">
      <c r="A157" s="214"/>
      <c r="B157" s="214"/>
      <c r="C157" s="215"/>
      <c r="D157" s="215"/>
      <c r="E157" s="208"/>
      <c r="F157" s="183">
        <f t="shared" si="8"/>
        <v>154</v>
      </c>
      <c r="G157" s="250"/>
      <c r="H157" s="116" t="s">
        <v>291</v>
      </c>
      <c r="I157" s="122">
        <f>'Mass Balance'!D373</f>
        <v>0</v>
      </c>
      <c r="J157" s="122">
        <f>'Mass Balance'!E373</f>
        <v>0</v>
      </c>
      <c r="K157" s="125">
        <f>'Mass Balance'!F373</f>
        <v>0</v>
      </c>
    </row>
    <row r="158" spans="1:11">
      <c r="A158" s="214"/>
      <c r="B158" s="214"/>
      <c r="C158" s="215"/>
      <c r="D158" s="215"/>
      <c r="E158" s="208"/>
      <c r="F158" s="183">
        <f t="shared" si="8"/>
        <v>155</v>
      </c>
      <c r="G158" s="250"/>
      <c r="H158" s="116" t="s">
        <v>40</v>
      </c>
      <c r="I158" s="122">
        <f>'Mass Balance'!D374</f>
        <v>0</v>
      </c>
      <c r="J158" s="122">
        <f>'Mass Balance'!E374</f>
        <v>0</v>
      </c>
      <c r="K158" s="125">
        <f>'Mass Balance'!F374</f>
        <v>0</v>
      </c>
    </row>
    <row r="159" spans="1:11">
      <c r="A159" s="214"/>
      <c r="B159" s="214"/>
      <c r="C159" s="215"/>
      <c r="D159" s="215"/>
      <c r="E159" s="208"/>
      <c r="F159" s="183">
        <f t="shared" si="8"/>
        <v>156</v>
      </c>
      <c r="G159" s="250"/>
      <c r="H159" s="116" t="s">
        <v>54</v>
      </c>
      <c r="I159" s="122">
        <f>'Mass Balance'!D375</f>
        <v>0</v>
      </c>
      <c r="J159" s="122">
        <f>'Mass Balance'!E375</f>
        <v>0</v>
      </c>
      <c r="K159" s="125">
        <f>'Mass Balance'!F375</f>
        <v>0</v>
      </c>
    </row>
    <row r="160" spans="1:11" ht="17.25" customHeight="1">
      <c r="A160" s="214"/>
      <c r="B160" s="214"/>
      <c r="C160" s="215"/>
      <c r="D160" s="215"/>
      <c r="E160" s="208"/>
      <c r="F160" s="183">
        <f t="shared" si="8"/>
        <v>157</v>
      </c>
      <c r="G160" s="250" t="s">
        <v>307</v>
      </c>
      <c r="H160" s="116" t="s">
        <v>3</v>
      </c>
      <c r="I160" s="122">
        <f>'Mass Balance'!D376</f>
        <v>0</v>
      </c>
      <c r="J160" s="122">
        <f>'Mass Balance'!E376</f>
        <v>0</v>
      </c>
      <c r="K160" s="125">
        <f>'Mass Balance'!F376</f>
        <v>0</v>
      </c>
    </row>
    <row r="161" spans="1:11">
      <c r="A161" s="214"/>
      <c r="B161" s="214"/>
      <c r="C161" s="215"/>
      <c r="D161" s="215"/>
      <c r="E161" s="208"/>
      <c r="F161" s="183">
        <f t="shared" si="8"/>
        <v>158</v>
      </c>
      <c r="G161" s="250"/>
      <c r="H161" s="116" t="s">
        <v>293</v>
      </c>
      <c r="I161" s="122">
        <f>'Mass Balance'!D377</f>
        <v>0</v>
      </c>
      <c r="J161" s="122">
        <f>'Mass Balance'!E377</f>
        <v>0</v>
      </c>
      <c r="K161" s="125">
        <f>'Mass Balance'!F377</f>
        <v>0</v>
      </c>
    </row>
    <row r="162" spans="1:11">
      <c r="A162" s="214"/>
      <c r="B162" s="214"/>
      <c r="C162" s="215"/>
      <c r="D162" s="215"/>
      <c r="E162" s="208"/>
      <c r="F162" s="183">
        <f t="shared" si="8"/>
        <v>159</v>
      </c>
      <c r="G162" s="250"/>
      <c r="H162" s="116" t="s">
        <v>5</v>
      </c>
      <c r="I162" s="122">
        <f>'Mass Balance'!D378</f>
        <v>0</v>
      </c>
      <c r="J162" s="122">
        <f>'Mass Balance'!E378</f>
        <v>0</v>
      </c>
      <c r="K162" s="125">
        <f>'Mass Balance'!F378</f>
        <v>0</v>
      </c>
    </row>
    <row r="163" spans="1:11">
      <c r="A163" s="214"/>
      <c r="B163" s="214"/>
      <c r="C163" s="215"/>
      <c r="D163" s="215"/>
      <c r="E163" s="208"/>
      <c r="F163" s="183">
        <f t="shared" si="8"/>
        <v>160</v>
      </c>
      <c r="G163" s="250"/>
      <c r="H163" s="116" t="s">
        <v>6</v>
      </c>
      <c r="I163" s="122">
        <f>'Mass Balance'!D379</f>
        <v>0</v>
      </c>
      <c r="J163" s="122">
        <f>'Mass Balance'!E379</f>
        <v>0</v>
      </c>
      <c r="K163" s="125">
        <f>'Mass Balance'!F379</f>
        <v>0</v>
      </c>
    </row>
    <row r="164" spans="1:11">
      <c r="A164" s="214"/>
      <c r="B164" s="214"/>
      <c r="C164" s="215"/>
      <c r="D164" s="215"/>
      <c r="E164" s="208"/>
      <c r="F164" s="183">
        <f t="shared" si="8"/>
        <v>161</v>
      </c>
      <c r="G164" s="250"/>
      <c r="H164" s="116" t="s">
        <v>7</v>
      </c>
      <c r="I164" s="122">
        <f>'Mass Balance'!D380</f>
        <v>13790.578457492826</v>
      </c>
      <c r="J164" s="122">
        <f>'Mass Balance'!E380</f>
        <v>248438.37415800986</v>
      </c>
      <c r="K164" s="125">
        <f>'Mass Balance'!F380</f>
        <v>0.94922015911296898</v>
      </c>
    </row>
    <row r="165" spans="1:11">
      <c r="A165" s="214"/>
      <c r="B165" s="214"/>
      <c r="C165" s="215"/>
      <c r="D165" s="215"/>
      <c r="E165" s="208"/>
      <c r="F165" s="183">
        <f t="shared" si="8"/>
        <v>162</v>
      </c>
      <c r="G165" s="250"/>
      <c r="H165" s="116" t="s">
        <v>292</v>
      </c>
      <c r="I165" s="122">
        <f>'Mass Balance'!D381</f>
        <v>0</v>
      </c>
      <c r="J165" s="122">
        <f>'Mass Balance'!E381</f>
        <v>0</v>
      </c>
      <c r="K165" s="125">
        <f>'Mass Balance'!F381</f>
        <v>0</v>
      </c>
    </row>
    <row r="166" spans="1:11">
      <c r="A166" s="214"/>
      <c r="B166" s="214"/>
      <c r="C166" s="215"/>
      <c r="D166" s="215"/>
      <c r="E166" s="208"/>
      <c r="F166" s="183">
        <f t="shared" si="8"/>
        <v>163</v>
      </c>
      <c r="G166" s="250"/>
      <c r="H166" s="116" t="s">
        <v>9</v>
      </c>
      <c r="I166" s="122">
        <f>'Mass Balance'!D382</f>
        <v>0</v>
      </c>
      <c r="J166" s="122">
        <f>'Mass Balance'!E382</f>
        <v>0</v>
      </c>
      <c r="K166" s="125">
        <f>'Mass Balance'!F382</f>
        <v>0</v>
      </c>
    </row>
    <row r="167" spans="1:11">
      <c r="A167" s="214"/>
      <c r="B167" s="214"/>
      <c r="C167" s="215"/>
      <c r="D167" s="215"/>
      <c r="E167" s="208"/>
      <c r="F167" s="183">
        <f t="shared" si="8"/>
        <v>164</v>
      </c>
      <c r="G167" s="250"/>
      <c r="H167" s="116" t="s">
        <v>27</v>
      </c>
      <c r="I167" s="122">
        <f>'Mass Balance'!D383</f>
        <v>0</v>
      </c>
      <c r="J167" s="122">
        <f>'Mass Balance'!E383</f>
        <v>0</v>
      </c>
      <c r="K167" s="125">
        <f>'Mass Balance'!F383</f>
        <v>0</v>
      </c>
    </row>
    <row r="168" spans="1:11">
      <c r="A168" s="214"/>
      <c r="B168" s="214"/>
      <c r="C168" s="215"/>
      <c r="D168" s="215"/>
      <c r="E168" s="208"/>
      <c r="F168" s="183">
        <f t="shared" si="8"/>
        <v>165</v>
      </c>
      <c r="G168" s="250"/>
      <c r="H168" s="116" t="s">
        <v>28</v>
      </c>
      <c r="I168" s="122">
        <f>'Mass Balance'!D384</f>
        <v>0</v>
      </c>
      <c r="J168" s="122">
        <f>'Mass Balance'!E384</f>
        <v>0</v>
      </c>
      <c r="K168" s="125">
        <f>'Mass Balance'!F384</f>
        <v>0</v>
      </c>
    </row>
    <row r="169" spans="1:11">
      <c r="A169" s="214"/>
      <c r="B169" s="214"/>
      <c r="C169" s="215"/>
      <c r="D169" s="215"/>
      <c r="E169" s="208"/>
      <c r="F169" s="183">
        <f t="shared" si="8"/>
        <v>166</v>
      </c>
      <c r="G169" s="250"/>
      <c r="H169" s="116" t="s">
        <v>39</v>
      </c>
      <c r="I169" s="122">
        <f>'Mass Balance'!D385</f>
        <v>0</v>
      </c>
      <c r="J169" s="122">
        <f>'Mass Balance'!E385</f>
        <v>0</v>
      </c>
      <c r="K169" s="125">
        <f>'Mass Balance'!F385</f>
        <v>0</v>
      </c>
    </row>
    <row r="170" spans="1:11">
      <c r="A170" s="214"/>
      <c r="B170" s="214"/>
      <c r="C170" s="215"/>
      <c r="D170" s="215"/>
      <c r="E170" s="208"/>
      <c r="F170" s="183">
        <f t="shared" si="8"/>
        <v>167</v>
      </c>
      <c r="G170" s="250"/>
      <c r="H170" s="116" t="s">
        <v>291</v>
      </c>
      <c r="I170" s="122">
        <f>'Mass Balance'!D386</f>
        <v>0</v>
      </c>
      <c r="J170" s="122">
        <f>'Mass Balance'!E386</f>
        <v>0</v>
      </c>
      <c r="K170" s="125">
        <f>'Mass Balance'!F386</f>
        <v>0</v>
      </c>
    </row>
    <row r="171" spans="1:11">
      <c r="A171" s="214"/>
      <c r="B171" s="214"/>
      <c r="C171" s="215"/>
      <c r="D171" s="215"/>
      <c r="E171" s="208"/>
      <c r="F171" s="183">
        <f t="shared" si="8"/>
        <v>168</v>
      </c>
      <c r="G171" s="250"/>
      <c r="H171" s="116" t="s">
        <v>40</v>
      </c>
      <c r="I171" s="122">
        <f>'Mass Balance'!D387</f>
        <v>301.99282635374402</v>
      </c>
      <c r="J171" s="122">
        <f>'Mass Balance'!E387</f>
        <v>13290.553291415099</v>
      </c>
      <c r="K171" s="125">
        <f>'Mass Balance'!F387</f>
        <v>5.0779840887031073E-2</v>
      </c>
    </row>
    <row r="172" spans="1:11">
      <c r="A172" s="214"/>
      <c r="B172" s="214"/>
      <c r="C172" s="215"/>
      <c r="D172" s="215"/>
      <c r="E172" s="208"/>
      <c r="F172" s="183">
        <f t="shared" si="8"/>
        <v>169</v>
      </c>
      <c r="G172" s="250"/>
      <c r="H172" s="116" t="s">
        <v>54</v>
      </c>
      <c r="I172" s="122">
        <f>'Mass Balance'!D388</f>
        <v>0</v>
      </c>
      <c r="J172" s="122">
        <f>'Mass Balance'!E388</f>
        <v>0</v>
      </c>
      <c r="K172" s="125">
        <f>'Mass Balance'!F388</f>
        <v>0</v>
      </c>
    </row>
    <row r="173" spans="1:11" ht="17.25" customHeight="1">
      <c r="A173" s="214"/>
      <c r="B173" s="214"/>
      <c r="C173" s="215"/>
      <c r="D173" s="215"/>
      <c r="E173" s="208"/>
      <c r="F173" s="183">
        <f t="shared" si="8"/>
        <v>170</v>
      </c>
      <c r="G173" s="250" t="s">
        <v>308</v>
      </c>
      <c r="H173" s="116" t="s">
        <v>3</v>
      </c>
      <c r="I173" s="122">
        <f>'Mass Balance'!D389</f>
        <v>0</v>
      </c>
      <c r="J173" s="122">
        <f>'Mass Balance'!E389</f>
        <v>0</v>
      </c>
      <c r="K173" s="125">
        <f>'Mass Balance'!F389</f>
        <v>0</v>
      </c>
    </row>
    <row r="174" spans="1:11">
      <c r="A174" s="214"/>
      <c r="B174" s="214"/>
      <c r="C174" s="215"/>
      <c r="D174" s="215"/>
      <c r="E174" s="208"/>
      <c r="F174" s="183">
        <f t="shared" si="8"/>
        <v>171</v>
      </c>
      <c r="G174" s="250"/>
      <c r="H174" s="116" t="s">
        <v>293</v>
      </c>
      <c r="I174" s="122">
        <f>'Mass Balance'!D390</f>
        <v>0</v>
      </c>
      <c r="J174" s="122">
        <f>'Mass Balance'!E390</f>
        <v>0</v>
      </c>
      <c r="K174" s="125">
        <f>'Mass Balance'!F390</f>
        <v>0</v>
      </c>
    </row>
    <row r="175" spans="1:11">
      <c r="A175" s="214"/>
      <c r="B175" s="214"/>
      <c r="C175" s="215"/>
      <c r="D175" s="215"/>
      <c r="E175" s="208"/>
      <c r="F175" s="183">
        <f t="shared" si="8"/>
        <v>172</v>
      </c>
      <c r="G175" s="250"/>
      <c r="H175" s="116" t="s">
        <v>5</v>
      </c>
      <c r="I175" s="122">
        <f>'Mass Balance'!D391</f>
        <v>0</v>
      </c>
      <c r="J175" s="122">
        <f>'Mass Balance'!E391</f>
        <v>0</v>
      </c>
      <c r="K175" s="125">
        <f>'Mass Balance'!F391</f>
        <v>0</v>
      </c>
    </row>
    <row r="176" spans="1:11">
      <c r="A176" s="214"/>
      <c r="B176" s="214"/>
      <c r="C176" s="215"/>
      <c r="D176" s="215"/>
      <c r="E176" s="208"/>
      <c r="F176" s="183">
        <f t="shared" si="8"/>
        <v>173</v>
      </c>
      <c r="G176" s="250"/>
      <c r="H176" s="116" t="s">
        <v>6</v>
      </c>
      <c r="I176" s="122">
        <f>'Mass Balance'!D392</f>
        <v>0</v>
      </c>
      <c r="J176" s="122">
        <f>'Mass Balance'!E392</f>
        <v>0</v>
      </c>
      <c r="K176" s="125">
        <f>'Mass Balance'!F392</f>
        <v>0</v>
      </c>
    </row>
    <row r="177" spans="1:11">
      <c r="A177" s="214"/>
      <c r="B177" s="214"/>
      <c r="C177" s="215"/>
      <c r="D177" s="215"/>
      <c r="E177" s="208"/>
      <c r="F177" s="183">
        <f t="shared" si="8"/>
        <v>174</v>
      </c>
      <c r="G177" s="250"/>
      <c r="H177" s="116" t="s">
        <v>7</v>
      </c>
      <c r="I177" s="122">
        <f>'Mass Balance'!D393</f>
        <v>11602.413626324422</v>
      </c>
      <c r="J177" s="122">
        <f>'Mass Balance'!E393</f>
        <v>209018.40967132457</v>
      </c>
      <c r="K177" s="125">
        <f>'Mass Balance'!F393</f>
        <v>0.78706470019566011</v>
      </c>
    </row>
    <row r="178" spans="1:11">
      <c r="A178" s="214"/>
      <c r="B178" s="214"/>
      <c r="C178" s="215"/>
      <c r="D178" s="215"/>
      <c r="E178" s="208"/>
      <c r="F178" s="183">
        <f t="shared" si="8"/>
        <v>175</v>
      </c>
      <c r="G178" s="250"/>
      <c r="H178" s="116" t="s">
        <v>292</v>
      </c>
      <c r="I178" s="122">
        <f>'Mass Balance'!D394</f>
        <v>0</v>
      </c>
      <c r="J178" s="122">
        <f>'Mass Balance'!E394</f>
        <v>0</v>
      </c>
      <c r="K178" s="125">
        <f>'Mass Balance'!F394</f>
        <v>0</v>
      </c>
    </row>
    <row r="179" spans="1:11">
      <c r="A179" s="214"/>
      <c r="B179" s="214"/>
      <c r="C179" s="215"/>
      <c r="D179" s="215"/>
      <c r="E179" s="208"/>
      <c r="F179" s="183">
        <f t="shared" si="8"/>
        <v>176</v>
      </c>
      <c r="G179" s="250"/>
      <c r="H179" s="116" t="s">
        <v>9</v>
      </c>
      <c r="I179" s="122">
        <f>'Mass Balance'!D395</f>
        <v>0</v>
      </c>
      <c r="J179" s="122">
        <f>'Mass Balance'!E395</f>
        <v>0</v>
      </c>
      <c r="K179" s="125">
        <f>'Mass Balance'!F395</f>
        <v>0</v>
      </c>
    </row>
    <row r="180" spans="1:11">
      <c r="A180" s="214"/>
      <c r="B180" s="214"/>
      <c r="C180" s="215"/>
      <c r="D180" s="215"/>
      <c r="E180" s="208"/>
      <c r="F180" s="183">
        <f t="shared" si="8"/>
        <v>177</v>
      </c>
      <c r="G180" s="250"/>
      <c r="H180" s="116" t="s">
        <v>27</v>
      </c>
      <c r="I180" s="122">
        <f>'Mass Balance'!D396</f>
        <v>1248.2462140692328</v>
      </c>
      <c r="J180" s="122">
        <f>'Mass Balance'!E396</f>
        <v>43745.163045920483</v>
      </c>
      <c r="K180" s="125">
        <f>'Mass Balance'!F396</f>
        <v>0.16472364176862836</v>
      </c>
    </row>
    <row r="181" spans="1:11">
      <c r="A181" s="214"/>
      <c r="B181" s="214"/>
      <c r="C181" s="215"/>
      <c r="D181" s="215"/>
      <c r="E181" s="208"/>
      <c r="F181" s="183">
        <f t="shared" si="8"/>
        <v>178</v>
      </c>
      <c r="G181" s="250"/>
      <c r="H181" s="116" t="s">
        <v>28</v>
      </c>
      <c r="I181" s="122">
        <f>'Mass Balance'!D397</f>
        <v>0</v>
      </c>
      <c r="J181" s="122">
        <f>'Mass Balance'!E397</f>
        <v>0</v>
      </c>
      <c r="K181" s="125">
        <f>'Mass Balance'!F397</f>
        <v>0</v>
      </c>
    </row>
    <row r="182" spans="1:11">
      <c r="A182" s="214"/>
      <c r="B182" s="214"/>
      <c r="C182" s="215"/>
      <c r="D182" s="215"/>
      <c r="E182" s="208"/>
      <c r="F182" s="183">
        <f t="shared" si="8"/>
        <v>179</v>
      </c>
      <c r="G182" s="250"/>
      <c r="H182" s="116" t="s">
        <v>39</v>
      </c>
      <c r="I182" s="122">
        <f>'Mass Balance'!D398</f>
        <v>0</v>
      </c>
      <c r="J182" s="122">
        <f>'Mass Balance'!E398</f>
        <v>0</v>
      </c>
      <c r="K182" s="125">
        <f>'Mass Balance'!F398</f>
        <v>0</v>
      </c>
    </row>
    <row r="183" spans="1:11">
      <c r="A183" s="214"/>
      <c r="B183" s="214"/>
      <c r="C183" s="215"/>
      <c r="D183" s="215"/>
      <c r="E183" s="208"/>
      <c r="F183" s="183">
        <f t="shared" si="8"/>
        <v>180</v>
      </c>
      <c r="G183" s="250"/>
      <c r="H183" s="116" t="s">
        <v>291</v>
      </c>
      <c r="I183" s="122">
        <f>'Mass Balance'!D399</f>
        <v>0</v>
      </c>
      <c r="J183" s="122">
        <f>'Mass Balance'!E399</f>
        <v>0</v>
      </c>
      <c r="K183" s="125">
        <f>'Mass Balance'!F399</f>
        <v>0</v>
      </c>
    </row>
    <row r="184" spans="1:11">
      <c r="A184" s="214"/>
      <c r="B184" s="214"/>
      <c r="C184" s="215"/>
      <c r="D184" s="215"/>
      <c r="E184" s="208"/>
      <c r="F184" s="183">
        <f t="shared" si="8"/>
        <v>181</v>
      </c>
      <c r="G184" s="250"/>
      <c r="H184" s="116" t="s">
        <v>40</v>
      </c>
      <c r="I184" s="122">
        <f>'Mass Balance'!D400</f>
        <v>290.92412532914148</v>
      </c>
      <c r="J184" s="122">
        <f>'Mass Balance'!E400</f>
        <v>12803.425293672854</v>
      </c>
      <c r="K184" s="125">
        <f>'Mass Balance'!F400</f>
        <v>4.8211658035711508E-2</v>
      </c>
    </row>
    <row r="185" spans="1:11">
      <c r="A185" s="214"/>
      <c r="B185" s="214"/>
      <c r="C185" s="215"/>
      <c r="D185" s="215"/>
      <c r="E185" s="208"/>
      <c r="F185" s="183">
        <f t="shared" si="8"/>
        <v>182</v>
      </c>
      <c r="G185" s="250"/>
      <c r="H185" s="116" t="s">
        <v>54</v>
      </c>
      <c r="I185" s="122">
        <f>'Mass Balance'!D401</f>
        <v>0</v>
      </c>
      <c r="J185" s="122">
        <f>'Mass Balance'!E401</f>
        <v>0</v>
      </c>
      <c r="K185" s="125">
        <f>'Mass Balance'!F401</f>
        <v>0</v>
      </c>
    </row>
    <row r="186" spans="1:11" ht="17.25" customHeight="1">
      <c r="A186" s="214"/>
      <c r="B186" s="214"/>
      <c r="C186" s="215"/>
      <c r="D186" s="215"/>
      <c r="E186" s="208"/>
      <c r="F186" s="183">
        <f t="shared" si="8"/>
        <v>183</v>
      </c>
      <c r="G186" s="250" t="s">
        <v>309</v>
      </c>
      <c r="H186" s="116" t="s">
        <v>3</v>
      </c>
      <c r="I186" s="122">
        <f>'Mass Balance'!D402</f>
        <v>0</v>
      </c>
      <c r="J186" s="122">
        <f>'Mass Balance'!E402</f>
        <v>0</v>
      </c>
      <c r="K186" s="125">
        <f>'Mass Balance'!F402</f>
        <v>0</v>
      </c>
    </row>
    <row r="187" spans="1:11">
      <c r="A187" s="214"/>
      <c r="B187" s="214"/>
      <c r="C187" s="215"/>
      <c r="D187" s="215"/>
      <c r="E187" s="208"/>
      <c r="F187" s="183">
        <f t="shared" si="8"/>
        <v>184</v>
      </c>
      <c r="G187" s="250"/>
      <c r="H187" s="116" t="s">
        <v>293</v>
      </c>
      <c r="I187" s="122">
        <f>'Mass Balance'!D403</f>
        <v>0</v>
      </c>
      <c r="J187" s="122">
        <f>'Mass Balance'!E403</f>
        <v>0</v>
      </c>
      <c r="K187" s="125">
        <f>'Mass Balance'!F403</f>
        <v>0</v>
      </c>
    </row>
    <row r="188" spans="1:11">
      <c r="A188" s="214"/>
      <c r="B188" s="214"/>
      <c r="C188" s="215"/>
      <c r="D188" s="215"/>
      <c r="E188" s="208"/>
      <c r="F188" s="183">
        <f t="shared" si="8"/>
        <v>185</v>
      </c>
      <c r="G188" s="250"/>
      <c r="H188" s="116" t="s">
        <v>5</v>
      </c>
      <c r="I188" s="122">
        <f>'Mass Balance'!D404</f>
        <v>0</v>
      </c>
      <c r="J188" s="122">
        <f>'Mass Balance'!E404</f>
        <v>0</v>
      </c>
      <c r="K188" s="125">
        <f>'Mass Balance'!F404</f>
        <v>0</v>
      </c>
    </row>
    <row r="189" spans="1:11">
      <c r="A189" s="214"/>
      <c r="B189" s="214"/>
      <c r="C189" s="215"/>
      <c r="D189" s="215"/>
      <c r="E189" s="208"/>
      <c r="F189" s="183">
        <f t="shared" si="8"/>
        <v>186</v>
      </c>
      <c r="G189" s="250"/>
      <c r="H189" s="116" t="s">
        <v>6</v>
      </c>
      <c r="I189" s="122">
        <f>'Mass Balance'!D405</f>
        <v>0</v>
      </c>
      <c r="J189" s="122">
        <f>'Mass Balance'!E405</f>
        <v>0</v>
      </c>
      <c r="K189" s="125">
        <f>'Mass Balance'!F405</f>
        <v>0</v>
      </c>
    </row>
    <row r="190" spans="1:11">
      <c r="A190" s="214"/>
      <c r="B190" s="214"/>
      <c r="C190" s="215"/>
      <c r="D190" s="215"/>
      <c r="E190" s="208"/>
      <c r="F190" s="183">
        <f t="shared" si="8"/>
        <v>187</v>
      </c>
      <c r="G190" s="250"/>
      <c r="H190" s="116" t="s">
        <v>7</v>
      </c>
      <c r="I190" s="122">
        <f>'Mass Balance'!D406</f>
        <v>0</v>
      </c>
      <c r="J190" s="122">
        <f>'Mass Balance'!E406</f>
        <v>0</v>
      </c>
      <c r="K190" s="125">
        <f>'Mass Balance'!F406</f>
        <v>0</v>
      </c>
    </row>
    <row r="191" spans="1:11">
      <c r="A191" s="214"/>
      <c r="B191" s="214"/>
      <c r="C191" s="215"/>
      <c r="D191" s="215"/>
      <c r="E191" s="208"/>
      <c r="F191" s="183">
        <f t="shared" si="8"/>
        <v>188</v>
      </c>
      <c r="G191" s="250"/>
      <c r="H191" s="116" t="s">
        <v>292</v>
      </c>
      <c r="I191" s="122">
        <f>'Mass Balance'!D407</f>
        <v>0</v>
      </c>
      <c r="J191" s="122">
        <f>'Mass Balance'!E407</f>
        <v>0</v>
      </c>
      <c r="K191" s="125">
        <f>'Mass Balance'!F407</f>
        <v>0</v>
      </c>
    </row>
    <row r="192" spans="1:11">
      <c r="A192" s="214"/>
      <c r="B192" s="214"/>
      <c r="C192" s="215"/>
      <c r="D192" s="215"/>
      <c r="E192" s="208"/>
      <c r="F192" s="183">
        <f t="shared" si="8"/>
        <v>189</v>
      </c>
      <c r="G192" s="250"/>
      <c r="H192" s="116" t="s">
        <v>9</v>
      </c>
      <c r="I192" s="122">
        <f>'Mass Balance'!D408</f>
        <v>0</v>
      </c>
      <c r="J192" s="122">
        <f>'Mass Balance'!E408</f>
        <v>0</v>
      </c>
      <c r="K192" s="125">
        <f>'Mass Balance'!F408</f>
        <v>0</v>
      </c>
    </row>
    <row r="193" spans="1:11">
      <c r="A193" s="214"/>
      <c r="B193" s="214"/>
      <c r="C193" s="215"/>
      <c r="D193" s="215"/>
      <c r="E193" s="208"/>
      <c r="F193" s="183">
        <f t="shared" si="8"/>
        <v>190</v>
      </c>
      <c r="G193" s="250"/>
      <c r="H193" s="116" t="s">
        <v>27</v>
      </c>
      <c r="I193" s="122">
        <f>'Mass Balance'!D409</f>
        <v>0</v>
      </c>
      <c r="J193" s="122">
        <f>'Mass Balance'!E409</f>
        <v>0</v>
      </c>
      <c r="K193" s="125">
        <f>'Mass Balance'!F409</f>
        <v>0</v>
      </c>
    </row>
    <row r="194" spans="1:11">
      <c r="A194" s="214"/>
      <c r="B194" s="214"/>
      <c r="C194" s="215"/>
      <c r="D194" s="215"/>
      <c r="E194" s="208"/>
      <c r="F194" s="183">
        <f t="shared" si="8"/>
        <v>191</v>
      </c>
      <c r="G194" s="250"/>
      <c r="H194" s="116" t="s">
        <v>28</v>
      </c>
      <c r="I194" s="122">
        <f>'Mass Balance'!D410</f>
        <v>0</v>
      </c>
      <c r="J194" s="122">
        <f>'Mass Balance'!E410</f>
        <v>0</v>
      </c>
      <c r="K194" s="125">
        <f>'Mass Balance'!F410</f>
        <v>0</v>
      </c>
    </row>
    <row r="195" spans="1:11">
      <c r="A195" s="214"/>
      <c r="B195" s="214"/>
      <c r="C195" s="215"/>
      <c r="D195" s="215"/>
      <c r="E195" s="208"/>
      <c r="F195" s="183">
        <f t="shared" si="8"/>
        <v>192</v>
      </c>
      <c r="G195" s="250"/>
      <c r="H195" s="116" t="s">
        <v>39</v>
      </c>
      <c r="I195" s="122">
        <f>'Mass Balance'!D411</f>
        <v>0</v>
      </c>
      <c r="J195" s="122">
        <f>'Mass Balance'!E411</f>
        <v>0</v>
      </c>
      <c r="K195" s="125">
        <f>'Mass Balance'!F411</f>
        <v>0</v>
      </c>
    </row>
    <row r="196" spans="1:11">
      <c r="A196" s="214"/>
      <c r="B196" s="214"/>
      <c r="C196" s="215"/>
      <c r="D196" s="215"/>
      <c r="E196" s="208"/>
      <c r="F196" s="183">
        <f t="shared" si="8"/>
        <v>193</v>
      </c>
      <c r="G196" s="250"/>
      <c r="H196" s="116" t="s">
        <v>291</v>
      </c>
      <c r="I196" s="122">
        <f>'Mass Balance'!D412</f>
        <v>0</v>
      </c>
      <c r="J196" s="122">
        <f>'Mass Balance'!E412</f>
        <v>0</v>
      </c>
      <c r="K196" s="125">
        <f>'Mass Balance'!F412</f>
        <v>0</v>
      </c>
    </row>
    <row r="197" spans="1:11">
      <c r="A197" s="214"/>
      <c r="B197" s="214"/>
      <c r="C197" s="215"/>
      <c r="D197" s="215"/>
      <c r="E197" s="208"/>
      <c r="F197" s="183">
        <f t="shared" si="8"/>
        <v>194</v>
      </c>
      <c r="G197" s="250"/>
      <c r="H197" s="116" t="s">
        <v>40</v>
      </c>
      <c r="I197" s="122">
        <f>'Mass Balance'!D413</f>
        <v>957.32208874009132</v>
      </c>
      <c r="J197" s="122">
        <f>'Mass Balance'!E413</f>
        <v>42131.266464407054</v>
      </c>
      <c r="K197" s="125">
        <f>'Mass Balance'!F413</f>
        <v>1</v>
      </c>
    </row>
    <row r="198" spans="1:11">
      <c r="A198" s="214"/>
      <c r="B198" s="214"/>
      <c r="C198" s="215"/>
      <c r="D198" s="215"/>
      <c r="E198" s="208"/>
      <c r="F198" s="183">
        <f t="shared" ref="F198:F211" si="9">F197+1</f>
        <v>195</v>
      </c>
      <c r="G198" s="250"/>
      <c r="H198" s="116" t="s">
        <v>54</v>
      </c>
      <c r="I198" s="122">
        <f>'Mass Balance'!D414</f>
        <v>0</v>
      </c>
      <c r="J198" s="122">
        <f>'Mass Balance'!E414</f>
        <v>0</v>
      </c>
      <c r="K198" s="125">
        <f>'Mass Balance'!F414</f>
        <v>0</v>
      </c>
    </row>
    <row r="199" spans="1:11" ht="17.25" customHeight="1">
      <c r="A199" s="214"/>
      <c r="B199" s="214"/>
      <c r="C199" s="215"/>
      <c r="D199" s="215"/>
      <c r="E199" s="208"/>
      <c r="F199" s="183">
        <f t="shared" si="9"/>
        <v>196</v>
      </c>
      <c r="G199" s="250" t="s">
        <v>310</v>
      </c>
      <c r="H199" s="116" t="s">
        <v>3</v>
      </c>
      <c r="I199" s="122">
        <f>'Mass Balance'!D415</f>
        <v>0</v>
      </c>
      <c r="J199" s="122">
        <f>'Mass Balance'!E415</f>
        <v>0</v>
      </c>
      <c r="K199" s="125">
        <f>'Mass Balance'!F415</f>
        <v>0</v>
      </c>
    </row>
    <row r="200" spans="1:11">
      <c r="A200" s="214"/>
      <c r="B200" s="214"/>
      <c r="C200" s="215"/>
      <c r="D200" s="215"/>
      <c r="E200" s="208"/>
      <c r="F200" s="183">
        <f t="shared" si="9"/>
        <v>197</v>
      </c>
      <c r="G200" s="250"/>
      <c r="H200" s="116" t="s">
        <v>293</v>
      </c>
      <c r="I200" s="122">
        <f>'Mass Balance'!D416</f>
        <v>0</v>
      </c>
      <c r="J200" s="122">
        <f>'Mass Balance'!E416</f>
        <v>0</v>
      </c>
      <c r="K200" s="125">
        <f>'Mass Balance'!F416</f>
        <v>0</v>
      </c>
    </row>
    <row r="201" spans="1:11">
      <c r="A201" s="214"/>
      <c r="B201" s="214"/>
      <c r="C201" s="215"/>
      <c r="D201" s="215"/>
      <c r="E201" s="208"/>
      <c r="F201" s="183">
        <f t="shared" si="9"/>
        <v>198</v>
      </c>
      <c r="G201" s="250"/>
      <c r="H201" s="116" t="s">
        <v>5</v>
      </c>
      <c r="I201" s="122">
        <f>'Mass Balance'!D417</f>
        <v>0</v>
      </c>
      <c r="J201" s="122">
        <f>'Mass Balance'!E417</f>
        <v>0</v>
      </c>
      <c r="K201" s="125">
        <f>'Mass Balance'!F417</f>
        <v>0</v>
      </c>
    </row>
    <row r="202" spans="1:11">
      <c r="A202" s="214"/>
      <c r="B202" s="214"/>
      <c r="C202" s="215"/>
      <c r="D202" s="215"/>
      <c r="E202" s="208"/>
      <c r="F202" s="183">
        <f t="shared" si="9"/>
        <v>199</v>
      </c>
      <c r="G202" s="250"/>
      <c r="H202" s="116" t="s">
        <v>6</v>
      </c>
      <c r="I202" s="122">
        <f>'Mass Balance'!D418</f>
        <v>0</v>
      </c>
      <c r="J202" s="122">
        <f>'Mass Balance'!E418</f>
        <v>0</v>
      </c>
      <c r="K202" s="125">
        <f>'Mass Balance'!F418</f>
        <v>0</v>
      </c>
    </row>
    <row r="203" spans="1:11">
      <c r="A203" s="214"/>
      <c r="B203" s="214"/>
      <c r="C203" s="215"/>
      <c r="D203" s="215"/>
      <c r="E203" s="208"/>
      <c r="F203" s="183">
        <f t="shared" si="9"/>
        <v>200</v>
      </c>
      <c r="G203" s="250"/>
      <c r="H203" s="116" t="s">
        <v>7</v>
      </c>
      <c r="I203" s="122">
        <f>'Mass Balance'!D419</f>
        <v>11602.413626324422</v>
      </c>
      <c r="J203" s="122">
        <f>'Mass Balance'!E419</f>
        <v>209018.40967132457</v>
      </c>
      <c r="K203" s="125">
        <f>'Mass Balance'!F419</f>
        <v>0.67929668055728099</v>
      </c>
    </row>
    <row r="204" spans="1:11">
      <c r="A204" s="214"/>
      <c r="B204" s="214"/>
      <c r="C204" s="215"/>
      <c r="D204" s="215"/>
      <c r="E204" s="208"/>
      <c r="F204" s="183">
        <f t="shared" si="9"/>
        <v>201</v>
      </c>
      <c r="G204" s="250"/>
      <c r="H204" s="116" t="s">
        <v>292</v>
      </c>
      <c r="I204" s="122">
        <f>'Mass Balance'!D420</f>
        <v>0</v>
      </c>
      <c r="J204" s="122">
        <f>'Mass Balance'!E420</f>
        <v>0</v>
      </c>
      <c r="K204" s="125">
        <f>'Mass Balance'!F420</f>
        <v>0</v>
      </c>
    </row>
    <row r="205" spans="1:11">
      <c r="A205" s="214"/>
      <c r="B205" s="214"/>
      <c r="C205" s="215"/>
      <c r="D205" s="215"/>
      <c r="E205" s="208"/>
      <c r="F205" s="183">
        <f t="shared" si="9"/>
        <v>202</v>
      </c>
      <c r="G205" s="250"/>
      <c r="H205" s="116" t="s">
        <v>9</v>
      </c>
      <c r="I205" s="122">
        <f>'Mass Balance'!D421</f>
        <v>0</v>
      </c>
      <c r="J205" s="122">
        <f>'Mass Balance'!E421</f>
        <v>0</v>
      </c>
      <c r="K205" s="125">
        <f>'Mass Balance'!F421</f>
        <v>0</v>
      </c>
    </row>
    <row r="206" spans="1:11">
      <c r="A206" s="214"/>
      <c r="B206" s="214"/>
      <c r="C206" s="215"/>
      <c r="D206" s="215"/>
      <c r="E206" s="208"/>
      <c r="F206" s="183">
        <f t="shared" si="9"/>
        <v>203</v>
      </c>
      <c r="G206" s="250"/>
      <c r="H206" s="116" t="s">
        <v>27</v>
      </c>
      <c r="I206" s="122">
        <f>'Mass Balance'!D422</f>
        <v>0</v>
      </c>
      <c r="J206" s="122">
        <f>'Mass Balance'!E422</f>
        <v>0</v>
      </c>
      <c r="K206" s="125">
        <f>'Mass Balance'!F422</f>
        <v>0</v>
      </c>
    </row>
    <row r="207" spans="1:11">
      <c r="A207" s="214"/>
      <c r="B207" s="214"/>
      <c r="C207" s="215"/>
      <c r="D207" s="215"/>
      <c r="E207" s="208"/>
      <c r="F207" s="183">
        <f t="shared" si="9"/>
        <v>204</v>
      </c>
      <c r="G207" s="250"/>
      <c r="H207" s="116" t="s">
        <v>28</v>
      </c>
      <c r="I207" s="122">
        <f>'Mass Balance'!D423</f>
        <v>0</v>
      </c>
      <c r="J207" s="122">
        <f>'Mass Balance'!E423</f>
        <v>0</v>
      </c>
      <c r="K207" s="125">
        <f>'Mass Balance'!F423</f>
        <v>0</v>
      </c>
    </row>
    <row r="208" spans="1:11">
      <c r="A208" s="214"/>
      <c r="B208" s="214"/>
      <c r="C208" s="215"/>
      <c r="D208" s="215"/>
      <c r="E208" s="208"/>
      <c r="F208" s="183">
        <f t="shared" si="9"/>
        <v>205</v>
      </c>
      <c r="G208" s="250"/>
      <c r="H208" s="116" t="s">
        <v>39</v>
      </c>
      <c r="I208" s="122">
        <f>'Mass Balance'!D424</f>
        <v>0</v>
      </c>
      <c r="J208" s="122">
        <f>'Mass Balance'!E424</f>
        <v>0</v>
      </c>
      <c r="K208" s="125">
        <f>'Mass Balance'!F424</f>
        <v>0</v>
      </c>
    </row>
    <row r="209" spans="1:29">
      <c r="A209" s="214"/>
      <c r="B209" s="214"/>
      <c r="C209" s="215"/>
      <c r="D209" s="215"/>
      <c r="E209" s="208"/>
      <c r="F209" s="183">
        <f t="shared" si="9"/>
        <v>206</v>
      </c>
      <c r="G209" s="250"/>
      <c r="H209" s="116" t="s">
        <v>291</v>
      </c>
      <c r="I209" s="122">
        <f>'Mass Balance'!D425</f>
        <v>1248.2462140692328</v>
      </c>
      <c r="J209" s="122">
        <f>'Mass Balance'!E425</f>
        <v>98679.854804000381</v>
      </c>
      <c r="K209" s="125">
        <f>'Mass Balance'!F425</f>
        <v>0.32070331944271901</v>
      </c>
    </row>
    <row r="210" spans="1:29">
      <c r="A210" s="214"/>
      <c r="B210" s="214"/>
      <c r="C210" s="215"/>
      <c r="D210" s="215"/>
      <c r="E210" s="208"/>
      <c r="F210" s="183">
        <f t="shared" si="9"/>
        <v>207</v>
      </c>
      <c r="G210" s="250"/>
      <c r="H210" s="116" t="s">
        <v>40</v>
      </c>
      <c r="I210" s="122">
        <f>'Mass Balance'!D426</f>
        <v>0</v>
      </c>
      <c r="J210" s="122">
        <f>'Mass Balance'!E426</f>
        <v>0</v>
      </c>
      <c r="K210" s="125">
        <f>'Mass Balance'!F426</f>
        <v>0</v>
      </c>
    </row>
    <row r="211" spans="1:29" ht="18" thickBot="1">
      <c r="A211" s="214"/>
      <c r="B211" s="214"/>
      <c r="C211" s="215"/>
      <c r="D211" s="215"/>
      <c r="E211" s="208"/>
      <c r="F211" s="187">
        <f t="shared" si="9"/>
        <v>208</v>
      </c>
      <c r="G211" s="251"/>
      <c r="H211" s="191" t="s">
        <v>54</v>
      </c>
      <c r="I211" s="189">
        <f>'Mass Balance'!D427</f>
        <v>0</v>
      </c>
      <c r="J211" s="189">
        <f>'Mass Balance'!E427</f>
        <v>0</v>
      </c>
      <c r="K211" s="190">
        <f>'Mass Balance'!F427</f>
        <v>0</v>
      </c>
      <c r="O211" s="208"/>
      <c r="P211" s="208"/>
      <c r="Q211" s="215"/>
      <c r="R211" s="214"/>
      <c r="S211" s="215"/>
      <c r="T211" s="215"/>
      <c r="U211" s="215"/>
      <c r="V211" s="215"/>
      <c r="W211" s="215"/>
      <c r="X211" s="208"/>
      <c r="Y211" s="208"/>
      <c r="Z211" s="214"/>
      <c r="AA211" s="215"/>
      <c r="AB211" s="215"/>
      <c r="AC211" s="208"/>
    </row>
    <row r="212" spans="1:29">
      <c r="A212" s="214"/>
      <c r="B212" s="214"/>
      <c r="C212" s="215"/>
      <c r="D212" s="215"/>
      <c r="E212" s="208"/>
      <c r="F212" s="214"/>
      <c r="G212" s="220"/>
      <c r="H212" s="214"/>
      <c r="I212" s="215"/>
      <c r="J212" s="208"/>
      <c r="K212" s="215"/>
      <c r="L212" s="216"/>
      <c r="M212" s="215"/>
      <c r="N212" s="215"/>
      <c r="O212" s="208"/>
      <c r="P212" s="208"/>
      <c r="Q212" s="215"/>
      <c r="R212" s="214"/>
      <c r="S212" s="215"/>
      <c r="T212" s="215"/>
      <c r="U212" s="215"/>
      <c r="V212" s="215"/>
      <c r="W212" s="215"/>
      <c r="X212" s="208"/>
      <c r="Y212" s="208"/>
      <c r="Z212" s="214"/>
      <c r="AA212" s="215"/>
      <c r="AB212" s="215"/>
      <c r="AC212" s="208"/>
    </row>
    <row r="213" spans="1:29">
      <c r="A213" s="214"/>
      <c r="B213" s="214"/>
      <c r="C213" s="215"/>
      <c r="D213" s="215"/>
      <c r="E213" s="208"/>
      <c r="F213" s="214"/>
      <c r="G213" s="220"/>
      <c r="H213" s="214"/>
      <c r="I213" s="215"/>
      <c r="J213" s="208"/>
      <c r="K213" s="215"/>
      <c r="L213" s="216"/>
      <c r="M213" s="215"/>
      <c r="N213" s="215"/>
      <c r="O213" s="208"/>
      <c r="P213" s="208"/>
      <c r="Q213" s="215"/>
      <c r="R213" s="214"/>
      <c r="S213" s="215"/>
      <c r="T213" s="215"/>
      <c r="U213" s="215"/>
      <c r="V213" s="215"/>
      <c r="W213" s="215"/>
      <c r="X213" s="208"/>
      <c r="Y213" s="208"/>
      <c r="Z213" s="214"/>
      <c r="AA213" s="215"/>
      <c r="AB213" s="215"/>
      <c r="AC213" s="208"/>
    </row>
  </sheetData>
  <mergeCells count="29">
    <mergeCell ref="AJ3:AK3"/>
    <mergeCell ref="AD2:AK2"/>
    <mergeCell ref="G17:G29"/>
    <mergeCell ref="A1:XFD1"/>
    <mergeCell ref="A2:D2"/>
    <mergeCell ref="B4:B5"/>
    <mergeCell ref="M2:O2"/>
    <mergeCell ref="F2:K2"/>
    <mergeCell ref="Y2:AB2"/>
    <mergeCell ref="AF3:AG3"/>
    <mergeCell ref="AH3:AI3"/>
    <mergeCell ref="G4:G16"/>
    <mergeCell ref="AE9:AM9"/>
    <mergeCell ref="G199:G211"/>
    <mergeCell ref="M18:O18"/>
    <mergeCell ref="Q2:X2"/>
    <mergeCell ref="G134:G146"/>
    <mergeCell ref="G147:G159"/>
    <mergeCell ref="G160:G172"/>
    <mergeCell ref="G173:G185"/>
    <mergeCell ref="G186:G198"/>
    <mergeCell ref="G69:G81"/>
    <mergeCell ref="G82:G94"/>
    <mergeCell ref="G95:G107"/>
    <mergeCell ref="G108:G120"/>
    <mergeCell ref="G121:G133"/>
    <mergeCell ref="G30:G42"/>
    <mergeCell ref="G43:G55"/>
    <mergeCell ref="G56:G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opLeftCell="A6" zoomScale="110" workbookViewId="0">
      <selection activeCell="J21" sqref="J21"/>
    </sheetView>
  </sheetViews>
  <sheetFormatPr baseColWidth="10" defaultColWidth="10.85546875" defaultRowHeight="15"/>
  <cols>
    <col min="1" max="1" width="16.42578125" style="9" bestFit="1" customWidth="1"/>
    <col min="2" max="2" width="10.85546875" style="7"/>
    <col min="3" max="3" width="10.85546875" style="7" customWidth="1"/>
    <col min="4" max="4" width="8.7109375" style="7" bestFit="1" customWidth="1"/>
    <col min="5" max="5" width="19" style="7" bestFit="1" customWidth="1"/>
    <col min="6" max="6" width="19.7109375" style="7" customWidth="1"/>
    <col min="7" max="7" width="17.140625" style="7" customWidth="1"/>
    <col min="8" max="8" width="22.28515625" style="7" customWidth="1"/>
    <col min="9" max="9" width="13.42578125" style="7" customWidth="1"/>
    <col min="10" max="10" width="22.7109375" style="7" customWidth="1"/>
    <col min="11" max="11" width="15.42578125" style="7" customWidth="1"/>
    <col min="12" max="12" width="17.7109375" style="12" customWidth="1"/>
    <col min="13" max="13" width="10" style="7" customWidth="1"/>
    <col min="14" max="14" width="15.7109375" style="7" customWidth="1"/>
    <col min="15" max="15" width="10.85546875" style="7"/>
    <col min="16" max="16" width="18" style="7" customWidth="1"/>
    <col min="17" max="17" width="21.42578125" style="7" customWidth="1"/>
    <col min="18" max="18" width="10.85546875" style="7"/>
    <col min="19" max="19" width="21" style="7" customWidth="1"/>
    <col min="20" max="20" width="46" style="7" bestFit="1" customWidth="1"/>
    <col min="21" max="16384" width="10.85546875" style="7"/>
  </cols>
  <sheetData>
    <row r="1" spans="1:14" ht="36.950000000000003" customHeight="1" thickTop="1" thickBot="1">
      <c r="A1" s="19" t="s">
        <v>106</v>
      </c>
      <c r="B1" s="20" t="s">
        <v>92</v>
      </c>
      <c r="C1" s="20" t="s">
        <v>93</v>
      </c>
      <c r="D1" s="20" t="s">
        <v>94</v>
      </c>
      <c r="E1" s="20" t="s">
        <v>95</v>
      </c>
      <c r="F1" s="20" t="s">
        <v>315</v>
      </c>
      <c r="G1" s="21" t="s">
        <v>112</v>
      </c>
      <c r="H1" s="21" t="s">
        <v>97</v>
      </c>
      <c r="I1" s="21" t="s">
        <v>96</v>
      </c>
      <c r="J1" s="20" t="s">
        <v>63</v>
      </c>
      <c r="K1" s="21" t="s">
        <v>113</v>
      </c>
      <c r="M1"/>
      <c r="N1"/>
    </row>
    <row r="2" spans="1:14" ht="30" customHeight="1" thickTop="1">
      <c r="A2" s="22" t="s">
        <v>100</v>
      </c>
      <c r="B2" s="24">
        <v>-203.60599999999999</v>
      </c>
      <c r="C2" s="24">
        <v>1523.29</v>
      </c>
      <c r="D2" s="24">
        <v>-3196.413</v>
      </c>
      <c r="E2" s="24">
        <v>2474.4549999999999</v>
      </c>
      <c r="F2" s="24">
        <v>3.8553259999999998</v>
      </c>
      <c r="G2" s="24" t="s">
        <v>316</v>
      </c>
      <c r="H2" s="25" t="s">
        <v>317</v>
      </c>
      <c r="I2" s="26">
        <v>-285.83999999999997</v>
      </c>
      <c r="J2" s="26" t="s">
        <v>114</v>
      </c>
      <c r="K2" s="25" t="s">
        <v>109</v>
      </c>
      <c r="L2"/>
      <c r="M2"/>
      <c r="N2"/>
    </row>
    <row r="3" spans="1:14" ht="30" customHeight="1">
      <c r="A3" s="22" t="s">
        <v>124</v>
      </c>
      <c r="B3" s="23">
        <v>85.697940000000003</v>
      </c>
      <c r="C3" s="23">
        <v>803.97649999999999</v>
      </c>
      <c r="D3" s="23">
        <v>-695.75739999999996</v>
      </c>
      <c r="E3" s="23">
        <v>215.60990000000001</v>
      </c>
      <c r="F3" s="23">
        <v>-0.39614500000000002</v>
      </c>
      <c r="G3" s="24" t="s">
        <v>120</v>
      </c>
      <c r="H3" s="25" t="s">
        <v>317</v>
      </c>
      <c r="I3" s="23">
        <v>-2585.1999999999998</v>
      </c>
      <c r="J3" s="26" t="s">
        <v>114</v>
      </c>
      <c r="K3" s="25" t="s">
        <v>109</v>
      </c>
      <c r="L3"/>
      <c r="M3"/>
      <c r="N3"/>
    </row>
    <row r="4" spans="1:14" ht="30" customHeight="1">
      <c r="A4" s="22" t="s">
        <v>104</v>
      </c>
      <c r="B4" s="23">
        <v>24.997350000000001</v>
      </c>
      <c r="C4" s="23">
        <v>55.186959999999999</v>
      </c>
      <c r="D4" s="23">
        <v>-33.691369999999999</v>
      </c>
      <c r="E4" s="23">
        <v>7.9483870000000003</v>
      </c>
      <c r="F4" s="23">
        <v>-0.13663800000000001</v>
      </c>
      <c r="G4" s="24" t="s">
        <v>318</v>
      </c>
      <c r="H4" s="25" t="s">
        <v>317</v>
      </c>
      <c r="I4" s="26">
        <v>-393.5</v>
      </c>
      <c r="J4" s="26" t="s">
        <v>114</v>
      </c>
      <c r="K4" s="25" t="s">
        <v>109</v>
      </c>
      <c r="L4" s="121"/>
      <c r="M4"/>
      <c r="N4"/>
    </row>
    <row r="5" spans="1:14" ht="30" customHeight="1">
      <c r="A5" s="22" t="s">
        <v>105</v>
      </c>
      <c r="B5" s="23">
        <v>19.995629999999998</v>
      </c>
      <c r="C5" s="23">
        <v>49.771189999999997</v>
      </c>
      <c r="D5" s="23">
        <v>-15.37599</v>
      </c>
      <c r="E5" s="23">
        <v>1.921168</v>
      </c>
      <c r="F5" s="23">
        <v>0.18917400000000001</v>
      </c>
      <c r="G5" s="23" t="s">
        <v>319</v>
      </c>
      <c r="H5" s="25" t="s">
        <v>317</v>
      </c>
      <c r="I5" s="23">
        <f>-0.04585664*1000</f>
        <v>-45.856639999999999</v>
      </c>
      <c r="J5" s="26" t="s">
        <v>114</v>
      </c>
      <c r="K5" s="25" t="s">
        <v>110</v>
      </c>
      <c r="L5" s="121"/>
      <c r="M5"/>
      <c r="N5"/>
    </row>
    <row r="6" spans="1:14" ht="30" customHeight="1">
      <c r="A6" s="22" t="s">
        <v>102</v>
      </c>
      <c r="B6" s="23">
        <v>9.8000000000000007</v>
      </c>
      <c r="C6" s="23">
        <v>3.6799999999999999E-2</v>
      </c>
      <c r="D6" s="23" t="s">
        <v>123</v>
      </c>
      <c r="E6" s="23" t="s">
        <v>123</v>
      </c>
      <c r="F6" s="23">
        <v>0</v>
      </c>
      <c r="G6" s="23" t="s">
        <v>134</v>
      </c>
      <c r="H6" s="25" t="s">
        <v>110</v>
      </c>
      <c r="I6" s="23">
        <v>-374.84456</v>
      </c>
      <c r="J6" s="26" t="s">
        <v>114</v>
      </c>
      <c r="K6" s="25" t="s">
        <v>110</v>
      </c>
      <c r="L6" s="121"/>
      <c r="M6"/>
      <c r="N6"/>
    </row>
    <row r="7" spans="1:14" s="63" customFormat="1" ht="30" customHeight="1">
      <c r="A7" s="22" t="s">
        <v>321</v>
      </c>
      <c r="B7" s="23">
        <v>-6.0765909999999996</v>
      </c>
      <c r="C7" s="23">
        <v>251.6755</v>
      </c>
      <c r="D7" s="23">
        <v>-324.79640000000001</v>
      </c>
      <c r="E7" s="23">
        <v>168.56039999999999</v>
      </c>
      <c r="F7" s="23">
        <v>2.5479999999999999E-3</v>
      </c>
      <c r="G7" s="23" t="s">
        <v>322</v>
      </c>
      <c r="H7" s="25" t="s">
        <v>317</v>
      </c>
      <c r="I7" s="23">
        <v>-910.86</v>
      </c>
      <c r="J7" s="26" t="s">
        <v>114</v>
      </c>
      <c r="K7" s="25" t="s">
        <v>317</v>
      </c>
      <c r="L7" s="121"/>
      <c r="M7"/>
      <c r="N7"/>
    </row>
    <row r="8" spans="1:14" s="63" customFormat="1" ht="30" customHeight="1">
      <c r="A8" s="22" t="s">
        <v>28</v>
      </c>
      <c r="B8" s="23">
        <v>56.707009999999997</v>
      </c>
      <c r="C8" s="23">
        <v>132.13570000000001</v>
      </c>
      <c r="D8" s="23">
        <v>-83.599670000000003</v>
      </c>
      <c r="E8" s="23">
        <v>17.254650000000002</v>
      </c>
      <c r="F8" s="23">
        <v>0.71126699999999998</v>
      </c>
      <c r="G8" s="23" t="s">
        <v>323</v>
      </c>
      <c r="H8" s="25" t="s">
        <v>317</v>
      </c>
      <c r="I8" s="23">
        <v>-574.04</v>
      </c>
      <c r="J8" s="26" t="s">
        <v>114</v>
      </c>
      <c r="K8" s="25" t="s">
        <v>317</v>
      </c>
      <c r="L8" s="121"/>
      <c r="M8"/>
      <c r="N8"/>
    </row>
    <row r="9" spans="1:14" s="63" customFormat="1" ht="30" customHeight="1">
      <c r="A9" s="22" t="s">
        <v>324</v>
      </c>
      <c r="B9" s="23">
        <v>44.936999999999998</v>
      </c>
      <c r="C9" s="23">
        <v>149.70849999999999</v>
      </c>
      <c r="D9" s="23">
        <v>-74.182739999999995</v>
      </c>
      <c r="E9" s="23">
        <v>11.976699999999999</v>
      </c>
      <c r="F9" s="23">
        <v>-0.62926099999999996</v>
      </c>
      <c r="G9" s="23" t="s">
        <v>325</v>
      </c>
      <c r="H9" s="25" t="s">
        <v>317</v>
      </c>
      <c r="I9" s="23">
        <v>-1095.8</v>
      </c>
      <c r="J9" s="26" t="s">
        <v>114</v>
      </c>
      <c r="K9" s="25" t="s">
        <v>326</v>
      </c>
      <c r="L9" s="121"/>
      <c r="M9"/>
      <c r="N9"/>
    </row>
    <row r="10" spans="1:14" s="63" customFormat="1" ht="30" customHeight="1">
      <c r="A10" s="22" t="s">
        <v>354</v>
      </c>
      <c r="B10" s="23">
        <v>30.091999999999999</v>
      </c>
      <c r="C10" s="23">
        <v>6.8325139999999998</v>
      </c>
      <c r="D10" s="23">
        <v>6.7934349999999997</v>
      </c>
      <c r="E10" s="23">
        <v>-2.5344799999999998</v>
      </c>
      <c r="F10" s="23">
        <v>8.2139000000000004E-2</v>
      </c>
      <c r="G10" s="24" t="s">
        <v>316</v>
      </c>
      <c r="H10" s="25" t="s">
        <v>317</v>
      </c>
      <c r="I10" s="152">
        <v>-241.82599999999999</v>
      </c>
      <c r="J10" s="26" t="s">
        <v>114</v>
      </c>
      <c r="K10" s="25" t="s">
        <v>109</v>
      </c>
      <c r="L10" s="121"/>
      <c r="M10"/>
      <c r="N10"/>
    </row>
    <row r="11" spans="1:14" ht="30" customHeight="1" thickBot="1">
      <c r="A11" s="63"/>
      <c r="B11" s="24">
        <v>-203.60599999999999</v>
      </c>
      <c r="C11" s="24">
        <v>1523.29</v>
      </c>
      <c r="D11" s="24">
        <v>-3196.413</v>
      </c>
      <c r="E11" s="24">
        <v>2474.4549999999999</v>
      </c>
      <c r="F11" s="24">
        <v>3.8553259999999998</v>
      </c>
      <c r="G11" s="63"/>
      <c r="H11" s="63"/>
      <c r="I11" s="152"/>
      <c r="J11" s="63"/>
      <c r="K11" s="63"/>
      <c r="L11" s="121"/>
      <c r="M11"/>
      <c r="N11"/>
    </row>
    <row r="12" spans="1:14" ht="51.95" customHeight="1" thickTop="1" thickBot="1">
      <c r="A12" s="31" t="s">
        <v>107</v>
      </c>
      <c r="B12" s="32" t="s">
        <v>108</v>
      </c>
      <c r="C12" s="110" t="s">
        <v>112</v>
      </c>
      <c r="D12" s="32" t="s">
        <v>63</v>
      </c>
      <c r="E12" s="110" t="s">
        <v>97</v>
      </c>
      <c r="F12" s="110"/>
      <c r="G12" s="110" t="s">
        <v>96</v>
      </c>
      <c r="H12" s="32" t="s">
        <v>63</v>
      </c>
      <c r="I12" s="110" t="s">
        <v>113</v>
      </c>
      <c r="J12" s="265" t="s">
        <v>116</v>
      </c>
      <c r="K12" s="265"/>
      <c r="L12" s="121"/>
      <c r="M12"/>
      <c r="N12"/>
    </row>
    <row r="13" spans="1:14" ht="39" customHeight="1" thickTop="1">
      <c r="A13" s="27" t="s">
        <v>132</v>
      </c>
      <c r="B13" s="108">
        <v>1.0900000000000001</v>
      </c>
      <c r="C13" s="108">
        <v>298</v>
      </c>
      <c r="D13" s="108" t="s">
        <v>136</v>
      </c>
      <c r="E13" s="111" t="s">
        <v>111</v>
      </c>
      <c r="F13" s="111"/>
      <c r="G13" s="108">
        <f>-1.45394*1000</f>
        <v>-1453.94</v>
      </c>
      <c r="H13" s="108" t="s">
        <v>114</v>
      </c>
      <c r="I13" s="28" t="s">
        <v>110</v>
      </c>
      <c r="J13" s="266" t="s">
        <v>133</v>
      </c>
      <c r="K13" s="266"/>
      <c r="L13" s="121"/>
      <c r="M13"/>
      <c r="N13"/>
    </row>
    <row r="14" spans="1:14" ht="39" customHeight="1">
      <c r="A14" s="29" t="s">
        <v>99</v>
      </c>
      <c r="B14" s="30">
        <v>111.7128</v>
      </c>
      <c r="C14" s="108">
        <v>298</v>
      </c>
      <c r="D14" s="108" t="s">
        <v>136</v>
      </c>
      <c r="E14" s="28" t="s">
        <v>110</v>
      </c>
      <c r="F14" s="28"/>
      <c r="G14" s="108">
        <v>-1275.86896</v>
      </c>
      <c r="H14" s="108" t="s">
        <v>127</v>
      </c>
      <c r="I14" s="28" t="s">
        <v>110</v>
      </c>
      <c r="J14" s="267" t="s">
        <v>123</v>
      </c>
      <c r="K14" s="267"/>
      <c r="L14" s="121"/>
      <c r="M14"/>
      <c r="N14"/>
    </row>
    <row r="15" spans="1:14" ht="39" customHeight="1">
      <c r="A15" s="29" t="s">
        <v>98</v>
      </c>
      <c r="B15" s="108">
        <v>1.423</v>
      </c>
      <c r="C15" s="108" t="s">
        <v>115</v>
      </c>
      <c r="D15" s="108" t="s">
        <v>136</v>
      </c>
      <c r="E15" s="28" t="s">
        <v>118</v>
      </c>
      <c r="F15" s="28"/>
      <c r="G15" s="108">
        <f>-0.9715248*1000</f>
        <v>-971.52479999999991</v>
      </c>
      <c r="H15" s="108" t="s">
        <v>127</v>
      </c>
      <c r="I15" s="28" t="s">
        <v>110</v>
      </c>
      <c r="J15" s="268" t="s">
        <v>155</v>
      </c>
      <c r="K15" s="267"/>
      <c r="L15" s="121"/>
      <c r="M15"/>
      <c r="N15"/>
    </row>
    <row r="16" spans="1:14" ht="39" customHeight="1">
      <c r="A16" s="29" t="s">
        <v>101</v>
      </c>
      <c r="B16" s="108">
        <v>1.419</v>
      </c>
      <c r="C16" s="108" t="s">
        <v>123</v>
      </c>
      <c r="D16" s="108" t="s">
        <v>136</v>
      </c>
      <c r="E16" s="28" t="s">
        <v>126</v>
      </c>
      <c r="F16" s="28"/>
      <c r="G16" s="108">
        <v>-1180.9000000000001</v>
      </c>
      <c r="H16" s="108" t="s">
        <v>127</v>
      </c>
      <c r="I16" s="28" t="s">
        <v>126</v>
      </c>
      <c r="J16" s="267" t="s">
        <v>117</v>
      </c>
      <c r="K16" s="267"/>
      <c r="L16" s="121"/>
      <c r="M16"/>
      <c r="N16"/>
    </row>
    <row r="17" spans="1:14" ht="39" customHeight="1">
      <c r="A17" s="33" t="s">
        <v>103</v>
      </c>
      <c r="B17" s="34">
        <v>1.1185911544903031</v>
      </c>
      <c r="C17" s="109" t="s">
        <v>123</v>
      </c>
      <c r="D17" s="109" t="s">
        <v>136</v>
      </c>
      <c r="E17" s="35" t="s">
        <v>129</v>
      </c>
      <c r="F17" s="35"/>
      <c r="G17" s="109">
        <v>-849.4</v>
      </c>
      <c r="H17" s="36" t="s">
        <v>114</v>
      </c>
      <c r="I17" s="35" t="s">
        <v>129</v>
      </c>
      <c r="J17" s="263" t="s">
        <v>123</v>
      </c>
      <c r="K17" s="263"/>
      <c r="L17" s="121"/>
      <c r="M17"/>
      <c r="N17"/>
    </row>
    <row r="18" spans="1:14" ht="26.1" customHeight="1" thickBot="1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121"/>
      <c r="M18"/>
    </row>
    <row r="19" spans="1:14" ht="17.25" thickTop="1" thickBot="1">
      <c r="A19" s="16" t="s">
        <v>122</v>
      </c>
      <c r="B19" s="264" t="s">
        <v>130</v>
      </c>
      <c r="C19" s="264"/>
      <c r="D19" s="264"/>
      <c r="E19" s="264"/>
      <c r="F19" s="264"/>
      <c r="G19" s="264"/>
      <c r="H19" s="264"/>
      <c r="I19" s="63"/>
      <c r="J19" s="63"/>
      <c r="K19" s="63"/>
    </row>
    <row r="20" spans="1:14" ht="15.75" thickTop="1">
      <c r="A20" s="15" t="s">
        <v>98</v>
      </c>
      <c r="B20" s="18" t="s">
        <v>119</v>
      </c>
      <c r="C20" s="63"/>
      <c r="D20" s="63"/>
      <c r="E20" s="63"/>
      <c r="F20" s="63"/>
      <c r="G20" s="63"/>
      <c r="H20" s="63"/>
      <c r="I20" s="63"/>
      <c r="J20" s="63"/>
      <c r="K20" s="63"/>
    </row>
    <row r="21" spans="1:14">
      <c r="A21" s="15" t="s">
        <v>9</v>
      </c>
      <c r="B21" s="18" t="s">
        <v>121</v>
      </c>
      <c r="C21" s="63"/>
      <c r="D21" s="63"/>
      <c r="E21" s="63"/>
      <c r="F21" s="63"/>
      <c r="G21" s="63"/>
      <c r="H21" s="63"/>
      <c r="I21" s="63"/>
      <c r="J21" s="63"/>
      <c r="K21" s="63"/>
    </row>
    <row r="22" spans="1:14">
      <c r="A22" s="15" t="s">
        <v>101</v>
      </c>
      <c r="B22" s="17" t="s">
        <v>125</v>
      </c>
      <c r="C22" s="63"/>
      <c r="D22" s="63"/>
      <c r="E22" s="63"/>
      <c r="F22" s="63"/>
      <c r="G22" s="63"/>
      <c r="H22" s="63"/>
      <c r="I22" s="63"/>
      <c r="J22" s="63"/>
      <c r="K22" s="63"/>
    </row>
    <row r="23" spans="1:14">
      <c r="A23" s="15" t="s">
        <v>103</v>
      </c>
      <c r="B23" s="17" t="s">
        <v>128</v>
      </c>
      <c r="C23" s="63"/>
      <c r="D23" s="63"/>
      <c r="E23" s="63"/>
      <c r="F23" s="63"/>
      <c r="G23" s="63"/>
      <c r="H23" s="63"/>
      <c r="I23" s="63"/>
      <c r="J23" s="63"/>
      <c r="K23" s="63"/>
    </row>
  </sheetData>
  <mergeCells count="7">
    <mergeCell ref="J17:K17"/>
    <mergeCell ref="B19:H19"/>
    <mergeCell ref="J12:K12"/>
    <mergeCell ref="J13:K13"/>
    <mergeCell ref="J14:K14"/>
    <mergeCell ref="J15:K15"/>
    <mergeCell ref="J16:K16"/>
  </mergeCells>
  <hyperlinks>
    <hyperlink ref="B20" r:id="rId1" location="section=Refractive-Index" xr:uid="{00000000-0004-0000-0200-000000000000}"/>
    <hyperlink ref="B21" r:id="rId2" xr:uid="{00000000-0004-0000-0200-000001000000}"/>
    <hyperlink ref="B22" r:id="rId3" xr:uid="{00000000-0004-0000-0200-000002000000}"/>
    <hyperlink ref="B23" r:id="rId4" xr:uid="{00000000-0004-0000-0200-000003000000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1"/>
  <sheetViews>
    <sheetView topLeftCell="B19" zoomScale="94" workbookViewId="0">
      <selection activeCell="H22" sqref="H22:M34"/>
    </sheetView>
  </sheetViews>
  <sheetFormatPr baseColWidth="10" defaultColWidth="10.85546875" defaultRowHeight="15.75"/>
  <cols>
    <col min="1" max="1" width="28" style="43" bestFit="1" customWidth="1"/>
    <col min="2" max="2" width="11.28515625" style="8" customWidth="1"/>
    <col min="3" max="3" width="13.28515625" style="8" bestFit="1" customWidth="1"/>
    <col min="4" max="6" width="11.28515625" style="37" customWidth="1"/>
    <col min="7" max="7" width="9" style="8" customWidth="1"/>
    <col min="8" max="8" width="29.140625" style="8" customWidth="1"/>
    <col min="9" max="9" width="14.85546875" style="8" customWidth="1"/>
    <col min="10" max="10" width="14.5703125" style="8" customWidth="1"/>
    <col min="11" max="15" width="11.28515625" style="8" customWidth="1"/>
    <col min="16" max="16" width="15.85546875" style="8" bestFit="1" customWidth="1"/>
    <col min="17" max="17" width="12.85546875" style="8" customWidth="1"/>
    <col min="18" max="19" width="11.28515625" style="8" customWidth="1"/>
    <col min="20" max="16384" width="10.85546875" style="8"/>
  </cols>
  <sheetData>
    <row r="1" spans="1:19" ht="54" customHeight="1">
      <c r="A1" s="277" t="s">
        <v>183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</row>
    <row r="2" spans="1:19" s="50" customFormat="1" ht="42" customHeight="1">
      <c r="A2" s="41" t="s">
        <v>161</v>
      </c>
      <c r="B2" s="271" t="s">
        <v>156</v>
      </c>
      <c r="C2" s="271"/>
      <c r="D2" s="271" t="s">
        <v>157</v>
      </c>
      <c r="E2" s="271"/>
      <c r="F2" s="271" t="s">
        <v>179</v>
      </c>
      <c r="G2" s="271"/>
      <c r="H2" s="271" t="s">
        <v>173</v>
      </c>
      <c r="I2" s="271"/>
      <c r="J2" s="271" t="s">
        <v>174</v>
      </c>
      <c r="K2" s="271"/>
      <c r="L2" s="271" t="s">
        <v>175</v>
      </c>
      <c r="M2" s="271"/>
      <c r="N2" s="271" t="s">
        <v>158</v>
      </c>
      <c r="O2" s="271"/>
      <c r="P2" s="271" t="s">
        <v>176</v>
      </c>
      <c r="Q2" s="271"/>
      <c r="R2" s="271" t="s">
        <v>177</v>
      </c>
      <c r="S2" s="271"/>
    </row>
    <row r="3" spans="1:19" s="10" customFormat="1" ht="27" customHeight="1">
      <c r="A3" s="42" t="s">
        <v>153</v>
      </c>
      <c r="B3" s="39" t="s">
        <v>159</v>
      </c>
      <c r="C3" s="39" t="s">
        <v>160</v>
      </c>
      <c r="D3" s="39" t="s">
        <v>159</v>
      </c>
      <c r="E3" s="39" t="s">
        <v>160</v>
      </c>
      <c r="F3" s="39" t="s">
        <v>159</v>
      </c>
      <c r="G3" s="39" t="s">
        <v>160</v>
      </c>
      <c r="H3" s="39" t="s">
        <v>159</v>
      </c>
      <c r="I3" s="39" t="s">
        <v>160</v>
      </c>
      <c r="J3" s="39" t="s">
        <v>159</v>
      </c>
      <c r="K3" s="39" t="s">
        <v>160</v>
      </c>
      <c r="L3" s="39" t="s">
        <v>159</v>
      </c>
      <c r="M3" s="39" t="s">
        <v>160</v>
      </c>
      <c r="N3" s="39" t="s">
        <v>159</v>
      </c>
      <c r="O3" s="39" t="s">
        <v>160</v>
      </c>
      <c r="P3" s="39" t="s">
        <v>159</v>
      </c>
      <c r="Q3" s="39" t="s">
        <v>160</v>
      </c>
      <c r="R3" s="39" t="s">
        <v>159</v>
      </c>
      <c r="S3" s="39" t="s">
        <v>160</v>
      </c>
    </row>
    <row r="4" spans="1:19" ht="27" customHeight="1">
      <c r="A4" s="42" t="s">
        <v>162</v>
      </c>
      <c r="B4" s="44">
        <f>284-273</f>
        <v>11</v>
      </c>
      <c r="C4" s="40">
        <f>284-273</f>
        <v>11</v>
      </c>
      <c r="D4" s="47">
        <f>284-273</f>
        <v>11</v>
      </c>
      <c r="E4" s="47">
        <f>284-273</f>
        <v>11</v>
      </c>
      <c r="F4" s="47">
        <f>284-273</f>
        <v>11</v>
      </c>
      <c r="G4" s="40">
        <v>90</v>
      </c>
      <c r="H4" s="40">
        <v>90</v>
      </c>
      <c r="I4" s="40">
        <v>90</v>
      </c>
      <c r="J4" s="40">
        <v>25</v>
      </c>
      <c r="K4" s="40">
        <v>25</v>
      </c>
      <c r="L4" s="40">
        <v>25</v>
      </c>
      <c r="M4" s="40">
        <v>80</v>
      </c>
      <c r="N4" s="40">
        <v>120</v>
      </c>
      <c r="O4" s="40">
        <v>130</v>
      </c>
      <c r="P4" s="40">
        <v>100</v>
      </c>
      <c r="Q4" s="40">
        <v>300</v>
      </c>
      <c r="R4" s="40">
        <v>10</v>
      </c>
      <c r="S4" s="40">
        <v>10</v>
      </c>
    </row>
    <row r="5" spans="1:19" ht="27" customHeight="1">
      <c r="A5" s="42" t="s">
        <v>163</v>
      </c>
      <c r="B5" s="40"/>
      <c r="C5" s="40"/>
      <c r="D5" s="47"/>
      <c r="E5" s="47"/>
      <c r="F5" s="47"/>
      <c r="G5" s="40"/>
      <c r="H5" s="40"/>
      <c r="I5" s="40"/>
      <c r="J5" s="40"/>
      <c r="K5" s="40"/>
      <c r="L5" s="40">
        <v>1</v>
      </c>
      <c r="M5" s="40">
        <v>100</v>
      </c>
      <c r="N5" s="40"/>
      <c r="O5" s="40"/>
      <c r="P5" s="40"/>
      <c r="Q5" s="40"/>
      <c r="R5" s="40"/>
      <c r="S5" s="40"/>
    </row>
    <row r="6" spans="1:19" s="50" customFormat="1" ht="29.1" customHeight="1">
      <c r="A6" s="42" t="s">
        <v>172</v>
      </c>
      <c r="B6" s="279">
        <v>2</v>
      </c>
      <c r="C6" s="280"/>
      <c r="D6" s="281">
        <v>11</v>
      </c>
      <c r="E6" s="282"/>
      <c r="F6" s="279">
        <v>293</v>
      </c>
      <c r="G6" s="280"/>
      <c r="H6" s="279"/>
      <c r="I6" s="280"/>
      <c r="J6" s="279"/>
      <c r="K6" s="280"/>
      <c r="L6" s="279"/>
      <c r="M6" s="280"/>
      <c r="N6" s="279"/>
      <c r="O6" s="280"/>
      <c r="P6" s="279"/>
      <c r="Q6" s="280"/>
      <c r="R6" s="279">
        <v>0</v>
      </c>
      <c r="S6" s="280"/>
    </row>
    <row r="7" spans="1:19" s="10" customFormat="1" ht="27" customHeight="1">
      <c r="A7" s="41" t="s">
        <v>161</v>
      </c>
      <c r="B7" s="271" t="s">
        <v>164</v>
      </c>
      <c r="C7" s="271"/>
      <c r="D7" s="271" t="s">
        <v>165</v>
      </c>
      <c r="E7" s="271"/>
      <c r="F7" s="271" t="s">
        <v>166</v>
      </c>
      <c r="G7" s="271"/>
      <c r="H7" s="271" t="s">
        <v>167</v>
      </c>
      <c r="I7" s="271"/>
      <c r="J7" s="271" t="s">
        <v>168</v>
      </c>
      <c r="K7" s="271"/>
      <c r="L7" s="271" t="s">
        <v>169</v>
      </c>
      <c r="M7" s="271"/>
      <c r="N7" s="271" t="s">
        <v>170</v>
      </c>
      <c r="O7" s="271"/>
      <c r="P7" s="271" t="s">
        <v>171</v>
      </c>
      <c r="Q7" s="271"/>
      <c r="R7" s="41"/>
      <c r="S7" s="41"/>
    </row>
    <row r="8" spans="1:19" ht="27" customHeight="1">
      <c r="A8" s="42" t="s">
        <v>153</v>
      </c>
      <c r="B8" s="39" t="s">
        <v>159</v>
      </c>
      <c r="C8" s="39" t="s">
        <v>160</v>
      </c>
      <c r="D8" s="39" t="s">
        <v>159</v>
      </c>
      <c r="E8" s="39" t="s">
        <v>160</v>
      </c>
      <c r="F8" s="39" t="s">
        <v>159</v>
      </c>
      <c r="G8" s="39" t="s">
        <v>160</v>
      </c>
      <c r="H8" s="39" t="s">
        <v>159</v>
      </c>
      <c r="I8" s="39" t="s">
        <v>160</v>
      </c>
      <c r="J8" s="39" t="s">
        <v>159</v>
      </c>
      <c r="K8" s="39" t="s">
        <v>160</v>
      </c>
      <c r="L8" s="39" t="s">
        <v>159</v>
      </c>
      <c r="M8" s="39" t="s">
        <v>160</v>
      </c>
      <c r="N8" s="39" t="s">
        <v>159</v>
      </c>
      <c r="O8" s="39" t="s">
        <v>160</v>
      </c>
      <c r="P8" s="39" t="s">
        <v>159</v>
      </c>
      <c r="Q8" s="39" t="s">
        <v>160</v>
      </c>
      <c r="R8" s="39"/>
      <c r="S8" s="39"/>
    </row>
    <row r="9" spans="1:19" ht="27" customHeight="1">
      <c r="A9" s="42" t="s">
        <v>180</v>
      </c>
      <c r="B9" s="40"/>
      <c r="C9" s="40"/>
      <c r="D9" s="47">
        <v>10</v>
      </c>
      <c r="E9" s="47">
        <v>50</v>
      </c>
      <c r="F9" s="47"/>
      <c r="G9" s="40"/>
      <c r="H9" s="40">
        <v>25</v>
      </c>
      <c r="I9" s="40">
        <v>70</v>
      </c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ht="27" customHeight="1">
      <c r="A10" s="42" t="s">
        <v>181</v>
      </c>
      <c r="B10" s="40"/>
      <c r="C10" s="40"/>
      <c r="D10" s="47">
        <v>80</v>
      </c>
      <c r="E10" s="47">
        <v>25</v>
      </c>
      <c r="F10" s="47"/>
      <c r="G10" s="40"/>
      <c r="H10" s="40">
        <v>150</v>
      </c>
      <c r="I10" s="40">
        <v>50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ht="27" customHeight="1">
      <c r="B11" s="8" t="s">
        <v>178</v>
      </c>
    </row>
    <row r="12" spans="1:19" ht="27" customHeight="1"/>
    <row r="13" spans="1:19" ht="35.1" customHeight="1">
      <c r="A13" s="45" t="s">
        <v>182</v>
      </c>
      <c r="B13" s="45" t="s">
        <v>108</v>
      </c>
      <c r="C13" s="45" t="s">
        <v>63</v>
      </c>
      <c r="D13" s="273" t="s">
        <v>139</v>
      </c>
      <c r="E13" s="273"/>
      <c r="F13" s="273"/>
      <c r="H13" s="45" t="s">
        <v>236</v>
      </c>
      <c r="I13" s="45" t="s">
        <v>238</v>
      </c>
      <c r="J13" s="45" t="s">
        <v>63</v>
      </c>
      <c r="K13" s="273" t="s">
        <v>139</v>
      </c>
      <c r="L13" s="273"/>
      <c r="M13" s="273"/>
      <c r="P13"/>
      <c r="Q13"/>
      <c r="R13"/>
      <c r="S13"/>
    </row>
    <row r="14" spans="1:19" s="37" customFormat="1" ht="30.95" customHeight="1">
      <c r="A14" s="46" t="s">
        <v>186</v>
      </c>
      <c r="B14" s="48">
        <v>0.8</v>
      </c>
      <c r="C14" s="49" t="s">
        <v>66</v>
      </c>
      <c r="D14" s="270" t="s">
        <v>187</v>
      </c>
      <c r="E14" s="270"/>
      <c r="F14" s="270"/>
      <c r="H14" s="49" t="s">
        <v>237</v>
      </c>
      <c r="I14" s="49">
        <v>58.1</v>
      </c>
      <c r="J14" s="49" t="s">
        <v>239</v>
      </c>
      <c r="K14" s="274" t="s">
        <v>243</v>
      </c>
      <c r="L14" s="275"/>
      <c r="M14" s="276"/>
      <c r="P14"/>
      <c r="Q14"/>
      <c r="R14"/>
      <c r="S14"/>
    </row>
    <row r="15" spans="1:19" s="37" customFormat="1" ht="30.95" customHeight="1">
      <c r="A15" s="46" t="s">
        <v>188</v>
      </c>
      <c r="B15" s="49">
        <v>10</v>
      </c>
      <c r="C15" s="49" t="s">
        <v>152</v>
      </c>
      <c r="D15" s="269"/>
      <c r="E15" s="269"/>
      <c r="F15" s="269"/>
      <c r="H15" s="49" t="s">
        <v>240</v>
      </c>
      <c r="I15" s="49">
        <v>6</v>
      </c>
      <c r="J15" s="49" t="s">
        <v>239</v>
      </c>
      <c r="K15" s="274" t="s">
        <v>243</v>
      </c>
      <c r="L15" s="275"/>
      <c r="M15" s="276"/>
      <c r="P15"/>
      <c r="Q15"/>
      <c r="R15"/>
      <c r="S15"/>
    </row>
    <row r="16" spans="1:19" s="37" customFormat="1" ht="30.95" customHeight="1">
      <c r="A16" s="51" t="s">
        <v>189</v>
      </c>
      <c r="B16" s="49">
        <f>24*B19</f>
        <v>8280</v>
      </c>
      <c r="C16" s="49" t="s">
        <v>190</v>
      </c>
      <c r="D16" s="272" t="s">
        <v>254</v>
      </c>
      <c r="E16" s="270"/>
      <c r="F16" s="270"/>
      <c r="H16" s="49" t="s">
        <v>357</v>
      </c>
      <c r="I16" s="122">
        <v>0.2</v>
      </c>
      <c r="J16" s="49" t="s">
        <v>242</v>
      </c>
      <c r="K16" s="274" t="s">
        <v>358</v>
      </c>
      <c r="L16" s="275"/>
      <c r="M16" s="276"/>
      <c r="P16"/>
      <c r="Q16"/>
      <c r="R16"/>
      <c r="S16"/>
    </row>
    <row r="17" spans="1:19" s="37" customFormat="1" ht="30.95" customHeight="1">
      <c r="A17" s="51" t="s">
        <v>191</v>
      </c>
      <c r="B17" s="49">
        <v>7</v>
      </c>
      <c r="C17" s="49" t="s">
        <v>192</v>
      </c>
      <c r="D17" s="269"/>
      <c r="E17" s="269"/>
      <c r="F17" s="269"/>
      <c r="H17" s="49" t="s">
        <v>244</v>
      </c>
      <c r="I17" s="49">
        <v>100</v>
      </c>
      <c r="J17" s="49" t="s">
        <v>241</v>
      </c>
      <c r="K17" s="274" t="s">
        <v>243</v>
      </c>
      <c r="L17" s="275"/>
      <c r="M17" s="276"/>
      <c r="P17"/>
      <c r="Q17"/>
      <c r="R17"/>
      <c r="S17"/>
    </row>
    <row r="18" spans="1:19" s="37" customFormat="1" ht="30.95" customHeight="1">
      <c r="A18" s="51" t="s">
        <v>202</v>
      </c>
      <c r="B18" s="49">
        <v>0.2</v>
      </c>
      <c r="C18" s="49" t="s">
        <v>152</v>
      </c>
      <c r="D18" s="269"/>
      <c r="E18" s="269"/>
      <c r="F18" s="269"/>
      <c r="H18" s="49" t="s">
        <v>245</v>
      </c>
      <c r="I18" s="49"/>
      <c r="J18" s="49"/>
      <c r="K18" s="274"/>
      <c r="L18" s="275"/>
      <c r="M18" s="276"/>
      <c r="P18"/>
      <c r="Q18"/>
      <c r="R18"/>
      <c r="S18"/>
    </row>
    <row r="19" spans="1:19" s="37" customFormat="1" ht="30.95" customHeight="1">
      <c r="A19" s="59" t="s">
        <v>255</v>
      </c>
      <c r="B19" s="49">
        <f>365-20</f>
        <v>345</v>
      </c>
      <c r="C19" s="49" t="s">
        <v>257</v>
      </c>
      <c r="D19" s="270" t="s">
        <v>256</v>
      </c>
      <c r="E19" s="270"/>
      <c r="F19" s="270"/>
      <c r="H19" s="49" t="s">
        <v>8</v>
      </c>
      <c r="I19" s="49">
        <v>200</v>
      </c>
      <c r="J19" s="49" t="s">
        <v>248</v>
      </c>
      <c r="K19" s="284" t="s">
        <v>338</v>
      </c>
      <c r="L19" s="285"/>
      <c r="M19" s="286"/>
    </row>
    <row r="20" spans="1:19" s="37" customFormat="1" ht="30.95" customHeight="1">
      <c r="A20" s="59"/>
      <c r="B20" s="49"/>
      <c r="C20" s="49"/>
      <c r="D20" s="269"/>
      <c r="E20" s="269"/>
      <c r="F20" s="269"/>
      <c r="H20" s="49" t="s">
        <v>339</v>
      </c>
      <c r="I20" s="49">
        <v>300</v>
      </c>
      <c r="J20" s="49" t="s">
        <v>248</v>
      </c>
      <c r="K20" s="287" t="s">
        <v>340</v>
      </c>
      <c r="L20" s="288"/>
      <c r="M20" s="289"/>
    </row>
    <row r="21" spans="1:19" s="37" customFormat="1" ht="30.95" customHeight="1">
      <c r="A21" s="59"/>
      <c r="B21" s="49"/>
      <c r="C21" s="49"/>
      <c r="D21" s="269"/>
      <c r="E21" s="269"/>
      <c r="F21" s="269"/>
      <c r="H21" s="49"/>
      <c r="I21" s="49"/>
      <c r="J21" s="49"/>
      <c r="K21" s="290"/>
      <c r="L21" s="290"/>
      <c r="M21" s="290"/>
    </row>
    <row r="22" spans="1:19" s="37" customFormat="1" ht="30.95" customHeight="1">
      <c r="A22" s="49"/>
      <c r="B22" s="49"/>
      <c r="C22" s="49"/>
      <c r="D22" s="270"/>
      <c r="E22" s="270"/>
      <c r="F22" s="270"/>
      <c r="H22" s="153"/>
      <c r="I22" s="38"/>
      <c r="J22" s="49"/>
      <c r="K22" s="291"/>
      <c r="L22" s="292"/>
      <c r="M22" s="293"/>
    </row>
    <row r="23" spans="1:19" s="37" customFormat="1" ht="30.95" customHeight="1">
      <c r="A23" s="59"/>
      <c r="B23" s="60"/>
      <c r="C23" s="49"/>
      <c r="D23" s="270"/>
      <c r="E23" s="270"/>
      <c r="F23" s="270"/>
      <c r="H23" s="153"/>
      <c r="I23" s="119"/>
      <c r="J23" s="49"/>
      <c r="K23" s="291"/>
      <c r="L23" s="292"/>
      <c r="M23" s="293"/>
    </row>
    <row r="24" spans="1:19" s="37" customFormat="1" ht="30.95" customHeight="1">
      <c r="A24" s="59"/>
      <c r="B24" s="60"/>
      <c r="C24" s="49"/>
      <c r="D24" s="269"/>
      <c r="E24" s="269"/>
      <c r="F24" s="269"/>
      <c r="H24" s="153"/>
      <c r="I24" s="38"/>
      <c r="J24" s="49"/>
      <c r="K24" s="290"/>
      <c r="L24" s="290"/>
      <c r="M24" s="290"/>
    </row>
    <row r="25" spans="1:19" s="37" customFormat="1" ht="30.95" customHeight="1">
      <c r="A25" s="59"/>
      <c r="B25" s="49"/>
      <c r="C25" s="49"/>
      <c r="D25" s="269"/>
      <c r="E25" s="269"/>
      <c r="F25" s="269"/>
      <c r="H25" s="153"/>
      <c r="I25" s="38"/>
      <c r="J25" s="49"/>
      <c r="K25" s="290"/>
      <c r="L25" s="290"/>
      <c r="M25" s="290"/>
    </row>
    <row r="26" spans="1:19" s="37" customFormat="1" ht="30.95" customHeight="1">
      <c r="A26" s="46"/>
      <c r="B26" s="49"/>
      <c r="C26" s="49"/>
      <c r="D26" s="269"/>
      <c r="E26" s="269"/>
      <c r="F26" s="269"/>
      <c r="H26" s="153"/>
      <c r="I26" s="38"/>
      <c r="J26" s="49"/>
      <c r="K26" s="290"/>
      <c r="L26" s="290"/>
      <c r="M26" s="290"/>
    </row>
    <row r="27" spans="1:19" s="37" customFormat="1" ht="30.95" customHeight="1">
      <c r="A27" s="46"/>
      <c r="B27" s="49"/>
      <c r="C27" s="49"/>
      <c r="D27" s="269"/>
      <c r="E27" s="269"/>
      <c r="F27" s="269"/>
      <c r="H27" s="153"/>
      <c r="I27" s="38"/>
      <c r="J27" s="49"/>
      <c r="K27" s="290"/>
      <c r="L27" s="290"/>
      <c r="M27" s="290"/>
    </row>
    <row r="28" spans="1:19" ht="30.95" customHeight="1">
      <c r="A28" s="46"/>
      <c r="B28" s="38"/>
      <c r="C28" s="38"/>
      <c r="D28" s="283"/>
      <c r="E28" s="283"/>
      <c r="F28" s="283"/>
      <c r="H28" s="153"/>
      <c r="I28" s="38"/>
      <c r="J28" s="156"/>
      <c r="K28" s="283"/>
      <c r="L28" s="283"/>
      <c r="M28" s="283"/>
    </row>
    <row r="29" spans="1:19" ht="30.95" customHeight="1">
      <c r="A29" s="46"/>
      <c r="B29" s="38"/>
      <c r="C29" s="38"/>
      <c r="D29" s="283"/>
      <c r="E29" s="283"/>
      <c r="F29" s="283"/>
      <c r="H29" s="153"/>
      <c r="I29" s="38"/>
      <c r="J29" s="38"/>
      <c r="K29" s="283"/>
      <c r="L29" s="283"/>
      <c r="M29" s="283"/>
    </row>
    <row r="30" spans="1:19" ht="30.95" customHeight="1">
      <c r="A30" s="46"/>
      <c r="B30" s="38"/>
      <c r="C30" s="38"/>
      <c r="D30" s="283"/>
      <c r="E30" s="283"/>
      <c r="F30" s="283"/>
      <c r="H30" s="154"/>
      <c r="I30" s="155"/>
      <c r="J30" s="38"/>
      <c r="K30" s="283"/>
      <c r="L30" s="283"/>
      <c r="M30" s="283"/>
    </row>
    <row r="31" spans="1:19" ht="30.95" customHeight="1">
      <c r="A31" s="46"/>
      <c r="B31" s="38"/>
      <c r="C31" s="38"/>
      <c r="D31" s="283"/>
      <c r="E31" s="283"/>
      <c r="F31" s="283"/>
      <c r="H31" s="153"/>
      <c r="I31" s="38"/>
      <c r="J31" s="38"/>
      <c r="K31" s="283"/>
      <c r="L31" s="283"/>
      <c r="M31" s="283"/>
    </row>
    <row r="32" spans="1:19" ht="30.95" customHeight="1">
      <c r="A32" s="46"/>
      <c r="B32" s="38"/>
      <c r="C32" s="38"/>
      <c r="D32" s="283"/>
      <c r="E32" s="283"/>
      <c r="F32" s="283"/>
      <c r="H32" s="153"/>
      <c r="I32" s="38"/>
      <c r="J32" s="38"/>
      <c r="K32" s="283"/>
      <c r="L32" s="283"/>
      <c r="M32" s="283"/>
    </row>
    <row r="33" spans="1:13" ht="30.95" customHeight="1">
      <c r="A33" s="46"/>
      <c r="B33" s="38"/>
      <c r="C33" s="38"/>
      <c r="D33" s="283"/>
      <c r="E33" s="283"/>
      <c r="F33" s="283"/>
      <c r="H33" s="157"/>
      <c r="I33" s="158"/>
      <c r="J33" s="158"/>
      <c r="K33" s="283"/>
      <c r="L33" s="283"/>
      <c r="M33" s="283"/>
    </row>
    <row r="34" spans="1:13" ht="30.95" customHeight="1">
      <c r="A34" s="46"/>
      <c r="B34" s="38"/>
      <c r="C34" s="38"/>
      <c r="D34" s="283"/>
      <c r="E34" s="283"/>
      <c r="F34" s="283"/>
      <c r="H34" s="38"/>
      <c r="I34" s="38"/>
      <c r="J34" s="38"/>
      <c r="K34" s="283"/>
      <c r="L34" s="283"/>
      <c r="M34" s="283"/>
    </row>
    <row r="35" spans="1:13" ht="30.95" customHeight="1">
      <c r="A35" s="46"/>
      <c r="B35" s="38"/>
      <c r="C35" s="38"/>
      <c r="D35" s="283"/>
      <c r="E35" s="283"/>
      <c r="F35" s="283"/>
      <c r="H35" s="38"/>
      <c r="I35" s="38"/>
      <c r="J35" s="38"/>
      <c r="K35" s="283"/>
      <c r="L35" s="283"/>
      <c r="M35" s="283"/>
    </row>
    <row r="36" spans="1:13" ht="30.95" customHeight="1">
      <c r="A36" s="46"/>
      <c r="B36" s="38"/>
      <c r="C36" s="38"/>
      <c r="D36" s="283"/>
      <c r="E36" s="283"/>
      <c r="F36" s="283"/>
      <c r="H36" s="38"/>
      <c r="I36" s="38"/>
      <c r="J36" s="38"/>
      <c r="K36" s="283"/>
      <c r="L36" s="283"/>
      <c r="M36" s="283"/>
    </row>
    <row r="37" spans="1:13" ht="30.95" customHeight="1">
      <c r="A37" s="46"/>
      <c r="B37" s="38"/>
      <c r="C37" s="38"/>
      <c r="D37" s="283"/>
      <c r="E37" s="283"/>
      <c r="F37" s="283"/>
      <c r="H37" s="38"/>
      <c r="I37" s="38"/>
      <c r="J37" s="38"/>
      <c r="K37" s="283"/>
      <c r="L37" s="283"/>
      <c r="M37" s="283"/>
    </row>
    <row r="38" spans="1:13" ht="30.95" customHeight="1">
      <c r="K38" s="37"/>
      <c r="L38" s="37"/>
      <c r="M38" s="37"/>
    </row>
    <row r="39" spans="1:13">
      <c r="K39" s="37"/>
      <c r="L39" s="37"/>
      <c r="M39" s="37"/>
    </row>
    <row r="40" spans="1:13">
      <c r="K40" s="37"/>
      <c r="L40" s="37"/>
      <c r="M40" s="37"/>
    </row>
    <row r="41" spans="1:13">
      <c r="K41" s="37"/>
      <c r="L41" s="37"/>
      <c r="M41" s="37"/>
    </row>
    <row r="42" spans="1:13">
      <c r="K42" s="37"/>
      <c r="L42" s="37"/>
      <c r="M42" s="37"/>
    </row>
    <row r="43" spans="1:13">
      <c r="K43" s="37"/>
      <c r="L43" s="37"/>
      <c r="M43" s="37"/>
    </row>
    <row r="44" spans="1:13">
      <c r="K44" s="37"/>
      <c r="L44" s="37"/>
      <c r="M44" s="37"/>
    </row>
    <row r="45" spans="1:13">
      <c r="K45" s="37"/>
      <c r="L45" s="37"/>
      <c r="M45" s="37"/>
    </row>
    <row r="46" spans="1:13">
      <c r="K46" s="37"/>
      <c r="L46" s="37"/>
      <c r="M46" s="37"/>
    </row>
    <row r="47" spans="1:13">
      <c r="K47" s="37"/>
      <c r="L47" s="37"/>
      <c r="M47" s="37"/>
    </row>
    <row r="48" spans="1:13">
      <c r="K48" s="37"/>
      <c r="L48" s="37"/>
      <c r="M48" s="37"/>
    </row>
    <row r="49" spans="11:13">
      <c r="K49" s="37"/>
      <c r="L49" s="37"/>
      <c r="M49" s="37"/>
    </row>
    <row r="50" spans="11:13">
      <c r="K50" s="37"/>
      <c r="L50" s="37"/>
      <c r="M50" s="37"/>
    </row>
    <row r="51" spans="11:13">
      <c r="K51" s="37"/>
      <c r="L51" s="37"/>
      <c r="M51" s="37"/>
    </row>
    <row r="52" spans="11:13">
      <c r="K52" s="37"/>
      <c r="L52" s="37"/>
      <c r="M52" s="37"/>
    </row>
    <row r="53" spans="11:13">
      <c r="K53" s="37"/>
      <c r="L53" s="37"/>
      <c r="M53" s="37"/>
    </row>
    <row r="54" spans="11:13">
      <c r="K54" s="37"/>
      <c r="L54" s="37"/>
      <c r="M54" s="37"/>
    </row>
    <row r="55" spans="11:13">
      <c r="K55" s="37"/>
      <c r="L55" s="37"/>
      <c r="M55" s="37"/>
    </row>
    <row r="56" spans="11:13">
      <c r="K56" s="37"/>
      <c r="L56" s="37"/>
      <c r="M56" s="37"/>
    </row>
    <row r="57" spans="11:13">
      <c r="K57" s="37"/>
      <c r="L57" s="37"/>
      <c r="M57" s="37"/>
    </row>
    <row r="58" spans="11:13">
      <c r="K58" s="37"/>
      <c r="L58" s="37"/>
      <c r="M58" s="37"/>
    </row>
    <row r="59" spans="11:13">
      <c r="K59" s="37"/>
      <c r="L59" s="37"/>
      <c r="M59" s="37"/>
    </row>
    <row r="60" spans="11:13">
      <c r="K60" s="37"/>
      <c r="L60" s="37"/>
      <c r="M60" s="37"/>
    </row>
    <row r="61" spans="11:13">
      <c r="K61" s="37"/>
      <c r="L61" s="37"/>
      <c r="M61" s="37"/>
    </row>
    <row r="62" spans="11:13">
      <c r="K62" s="37"/>
      <c r="L62" s="37"/>
      <c r="M62" s="37"/>
    </row>
    <row r="63" spans="11:13">
      <c r="K63" s="37"/>
      <c r="L63" s="37"/>
      <c r="M63" s="37"/>
    </row>
    <row r="64" spans="11:13">
      <c r="K64" s="37"/>
      <c r="L64" s="37"/>
      <c r="M64" s="37"/>
    </row>
    <row r="65" spans="11:13">
      <c r="K65" s="37"/>
      <c r="L65" s="37"/>
      <c r="M65" s="37"/>
    </row>
    <row r="66" spans="11:13">
      <c r="K66" s="37"/>
      <c r="L66" s="37"/>
      <c r="M66" s="37"/>
    </row>
    <row r="67" spans="11:13">
      <c r="K67" s="37"/>
      <c r="L67" s="37"/>
      <c r="M67" s="37"/>
    </row>
    <row r="68" spans="11:13">
      <c r="K68" s="37"/>
      <c r="L68" s="37"/>
      <c r="M68" s="37"/>
    </row>
    <row r="69" spans="11:13">
      <c r="K69" s="37"/>
      <c r="L69" s="37"/>
      <c r="M69" s="37"/>
    </row>
    <row r="70" spans="11:13">
      <c r="K70" s="37"/>
      <c r="L70" s="37"/>
      <c r="M70" s="37"/>
    </row>
    <row r="71" spans="11:13">
      <c r="K71" s="37"/>
      <c r="L71" s="37"/>
      <c r="M71" s="37"/>
    </row>
    <row r="72" spans="11:13">
      <c r="K72" s="37"/>
      <c r="L72" s="37"/>
      <c r="M72" s="37"/>
    </row>
    <row r="73" spans="11:13">
      <c r="K73" s="37"/>
      <c r="L73" s="37"/>
      <c r="M73" s="37"/>
    </row>
    <row r="74" spans="11:13">
      <c r="K74" s="37"/>
      <c r="L74" s="37"/>
      <c r="M74" s="37"/>
    </row>
    <row r="75" spans="11:13">
      <c r="K75" s="37"/>
      <c r="L75" s="37"/>
      <c r="M75" s="37"/>
    </row>
    <row r="76" spans="11:13">
      <c r="K76" s="37"/>
      <c r="L76" s="37"/>
      <c r="M76" s="37"/>
    </row>
    <row r="77" spans="11:13">
      <c r="K77" s="37"/>
      <c r="L77" s="37"/>
      <c r="M77" s="37"/>
    </row>
    <row r="78" spans="11:13">
      <c r="K78" s="37"/>
      <c r="L78" s="37"/>
      <c r="M78" s="37"/>
    </row>
    <row r="79" spans="11:13">
      <c r="K79" s="37"/>
      <c r="L79" s="37"/>
      <c r="M79" s="37"/>
    </row>
    <row r="80" spans="11:13">
      <c r="K80" s="37"/>
      <c r="L80" s="37"/>
      <c r="M80" s="37"/>
    </row>
    <row r="81" spans="11:13">
      <c r="K81" s="37"/>
      <c r="L81" s="37"/>
      <c r="M81" s="37"/>
    </row>
    <row r="82" spans="11:13">
      <c r="K82" s="37"/>
      <c r="L82" s="37"/>
      <c r="M82" s="37"/>
    </row>
    <row r="83" spans="11:13">
      <c r="K83" s="37"/>
      <c r="L83" s="37"/>
      <c r="M83" s="37"/>
    </row>
    <row r="84" spans="11:13">
      <c r="K84" s="37"/>
      <c r="L84" s="37"/>
      <c r="M84" s="37"/>
    </row>
    <row r="85" spans="11:13">
      <c r="K85" s="37"/>
      <c r="L85" s="37"/>
      <c r="M85" s="37"/>
    </row>
    <row r="86" spans="11:13">
      <c r="K86" s="37"/>
      <c r="L86" s="37"/>
      <c r="M86" s="37"/>
    </row>
    <row r="87" spans="11:13">
      <c r="K87" s="37"/>
      <c r="L87" s="37"/>
      <c r="M87" s="37"/>
    </row>
    <row r="88" spans="11:13">
      <c r="K88" s="37"/>
      <c r="L88" s="37"/>
      <c r="M88" s="37"/>
    </row>
    <row r="89" spans="11:13">
      <c r="K89" s="37"/>
      <c r="L89" s="37"/>
      <c r="M89" s="37"/>
    </row>
    <row r="90" spans="11:13">
      <c r="K90" s="37"/>
      <c r="L90" s="37"/>
      <c r="M90" s="37"/>
    </row>
    <row r="91" spans="11:13">
      <c r="K91" s="37"/>
      <c r="L91" s="37"/>
      <c r="M91" s="37"/>
    </row>
  </sheetData>
  <mergeCells count="77">
    <mergeCell ref="K36:M36"/>
    <mergeCell ref="K37:M37"/>
    <mergeCell ref="K30:M30"/>
    <mergeCell ref="K31:M31"/>
    <mergeCell ref="K32:M32"/>
    <mergeCell ref="K33:M33"/>
    <mergeCell ref="K34:M34"/>
    <mergeCell ref="K35:M35"/>
    <mergeCell ref="K29:M29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D33:F33"/>
    <mergeCell ref="D34:F34"/>
    <mergeCell ref="D35:F35"/>
    <mergeCell ref="D36:F36"/>
    <mergeCell ref="D37:F37"/>
    <mergeCell ref="R6:S6"/>
    <mergeCell ref="D13:F13"/>
    <mergeCell ref="D14:F14"/>
    <mergeCell ref="D15:F15"/>
    <mergeCell ref="D32:F32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N7:O7"/>
    <mergeCell ref="P7:Q7"/>
    <mergeCell ref="B6:C6"/>
    <mergeCell ref="D6:E6"/>
    <mergeCell ref="F6:G6"/>
    <mergeCell ref="H6:I6"/>
    <mergeCell ref="J6:K6"/>
    <mergeCell ref="L6:M6"/>
    <mergeCell ref="N6:O6"/>
    <mergeCell ref="B7:C7"/>
    <mergeCell ref="D7:E7"/>
    <mergeCell ref="F7:G7"/>
    <mergeCell ref="H7:I7"/>
    <mergeCell ref="J7:K7"/>
    <mergeCell ref="P6:Q6"/>
    <mergeCell ref="N2:O2"/>
    <mergeCell ref="P2:Q2"/>
    <mergeCell ref="R2:S2"/>
    <mergeCell ref="A1:S1"/>
    <mergeCell ref="B2:C2"/>
    <mergeCell ref="D2:E2"/>
    <mergeCell ref="F2:G2"/>
    <mergeCell ref="H2:I2"/>
    <mergeCell ref="J2:K2"/>
    <mergeCell ref="D17:F17"/>
    <mergeCell ref="D18:F18"/>
    <mergeCell ref="D19:F19"/>
    <mergeCell ref="D20:F20"/>
    <mergeCell ref="L2:M2"/>
    <mergeCell ref="D16:F16"/>
    <mergeCell ref="L7:M7"/>
    <mergeCell ref="K13:M13"/>
    <mergeCell ref="K14:M14"/>
    <mergeCell ref="K15:M15"/>
    <mergeCell ref="K16:M16"/>
    <mergeCell ref="K17:M17"/>
  </mergeCells>
  <hyperlinks>
    <hyperlink ref="K20" r:id="rId1" xr:uid="{00000000-0004-0000-0300-000000000000}"/>
    <hyperlink ref="K19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Mass Balance</vt:lpstr>
      <vt:lpstr>Matlab_Input_max</vt:lpstr>
      <vt:lpstr>Cp Values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Voon Loong</dc:creator>
  <cp:lastModifiedBy>Strunge, Till</cp:lastModifiedBy>
  <dcterms:created xsi:type="dcterms:W3CDTF">2020-07-15T12:28:48Z</dcterms:created>
  <dcterms:modified xsi:type="dcterms:W3CDTF">2022-02-03T19:01:10Z</dcterms:modified>
</cp:coreProperties>
</file>