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queryTables/queryTable12.xml" ContentType="application/vnd.openxmlformats-officedocument.spreadsheetml.queryTable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updateLinks="never" codeName="DieseArbeitsmappe"/>
  <mc:AlternateContent xmlns:mc="http://schemas.openxmlformats.org/markup-compatibility/2006">
    <mc:Choice Requires="x15">
      <x15ac:absPath xmlns:x15ac="http://schemas.microsoft.com/office/spreadsheetml/2010/11/ac" url="C:\Users\TSR\Desktop\matlab_March_2020\updated Model\TEA_Model V3_0_01 - Uncertainty analysis paper\Direct Process\"/>
    </mc:Choice>
  </mc:AlternateContent>
  <xr:revisionPtr revIDLastSave="0" documentId="13_ncr:1_{4B43C76E-5F95-42B7-AB8F-ED975D9FAFC0}" xr6:coauthVersionLast="47" xr6:coauthVersionMax="47" xr10:uidLastSave="{00000000-0000-0000-0000-000000000000}"/>
  <bookViews>
    <workbookView xWindow="-120" yWindow="-120" windowWidth="25440" windowHeight="15390" tabRatio="710" activeTab="1" xr2:uid="{00000000-000D-0000-FFFF-FFFF00000000}"/>
  </bookViews>
  <sheets>
    <sheet name="Assumptions" sheetId="24" r:id="rId1"/>
    <sheet name="SA" sheetId="61" r:id="rId2"/>
    <sheet name="Comp_processes" sheetId="60" r:id="rId3"/>
    <sheet name="Matlab_input" sheetId="22" r:id="rId4"/>
    <sheet name="Gerdemann et al." sheetId="16" r:id="rId5"/>
    <sheet name="Sanna et al. " sheetId="17" r:id="rId6"/>
    <sheet name="Nazmul Hassan et.al., Romeo, " sheetId="57" r:id="rId7"/>
    <sheet name="Kim et al." sheetId="2" r:id="rId8"/>
    <sheet name="Timmerhaus 1991" sheetId="21" r:id="rId9"/>
    <sheet name="CHEPCI &amp; Location factors" sheetId="23" r:id="rId10"/>
    <sheet name="Opex CemCap" sheetId="58" r:id="rId11"/>
    <sheet name="Capex-Cemcap" sheetId="59" r:id="rId12"/>
    <sheet name="Capex-Sinott et al." sheetId="26" r:id="rId13"/>
    <sheet name="VDI-Wärmeatlas" sheetId="56" r:id="rId14"/>
    <sheet name="Input Hesam" sheetId="34" r:id="rId15"/>
    <sheet name="Felder et al. &amp; NIST" sheetId="27" r:id="rId16"/>
    <sheet name="ETS" sheetId="28" r:id="rId17"/>
  </sheets>
  <definedNames>
    <definedName name="C_1" localSheetId="8">'Timmerhaus 1991'!$M$3:$N$52</definedName>
    <definedName name="Cone_crushers_purchased_cost" localSheetId="8">'Timmerhaus 1991'!$A$24:$B$45</definedName>
    <definedName name="Default_Dataset__1" localSheetId="4">'Gerdemann et al.'!$A$3:$B$31</definedName>
    <definedName name="Default_Dataset__1" localSheetId="8">'Timmerhaus 1991'!$K$3:$L$60</definedName>
    <definedName name="Default_Dataset__1__1" localSheetId="4">'Gerdemann et al.'!$A$35:$B$35</definedName>
    <definedName name="Default_Dataset__1__2" localSheetId="4">'Gerdemann et al.'!$A$81:$B$81</definedName>
    <definedName name="Default_Dataset__2" localSheetId="4">'Gerdemann et al.'!$A$36:$B$69</definedName>
    <definedName name="Default_Dataset__2__1" localSheetId="4">'Gerdemann et al.'!$A$82:$B$115</definedName>
    <definedName name="Default_Dataset__3" localSheetId="4">'Gerdemann et al.'!$A$72:$B$77</definedName>
    <definedName name="jaw_crushers_purchased_cost_timmerhaus" localSheetId="8">'Timmerhaus 1991'!$A$3:$B$20</definedName>
    <definedName name="purchased_cost_ball_mill___tonnes_per_day_timmerhaus" localSheetId="8">'Timmerhaus 1991'!$A$49:$B$76</definedName>
    <definedName name="viscosity_water" localSheetId="13">'VDI-Wärmeatlas'!$B$2:$L$14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3" i="61" l="1"/>
  <c r="R33" i="61"/>
  <c r="Q33" i="61"/>
  <c r="P33" i="61"/>
  <c r="O33" i="61"/>
  <c r="N33" i="61"/>
  <c r="M33" i="61"/>
  <c r="S32" i="61"/>
  <c r="R32" i="61"/>
  <c r="Q32" i="61"/>
  <c r="P32" i="61"/>
  <c r="O32" i="61"/>
  <c r="N32" i="61"/>
  <c r="M32" i="61"/>
  <c r="S31" i="61"/>
  <c r="R31" i="61"/>
  <c r="Q31" i="61"/>
  <c r="P31" i="61"/>
  <c r="O31" i="61"/>
  <c r="N31" i="61"/>
  <c r="M31" i="61"/>
  <c r="S30" i="61"/>
  <c r="R30" i="61"/>
  <c r="Q30" i="61"/>
  <c r="P30" i="61"/>
  <c r="O30" i="61"/>
  <c r="N30" i="61"/>
  <c r="M30" i="61"/>
  <c r="S29" i="61"/>
  <c r="R29" i="61"/>
  <c r="Q29" i="61"/>
  <c r="P29" i="61"/>
  <c r="O29" i="61"/>
  <c r="N29" i="61"/>
  <c r="M29" i="61"/>
  <c r="L29" i="61"/>
  <c r="L30" i="61" s="1"/>
  <c r="L31" i="61" s="1"/>
  <c r="L32" i="61" s="1"/>
  <c r="L33" i="61" s="1"/>
  <c r="L34" i="61" s="1"/>
  <c r="L35" i="61" s="1"/>
  <c r="L36" i="61" s="1"/>
  <c r="L37" i="61" s="1"/>
  <c r="L38" i="61" s="1"/>
  <c r="L39" i="61" s="1"/>
  <c r="L40" i="61" s="1"/>
  <c r="L41" i="61" s="1"/>
  <c r="L42" i="61" s="1"/>
  <c r="L43" i="61" s="1"/>
  <c r="L44" i="61" s="1"/>
  <c r="L45" i="61" s="1"/>
  <c r="L46" i="61" s="1"/>
  <c r="L47" i="61" s="1"/>
  <c r="L48" i="61" s="1"/>
  <c r="S28" i="61"/>
  <c r="R28" i="61"/>
  <c r="Q28" i="61"/>
  <c r="P28" i="61"/>
  <c r="O28" i="61"/>
  <c r="N28" i="61"/>
  <c r="M28" i="61"/>
  <c r="E39" i="61"/>
  <c r="D39" i="61"/>
  <c r="E37" i="61"/>
  <c r="D37" i="61"/>
  <c r="A46" i="61" l="1"/>
  <c r="A30" i="61"/>
  <c r="I29" i="61"/>
  <c r="I28" i="61"/>
  <c r="G67" i="24" l="1"/>
  <c r="G68" i="24" s="1"/>
  <c r="G69" i="24" s="1"/>
  <c r="G70" i="24" s="1"/>
  <c r="G71" i="24" s="1"/>
  <c r="G72" i="24" s="1"/>
  <c r="G73" i="24" s="1"/>
  <c r="G74" i="24" s="1"/>
  <c r="G75" i="24" s="1"/>
  <c r="G76" i="24" s="1"/>
  <c r="G77" i="24" s="1"/>
  <c r="G78" i="24" s="1"/>
  <c r="G79" i="24" s="1"/>
  <c r="G80" i="24" s="1"/>
  <c r="G81" i="24" s="1"/>
  <c r="G82" i="24" s="1"/>
  <c r="I82" i="24"/>
  <c r="J82" i="24" s="1"/>
  <c r="I69" i="24"/>
  <c r="K69" i="24" s="1"/>
  <c r="J70" i="24"/>
  <c r="I70" i="24"/>
  <c r="K70" i="24" s="1"/>
  <c r="I68" i="24"/>
  <c r="J68" i="24" s="1"/>
  <c r="J69" i="24" l="1"/>
  <c r="K68" i="24"/>
  <c r="K82" i="24"/>
  <c r="A29" i="61"/>
  <c r="A31" i="61" s="1"/>
  <c r="A32" i="61" s="1"/>
  <c r="A33" i="61" s="1"/>
  <c r="A34" i="61" s="1"/>
  <c r="A35" i="61" s="1"/>
  <c r="A36" i="61" s="1"/>
  <c r="A37" i="61" s="1"/>
  <c r="A38" i="61" s="1"/>
  <c r="A39" i="61" s="1"/>
  <c r="A40" i="61" s="1"/>
  <c r="A41" i="61" s="1"/>
  <c r="A42" i="61" s="1"/>
  <c r="A43" i="61" s="1"/>
  <c r="A44" i="61" s="1"/>
  <c r="A45" i="61" s="1"/>
  <c r="L4" i="61" l="1"/>
  <c r="L5" i="61" s="1"/>
  <c r="L6" i="61" s="1"/>
  <c r="L7" i="61" s="1"/>
  <c r="L8" i="61" s="1"/>
  <c r="L9" i="61" s="1"/>
  <c r="L10" i="61" s="1"/>
  <c r="L11" i="61" s="1"/>
  <c r="L12" i="61" s="1"/>
  <c r="L13" i="61" s="1"/>
  <c r="L14" i="61" s="1"/>
  <c r="L15" i="61" s="1"/>
  <c r="L16" i="61" s="1"/>
  <c r="L17" i="61" s="1"/>
  <c r="L18" i="61" s="1"/>
  <c r="L19" i="61" s="1"/>
  <c r="L20" i="61" s="1"/>
  <c r="L21" i="61" s="1"/>
  <c r="L22" i="61" s="1"/>
  <c r="L23" i="61" s="1"/>
  <c r="I4" i="61"/>
  <c r="I5" i="61"/>
  <c r="I3" i="61"/>
  <c r="A4" i="61"/>
  <c r="A5" i="61" s="1"/>
  <c r="A6" i="61" s="1"/>
  <c r="A7" i="61" s="1"/>
  <c r="A8" i="61" s="1"/>
  <c r="A9" i="61" s="1"/>
  <c r="A10" i="61" s="1"/>
  <c r="A11" i="61" s="1"/>
  <c r="A12" i="61" s="1"/>
  <c r="A13" i="61" s="1"/>
  <c r="A14" i="61" s="1"/>
  <c r="A15" i="61" s="1"/>
  <c r="A16" i="61" s="1"/>
  <c r="A17" i="61" s="1"/>
  <c r="A18" i="61" s="1"/>
  <c r="A19" i="61" s="1"/>
  <c r="A20" i="61" s="1"/>
  <c r="A21" i="61" s="1"/>
  <c r="A22" i="61" s="1"/>
  <c r="A23" i="61" s="1"/>
  <c r="A24" i="61" s="1"/>
  <c r="K75" i="24" l="1"/>
  <c r="C29" i="22" l="1"/>
  <c r="G39" i="24" l="1"/>
  <c r="H39" i="24" s="1"/>
  <c r="I65" i="24" l="1"/>
  <c r="K65" i="24" l="1"/>
  <c r="I78" i="24"/>
  <c r="I77" i="24"/>
  <c r="I74" i="24"/>
  <c r="I73" i="24"/>
  <c r="I72" i="24"/>
  <c r="I71" i="24"/>
  <c r="I64" i="24"/>
  <c r="I62" i="24"/>
  <c r="J72" i="24" l="1"/>
  <c r="J71" i="24"/>
  <c r="J73" i="24"/>
  <c r="K77" i="24"/>
  <c r="J78" i="24"/>
  <c r="K64" i="24"/>
  <c r="J77" i="24"/>
  <c r="K71" i="24"/>
  <c r="K78" i="24"/>
  <c r="K73" i="24"/>
  <c r="K72" i="24"/>
  <c r="J64" i="24"/>
  <c r="K85" i="24" l="1"/>
  <c r="K86" i="24"/>
  <c r="K62" i="24"/>
  <c r="J62" i="24"/>
  <c r="J85" i="24"/>
  <c r="J86" i="24"/>
  <c r="I66" i="24" l="1"/>
  <c r="K66" i="24" l="1"/>
  <c r="J66" i="24"/>
  <c r="B59" i="24"/>
  <c r="B93" i="24" l="1"/>
  <c r="E58" i="24"/>
  <c r="E57" i="24"/>
  <c r="E59" i="24" l="1"/>
  <c r="H52" i="24"/>
  <c r="I80" i="24" s="1"/>
  <c r="H51" i="24"/>
  <c r="H53" i="24"/>
  <c r="J80" i="24" l="1"/>
  <c r="K80" i="24"/>
  <c r="C52" i="22"/>
  <c r="B82" i="22" l="1"/>
  <c r="C82" i="22"/>
  <c r="B83" i="22"/>
  <c r="C83" i="22"/>
  <c r="B84" i="22"/>
  <c r="C84" i="22"/>
  <c r="B77" i="22"/>
  <c r="C77" i="22"/>
  <c r="B78" i="22"/>
  <c r="C78" i="22"/>
  <c r="B79" i="22"/>
  <c r="C79" i="22"/>
  <c r="B80" i="22"/>
  <c r="C80" i="22"/>
  <c r="B81" i="22"/>
  <c r="C81" i="22"/>
  <c r="B85" i="24"/>
  <c r="B84" i="24"/>
  <c r="E16" i="60" l="1"/>
  <c r="E24" i="60" s="1"/>
  <c r="D24" i="60"/>
  <c r="C24" i="60"/>
  <c r="A16" i="60"/>
  <c r="A19" i="60" s="1"/>
  <c r="A20" i="60" s="1"/>
  <c r="A17" i="60" s="1"/>
  <c r="A18" i="60" s="1"/>
  <c r="A21" i="60" s="1"/>
  <c r="A22" i="60" s="1"/>
  <c r="B70" i="22" l="1"/>
  <c r="C70" i="22"/>
  <c r="B71" i="22"/>
  <c r="C71" i="22"/>
  <c r="B72" i="22"/>
  <c r="C72" i="22"/>
  <c r="B73" i="22"/>
  <c r="C73" i="22"/>
  <c r="B74" i="22"/>
  <c r="C74" i="22"/>
  <c r="B75" i="22"/>
  <c r="C75" i="22"/>
  <c r="B76" i="22"/>
  <c r="C76" i="22"/>
  <c r="A3" i="60" l="1"/>
  <c r="A6" i="60" s="1"/>
  <c r="A7" i="60" s="1"/>
  <c r="A4" i="60" s="1"/>
  <c r="A5" i="60" s="1"/>
  <c r="A8" i="60" s="1"/>
  <c r="A9" i="60" s="1"/>
  <c r="I67" i="24" l="1"/>
  <c r="K67" i="24" l="1"/>
  <c r="J67" i="24"/>
  <c r="C51" i="22"/>
  <c r="C53" i="22"/>
  <c r="C54" i="22"/>
  <c r="C55" i="22"/>
  <c r="C56" i="22"/>
  <c r="C57" i="22"/>
  <c r="B51" i="22"/>
  <c r="B52" i="22"/>
  <c r="B53" i="22"/>
  <c r="B54" i="22"/>
  <c r="B55" i="22"/>
  <c r="B56" i="22"/>
  <c r="B57" i="22"/>
  <c r="B50" i="22"/>
  <c r="I63" i="24" l="1"/>
  <c r="J63" i="24" l="1"/>
  <c r="K63" i="24"/>
  <c r="AF4" i="22"/>
  <c r="AF3" i="22"/>
  <c r="K74" i="24" l="1"/>
  <c r="J74" i="24"/>
  <c r="I76" i="24"/>
  <c r="J65" i="24"/>
  <c r="I75" i="24"/>
  <c r="I61" i="24"/>
  <c r="G62" i="24"/>
  <c r="G63" i="24" s="1"/>
  <c r="G64" i="24" s="1"/>
  <c r="G65" i="24" s="1"/>
  <c r="G66" i="24" s="1"/>
  <c r="J61" i="24" l="1"/>
  <c r="J75" i="24"/>
  <c r="J76" i="24"/>
  <c r="K76" i="24"/>
  <c r="C65" i="22"/>
  <c r="G85" i="24" l="1"/>
  <c r="G86" i="24" s="1"/>
  <c r="C64" i="22"/>
  <c r="C66" i="22"/>
  <c r="C67" i="22"/>
  <c r="C68" i="22"/>
  <c r="C69" i="22"/>
  <c r="B64" i="22"/>
  <c r="B65" i="22"/>
  <c r="B66" i="22"/>
  <c r="B67" i="22"/>
  <c r="B68" i="22"/>
  <c r="B69" i="22"/>
  <c r="M36" i="22" l="1"/>
  <c r="L35" i="22"/>
  <c r="L36" i="22"/>
  <c r="R25" i="22"/>
  <c r="S20" i="22"/>
  <c r="T25" i="22"/>
  <c r="S25" i="22"/>
  <c r="N25" i="22"/>
  <c r="O25" i="22"/>
  <c r="P25" i="22"/>
  <c r="Q25" i="22"/>
  <c r="T24" i="22"/>
  <c r="S24" i="22"/>
  <c r="R24" i="22"/>
  <c r="N24" i="22"/>
  <c r="O24" i="22"/>
  <c r="P24" i="22"/>
  <c r="Q24" i="22"/>
  <c r="M25" i="22"/>
  <c r="L25" i="22"/>
  <c r="N23" i="22"/>
  <c r="O23" i="22"/>
  <c r="P23" i="22"/>
  <c r="Q23" i="22"/>
  <c r="R23" i="22"/>
  <c r="S23" i="22"/>
  <c r="T23" i="22"/>
  <c r="M24" i="22"/>
  <c r="L24" i="22"/>
  <c r="C61" i="22" l="1"/>
  <c r="C62" i="22"/>
  <c r="C58" i="22" l="1"/>
  <c r="C59" i="22"/>
  <c r="C60" i="22"/>
  <c r="C63" i="22"/>
  <c r="B58" i="22"/>
  <c r="B59" i="22"/>
  <c r="B60" i="22"/>
  <c r="B62" i="22"/>
  <c r="B63" i="22"/>
  <c r="G100" i="22"/>
  <c r="H100" i="22"/>
  <c r="G101" i="22"/>
  <c r="H101" i="22"/>
  <c r="G99" i="22"/>
  <c r="G102" i="22"/>
  <c r="G96" i="22"/>
  <c r="H96" i="22"/>
  <c r="G97" i="22"/>
  <c r="H97" i="22"/>
  <c r="G98" i="22"/>
  <c r="G103" i="22"/>
  <c r="H103" i="22"/>
  <c r="G104" i="22"/>
  <c r="H104" i="22"/>
  <c r="H95" i="22"/>
  <c r="G95" i="22"/>
  <c r="G6" i="58"/>
  <c r="H98" i="22" s="1"/>
  <c r="J28" i="24" l="1"/>
  <c r="M42" i="22" l="1"/>
  <c r="M41" i="22"/>
  <c r="L34" i="22"/>
  <c r="L42" i="22"/>
  <c r="M33" i="22" l="1"/>
  <c r="C49" i="22" l="1"/>
  <c r="C50" i="22"/>
  <c r="B48" i="22"/>
  <c r="B49" i="22"/>
  <c r="C48" i="22" l="1"/>
  <c r="R29" i="24" l="1"/>
  <c r="B10" i="17" l="1"/>
  <c r="B12" i="17"/>
  <c r="R28" i="24" l="1"/>
  <c r="B9" i="17"/>
  <c r="B8" i="17"/>
  <c r="B7" i="17"/>
  <c r="B15" i="17" l="1"/>
  <c r="P28" i="24" s="1"/>
  <c r="AD12" i="22"/>
  <c r="AD13" i="22"/>
  <c r="AD11" i="22"/>
  <c r="N15" i="22" l="1"/>
  <c r="M15" i="22"/>
  <c r="U15" i="22"/>
  <c r="S36" i="24" l="1"/>
  <c r="S35" i="24"/>
  <c r="R35" i="24"/>
  <c r="AI12" i="22" s="1"/>
  <c r="S30" i="24"/>
  <c r="S28" i="24"/>
  <c r="M8" i="57"/>
  <c r="R30" i="24" s="1"/>
  <c r="F17" i="57"/>
  <c r="R36" i="24" s="1"/>
  <c r="AI13" i="22" s="1"/>
  <c r="F18" i="57"/>
  <c r="C13" i="57"/>
  <c r="C9" i="57"/>
  <c r="C22" i="56" l="1"/>
  <c r="C43" i="22"/>
  <c r="C44" i="22"/>
  <c r="C45" i="22"/>
  <c r="C46" i="22"/>
  <c r="C47" i="22"/>
  <c r="N57" i="22" l="1"/>
  <c r="O57" i="22"/>
  <c r="P57" i="22"/>
  <c r="Q57" i="22"/>
  <c r="R57" i="22"/>
  <c r="S57" i="22"/>
  <c r="M57" i="22"/>
  <c r="L29" i="22" l="1"/>
  <c r="M29" i="22"/>
  <c r="N29" i="22"/>
  <c r="O29" i="22"/>
  <c r="P29" i="22"/>
  <c r="Q29" i="22"/>
  <c r="R29" i="22"/>
  <c r="S29" i="22"/>
  <c r="T29" i="22"/>
  <c r="L30" i="22"/>
  <c r="M30" i="22"/>
  <c r="N30" i="22"/>
  <c r="O30" i="22"/>
  <c r="P30" i="22"/>
  <c r="Q30" i="22"/>
  <c r="R30" i="22"/>
  <c r="S30" i="22"/>
  <c r="T30" i="22"/>
  <c r="R20" i="22"/>
  <c r="I81" i="24" l="1"/>
  <c r="K81" i="24" l="1"/>
  <c r="J81" i="24"/>
  <c r="K13" i="27"/>
  <c r="I21" i="24" l="1"/>
  <c r="K20" i="24"/>
  <c r="B36" i="24" l="1"/>
  <c r="B35" i="24"/>
  <c r="B34" i="24"/>
  <c r="M39" i="22" l="1"/>
  <c r="M40" i="22"/>
  <c r="L39" i="22"/>
  <c r="L40" i="22"/>
  <c r="L41" i="22"/>
  <c r="X43" i="22" l="1"/>
  <c r="Y43" i="22"/>
  <c r="Z43" i="22"/>
  <c r="AA43" i="22"/>
  <c r="AB43" i="22"/>
  <c r="Y42" i="22"/>
  <c r="X42" i="22"/>
  <c r="X10" i="22" l="1"/>
  <c r="AE11" i="22"/>
  <c r="AE10" i="22"/>
  <c r="I79" i="24" l="1"/>
  <c r="H21" i="24"/>
  <c r="K79" i="24" l="1"/>
  <c r="J79" i="24"/>
  <c r="AD5" i="22"/>
  <c r="L19" i="22"/>
  <c r="T19" i="22"/>
  <c r="S19" i="22"/>
  <c r="O19" i="22"/>
  <c r="N19" i="22"/>
  <c r="M19" i="22"/>
  <c r="T23" i="16"/>
  <c r="C3" i="22" l="1"/>
  <c r="N52" i="22" l="1"/>
  <c r="M52" i="22"/>
  <c r="L52" i="22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T18" i="22" l="1"/>
  <c r="S18" i="22"/>
  <c r="N18" i="22"/>
  <c r="O18" i="22"/>
  <c r="M18" i="22"/>
  <c r="L18" i="22"/>
  <c r="B14" i="22" l="1"/>
  <c r="C14" i="22"/>
  <c r="B10" i="22" l="1"/>
  <c r="F16" i="2"/>
  <c r="C37" i="22" l="1"/>
  <c r="B37" i="22"/>
  <c r="AE9" i="22" l="1"/>
  <c r="AE8" i="22"/>
  <c r="X8" i="22"/>
  <c r="X9" i="22"/>
  <c r="M14" i="22" l="1"/>
  <c r="N14" i="22"/>
  <c r="O14" i="22"/>
  <c r="S14" i="22"/>
  <c r="T14" i="22"/>
  <c r="Y11" i="22" l="1"/>
  <c r="Z11" i="22"/>
  <c r="H24" i="16" l="1"/>
  <c r="P43" i="22" l="1"/>
  <c r="M43" i="22" l="1"/>
  <c r="N43" i="22"/>
  <c r="O43" i="22"/>
  <c r="L43" i="22"/>
  <c r="AB3" i="22" l="1"/>
  <c r="H92" i="22" l="1"/>
  <c r="H91" i="22"/>
  <c r="B34" i="22" l="1"/>
  <c r="B35" i="22"/>
  <c r="B36" i="22"/>
  <c r="B38" i="22"/>
  <c r="B39" i="22"/>
  <c r="B40" i="22"/>
  <c r="B41" i="22"/>
  <c r="B42" i="22"/>
  <c r="B43" i="22"/>
  <c r="B44" i="22"/>
  <c r="B45" i="22"/>
  <c r="B46" i="22"/>
  <c r="B47" i="22"/>
  <c r="C34" i="22"/>
  <c r="C35" i="22"/>
  <c r="C36" i="22"/>
  <c r="C38" i="22"/>
  <c r="C39" i="22"/>
  <c r="C40" i="22"/>
  <c r="C41" i="22"/>
  <c r="C42" i="22"/>
  <c r="T16" i="22"/>
  <c r="T17" i="22"/>
  <c r="S17" i="22"/>
  <c r="S16" i="22"/>
  <c r="M17" i="22"/>
  <c r="N17" i="22"/>
  <c r="N16" i="22"/>
  <c r="M16" i="22"/>
  <c r="L17" i="22"/>
  <c r="L16" i="22"/>
  <c r="H93" i="22" l="1"/>
  <c r="X11" i="22" l="1"/>
  <c r="AA14" i="22" l="1"/>
  <c r="AA16" i="22"/>
  <c r="AA17" i="22"/>
  <c r="AA18" i="22"/>
  <c r="AA19" i="22"/>
  <c r="AA20" i="22"/>
  <c r="AA21" i="22"/>
  <c r="AA22" i="22"/>
  <c r="AA23" i="22"/>
  <c r="AA24" i="22"/>
  <c r="AA25" i="22"/>
  <c r="AA26" i="22"/>
  <c r="AA27" i="22"/>
  <c r="AA13" i="22"/>
  <c r="C15" i="2"/>
  <c r="I2" i="2"/>
  <c r="X29" i="22"/>
  <c r="Y32" i="22"/>
  <c r="Y33" i="22"/>
  <c r="Y34" i="22"/>
  <c r="Y35" i="22"/>
  <c r="Y36" i="22"/>
  <c r="Y37" i="22"/>
  <c r="Y38" i="22"/>
  <c r="Y39" i="22"/>
  <c r="Y40" i="22"/>
  <c r="Y41" i="22"/>
  <c r="X30" i="22"/>
  <c r="Y30" i="22"/>
  <c r="X31" i="22"/>
  <c r="Y31" i="22"/>
  <c r="X32" i="22"/>
  <c r="X33" i="22"/>
  <c r="X34" i="22"/>
  <c r="X35" i="22"/>
  <c r="X36" i="22"/>
  <c r="X37" i="22"/>
  <c r="X38" i="22"/>
  <c r="X39" i="22"/>
  <c r="X40" i="22"/>
  <c r="X41" i="22"/>
  <c r="Y29" i="22"/>
  <c r="X14" i="22"/>
  <c r="Y14" i="22"/>
  <c r="X15" i="22"/>
  <c r="X16" i="22"/>
  <c r="Y16" i="22"/>
  <c r="X17" i="22"/>
  <c r="Y17" i="22"/>
  <c r="X18" i="22"/>
  <c r="Y18" i="22"/>
  <c r="X19" i="22"/>
  <c r="Y19" i="22"/>
  <c r="X20" i="22"/>
  <c r="Y20" i="22"/>
  <c r="X21" i="22"/>
  <c r="Y21" i="22"/>
  <c r="X22" i="22"/>
  <c r="Y22" i="22"/>
  <c r="X23" i="22"/>
  <c r="Y23" i="22"/>
  <c r="X24" i="22"/>
  <c r="Y24" i="22"/>
  <c r="X25" i="22"/>
  <c r="Y25" i="22"/>
  <c r="X26" i="22"/>
  <c r="Y26" i="22"/>
  <c r="X27" i="22"/>
  <c r="Y27" i="22"/>
  <c r="Y13" i="22"/>
  <c r="X13" i="22"/>
  <c r="Y15" i="22" l="1"/>
  <c r="A3" i="28"/>
  <c r="A4" i="28" s="1"/>
  <c r="A5" i="28" s="1"/>
  <c r="A6" i="28" s="1"/>
  <c r="A7" i="28" s="1"/>
  <c r="A8" i="28" s="1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38" i="28" s="1"/>
  <c r="A39" i="28" s="1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50" i="28" s="1"/>
  <c r="A51" i="28" s="1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2" i="28" s="1"/>
  <c r="A63" i="28" s="1"/>
  <c r="A64" i="28" s="1"/>
  <c r="A65" i="28" s="1"/>
  <c r="A66" i="28" s="1"/>
  <c r="A67" i="28" s="1"/>
  <c r="A68" i="28" s="1"/>
  <c r="A69" i="28" s="1"/>
  <c r="A70" i="28" s="1"/>
  <c r="A71" i="28" s="1"/>
  <c r="A72" i="28" s="1"/>
  <c r="A73" i="28" s="1"/>
  <c r="A74" i="28" s="1"/>
  <c r="A75" i="28" s="1"/>
  <c r="A76" i="28" s="1"/>
  <c r="A77" i="28" s="1"/>
  <c r="A78" i="28" s="1"/>
  <c r="A79" i="28" s="1"/>
  <c r="A80" i="28" s="1"/>
  <c r="A81" i="28" s="1"/>
  <c r="A82" i="28" s="1"/>
  <c r="A83" i="28" s="1"/>
  <c r="A84" i="28" s="1"/>
  <c r="A85" i="28" s="1"/>
  <c r="A86" i="28" s="1"/>
  <c r="A87" i="28" s="1"/>
  <c r="A88" i="28" s="1"/>
  <c r="A89" i="28" s="1"/>
  <c r="A90" i="28" s="1"/>
  <c r="A91" i="28" s="1"/>
  <c r="A92" i="28" s="1"/>
  <c r="A93" i="28" s="1"/>
  <c r="A94" i="28" s="1"/>
  <c r="A95" i="28" s="1"/>
  <c r="A96" i="28" s="1"/>
  <c r="A97" i="28" s="1"/>
  <c r="A98" i="28" s="1"/>
  <c r="A99" i="28" s="1"/>
  <c r="A100" i="28" s="1"/>
  <c r="A101" i="28" s="1"/>
  <c r="A102" i="28" s="1"/>
  <c r="A103" i="28" s="1"/>
  <c r="A104" i="28" s="1"/>
  <c r="A105" i="28" s="1"/>
  <c r="A106" i="28" s="1"/>
  <c r="A107" i="28" s="1"/>
  <c r="A108" i="28" s="1"/>
  <c r="A109" i="28" s="1"/>
  <c r="A110" i="28" s="1"/>
  <c r="A111" i="28" s="1"/>
  <c r="A112" i="28" s="1"/>
  <c r="A113" i="28" s="1"/>
  <c r="A114" i="28" s="1"/>
  <c r="A115" i="28" s="1"/>
  <c r="A116" i="28" s="1"/>
  <c r="A117" i="28" s="1"/>
  <c r="A118" i="28" s="1"/>
  <c r="A119" i="28" s="1"/>
  <c r="A120" i="28" s="1"/>
  <c r="A121" i="28" s="1"/>
  <c r="A122" i="28" s="1"/>
  <c r="A123" i="28" s="1"/>
  <c r="A124" i="28" s="1"/>
  <c r="A125" i="28" s="1"/>
  <c r="A126" i="28" s="1"/>
  <c r="A127" i="28" s="1"/>
  <c r="A128" i="28" s="1"/>
  <c r="A129" i="28" s="1"/>
  <c r="A130" i="28" s="1"/>
  <c r="A131" i="28" s="1"/>
  <c r="A132" i="28" s="1"/>
  <c r="A133" i="28" s="1"/>
  <c r="A134" i="28" s="1"/>
  <c r="A135" i="28" s="1"/>
  <c r="A136" i="28" s="1"/>
  <c r="A137" i="28" s="1"/>
  <c r="A138" i="28" s="1"/>
  <c r="A139" i="28" s="1"/>
  <c r="A140" i="28" s="1"/>
  <c r="A141" i="28" s="1"/>
  <c r="A142" i="28" s="1"/>
  <c r="A143" i="28" s="1"/>
  <c r="A144" i="28" s="1"/>
  <c r="A145" i="28" s="1"/>
  <c r="A146" i="28" s="1"/>
  <c r="A147" i="28" s="1"/>
  <c r="A148" i="28" s="1"/>
  <c r="A149" i="28" s="1"/>
  <c r="A150" i="28" s="1"/>
  <c r="A151" i="28" s="1"/>
  <c r="A152" i="28" s="1"/>
  <c r="A153" i="28" s="1"/>
  <c r="A154" i="28" s="1"/>
  <c r="A155" i="28" s="1"/>
  <c r="A156" i="28" s="1"/>
  <c r="A157" i="28" s="1"/>
  <c r="A158" i="28" s="1"/>
  <c r="A159" i="28" s="1"/>
  <c r="A160" i="28" s="1"/>
  <c r="A161" i="28" s="1"/>
  <c r="A162" i="28" s="1"/>
  <c r="A163" i="28" s="1"/>
  <c r="A164" i="28" s="1"/>
  <c r="A165" i="28" s="1"/>
  <c r="A166" i="28" s="1"/>
  <c r="A167" i="28" s="1"/>
  <c r="A168" i="28" s="1"/>
  <c r="A169" i="28" s="1"/>
  <c r="A170" i="28" s="1"/>
  <c r="A171" i="28" s="1"/>
  <c r="A172" i="28" s="1"/>
  <c r="A173" i="28" s="1"/>
  <c r="A174" i="28" s="1"/>
  <c r="A175" i="28" s="1"/>
  <c r="A176" i="28" s="1"/>
  <c r="A177" i="28" s="1"/>
  <c r="A178" i="28" s="1"/>
  <c r="A179" i="28" s="1"/>
  <c r="A180" i="28" s="1"/>
  <c r="A181" i="28" s="1"/>
  <c r="A182" i="28" s="1"/>
  <c r="A183" i="28" s="1"/>
  <c r="A184" i="28" s="1"/>
  <c r="A185" i="28" s="1"/>
  <c r="A186" i="28" s="1"/>
  <c r="A187" i="28" s="1"/>
  <c r="A188" i="28" s="1"/>
  <c r="A189" i="28" s="1"/>
  <c r="A190" i="28" s="1"/>
  <c r="A191" i="28" s="1"/>
  <c r="A192" i="28" s="1"/>
  <c r="A193" i="28" s="1"/>
  <c r="A194" i="28" s="1"/>
  <c r="A195" i="28" s="1"/>
  <c r="A196" i="28" s="1"/>
  <c r="A197" i="28" s="1"/>
  <c r="A198" i="28" s="1"/>
  <c r="A199" i="28" s="1"/>
  <c r="A200" i="28" s="1"/>
  <c r="A201" i="28" s="1"/>
  <c r="A202" i="28" s="1"/>
  <c r="A203" i="28" s="1"/>
  <c r="A204" i="28" s="1"/>
  <c r="H4" i="28"/>
  <c r="AA15" i="22" s="1"/>
  <c r="C33" i="22" l="1"/>
  <c r="B33" i="22"/>
  <c r="Q2" i="2" l="1"/>
  <c r="Q3" i="2"/>
  <c r="C17" i="2"/>
  <c r="C22" i="2" s="1"/>
  <c r="C16" i="2"/>
  <c r="C21" i="2" s="1"/>
  <c r="I15" i="2"/>
  <c r="C13" i="2"/>
  <c r="C9" i="2"/>
  <c r="I6" i="2" l="1"/>
  <c r="I9" i="2" s="1"/>
  <c r="I17" i="2"/>
  <c r="I13" i="2"/>
  <c r="I16" i="2"/>
  <c r="C20" i="2"/>
  <c r="I14" i="2" l="1"/>
  <c r="I12" i="2" s="1"/>
  <c r="I19" i="2" s="1"/>
  <c r="I20" i="2" s="1"/>
  <c r="C32" i="22"/>
  <c r="B32" i="22"/>
  <c r="Y6" i="22" l="1"/>
  <c r="AA6" i="22"/>
  <c r="AC6" i="22"/>
  <c r="AG6" i="22"/>
  <c r="AI6" i="22"/>
  <c r="Y7" i="22"/>
  <c r="AA7" i="22"/>
  <c r="AC7" i="22"/>
  <c r="AG7" i="22"/>
  <c r="AI7" i="22"/>
  <c r="AA5" i="22"/>
  <c r="AG5" i="22"/>
  <c r="AI5" i="22"/>
  <c r="Y5" i="22"/>
  <c r="X6" i="22"/>
  <c r="X7" i="22"/>
  <c r="X5" i="22"/>
  <c r="C27" i="22"/>
  <c r="B27" i="22"/>
  <c r="AC5" i="22"/>
  <c r="Z3" i="22" l="1"/>
  <c r="Y3" i="22" l="1"/>
  <c r="AA3" i="22"/>
  <c r="AC3" i="22"/>
  <c r="AD3" i="22"/>
  <c r="AE3" i="22"/>
  <c r="AG3" i="22"/>
  <c r="AH3" i="22"/>
  <c r="AI3" i="22"/>
  <c r="AJ3" i="22"/>
  <c r="Y4" i="22" l="1"/>
  <c r="Z4" i="22"/>
  <c r="AA4" i="22"/>
  <c r="AB4" i="22"/>
  <c r="AC4" i="22"/>
  <c r="AD4" i="22"/>
  <c r="AE4" i="22"/>
  <c r="AG4" i="22"/>
  <c r="AH4" i="22"/>
  <c r="AI4" i="22"/>
  <c r="AJ4" i="22"/>
  <c r="X4" i="22"/>
  <c r="X3" i="22"/>
  <c r="M28" i="22" l="1"/>
  <c r="N28" i="22"/>
  <c r="O28" i="22"/>
  <c r="P28" i="22"/>
  <c r="Q28" i="22"/>
  <c r="R28" i="22"/>
  <c r="S28" i="22"/>
  <c r="T28" i="22"/>
  <c r="M32" i="22" l="1"/>
  <c r="M34" i="22"/>
  <c r="M37" i="22"/>
  <c r="M38" i="22"/>
  <c r="M31" i="22"/>
  <c r="L32" i="22"/>
  <c r="L33" i="22"/>
  <c r="L37" i="22"/>
  <c r="L38" i="22"/>
  <c r="L31" i="22"/>
  <c r="R21" i="22"/>
  <c r="R22" i="22"/>
  <c r="R26" i="22"/>
  <c r="R27" i="22"/>
  <c r="Q21" i="22"/>
  <c r="Q22" i="22"/>
  <c r="Q26" i="22"/>
  <c r="Q27" i="22"/>
  <c r="P21" i="22"/>
  <c r="P22" i="22"/>
  <c r="P26" i="22"/>
  <c r="P27" i="22"/>
  <c r="O21" i="22"/>
  <c r="O22" i="22"/>
  <c r="O26" i="22"/>
  <c r="O27" i="22"/>
  <c r="N21" i="22"/>
  <c r="N22" i="22"/>
  <c r="N26" i="22"/>
  <c r="N27" i="22"/>
  <c r="S21" i="22"/>
  <c r="T21" i="22"/>
  <c r="S22" i="22"/>
  <c r="T22" i="22"/>
  <c r="S26" i="22"/>
  <c r="T26" i="22"/>
  <c r="S27" i="22"/>
  <c r="T27" i="22"/>
  <c r="T20" i="22"/>
  <c r="N20" i="22"/>
  <c r="O20" i="22"/>
  <c r="P20" i="22"/>
  <c r="Q20" i="22"/>
  <c r="M21" i="22"/>
  <c r="M22" i="22"/>
  <c r="M23" i="22"/>
  <c r="M26" i="22"/>
  <c r="M27" i="22"/>
  <c r="M20" i="22"/>
  <c r="L28" i="22"/>
  <c r="L21" i="22"/>
  <c r="L22" i="22"/>
  <c r="L23" i="22"/>
  <c r="L26" i="22"/>
  <c r="L27" i="22"/>
  <c r="L20" i="22"/>
  <c r="C28" i="22" l="1"/>
  <c r="C30" i="22"/>
  <c r="C31" i="22"/>
  <c r="B28" i="22"/>
  <c r="B29" i="22"/>
  <c r="B30" i="22"/>
  <c r="B31" i="22"/>
  <c r="K9" i="27" l="1"/>
  <c r="M35" i="22" s="1"/>
  <c r="C17" i="22" l="1"/>
  <c r="C25" i="22"/>
  <c r="B24" i="22"/>
  <c r="B25" i="22"/>
  <c r="B26" i="22"/>
  <c r="C26" i="22"/>
  <c r="C13" i="22" l="1"/>
  <c r="S12" i="22"/>
  <c r="T12" i="22"/>
  <c r="S13" i="22"/>
  <c r="T13" i="22"/>
  <c r="T11" i="22"/>
  <c r="S11" i="22"/>
  <c r="M12" i="22"/>
  <c r="N12" i="22"/>
  <c r="O12" i="22"/>
  <c r="M13" i="22"/>
  <c r="N13" i="22"/>
  <c r="O13" i="22"/>
  <c r="N11" i="22"/>
  <c r="O11" i="22"/>
  <c r="M11" i="22"/>
  <c r="L12" i="22"/>
  <c r="L13" i="22"/>
  <c r="L14" i="22"/>
  <c r="L11" i="22"/>
  <c r="M7" i="22" l="1"/>
  <c r="B22" i="22"/>
  <c r="B23" i="22"/>
  <c r="Q9" i="22"/>
  <c r="Q10" i="22"/>
  <c r="P10" i="22"/>
  <c r="O10" i="22"/>
  <c r="N10" i="22"/>
  <c r="M10" i="22"/>
  <c r="P9" i="22"/>
  <c r="O9" i="22"/>
  <c r="N9" i="22"/>
  <c r="M9" i="22"/>
  <c r="N7" i="22" l="1"/>
  <c r="O7" i="22"/>
  <c r="P7" i="22"/>
  <c r="Q7" i="22"/>
  <c r="M8" i="22"/>
  <c r="N8" i="22"/>
  <c r="O8" i="22"/>
  <c r="P8" i="22"/>
  <c r="Q8" i="22"/>
  <c r="N6" i="22"/>
  <c r="O6" i="22"/>
  <c r="P6" i="22"/>
  <c r="Q6" i="22"/>
  <c r="M6" i="22"/>
  <c r="F4" i="22"/>
  <c r="F5" i="22"/>
  <c r="F6" i="22"/>
  <c r="F8" i="22"/>
  <c r="F10" i="22"/>
  <c r="F13" i="22"/>
  <c r="F14" i="22"/>
  <c r="F15" i="22"/>
  <c r="F17" i="22"/>
  <c r="F18" i="22"/>
  <c r="F21" i="22"/>
  <c r="F22" i="22"/>
  <c r="F23" i="22"/>
  <c r="F24" i="22"/>
  <c r="C20" i="22"/>
  <c r="C21" i="22"/>
  <c r="C22" i="22"/>
  <c r="C23" i="22"/>
  <c r="C24" i="22"/>
  <c r="C19" i="22"/>
  <c r="C18" i="22" l="1"/>
  <c r="B17" i="22"/>
  <c r="B18" i="22"/>
  <c r="B19" i="22"/>
  <c r="B20" i="22"/>
  <c r="B21" i="22"/>
  <c r="C11" i="22"/>
  <c r="C12" i="22"/>
  <c r="C15" i="22"/>
  <c r="C16" i="22"/>
  <c r="B11" i="22"/>
  <c r="B12" i="22"/>
  <c r="B13" i="22"/>
  <c r="B15" i="22"/>
  <c r="B16" i="22"/>
  <c r="G81" i="22" l="1"/>
  <c r="G82" i="22"/>
  <c r="G83" i="22"/>
  <c r="G84" i="22"/>
  <c r="G85" i="22"/>
  <c r="G86" i="22"/>
  <c r="G87" i="22"/>
  <c r="G88" i="22"/>
  <c r="G89" i="22"/>
  <c r="G90" i="22"/>
  <c r="G80" i="22"/>
  <c r="H90" i="22"/>
  <c r="H81" i="22"/>
  <c r="H82" i="22"/>
  <c r="H83" i="22"/>
  <c r="H84" i="22"/>
  <c r="H85" i="22"/>
  <c r="H86" i="22"/>
  <c r="H87" i="22"/>
  <c r="H88" i="22"/>
  <c r="H89" i="22"/>
  <c r="H80" i="22"/>
  <c r="T5" i="22" l="1"/>
  <c r="S5" i="22"/>
  <c r="T4" i="22" l="1"/>
  <c r="S4" i="22"/>
  <c r="N5" i="22" l="1"/>
  <c r="M5" i="22"/>
  <c r="Q4" i="22"/>
  <c r="P4" i="22"/>
  <c r="N4" i="22"/>
  <c r="O4" i="22"/>
  <c r="N3" i="22"/>
  <c r="O3" i="22"/>
  <c r="F3" i="22" l="1"/>
  <c r="T3" i="22"/>
  <c r="S3" i="22"/>
  <c r="M4" i="22"/>
  <c r="M3" i="22"/>
  <c r="A4" i="22"/>
  <c r="A5" i="22" s="1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21" i="22" s="1"/>
  <c r="A122" i="22" s="1"/>
  <c r="A123" i="22" s="1"/>
  <c r="A124" i="22" s="1"/>
  <c r="A125" i="22" s="1"/>
  <c r="A126" i="22" s="1"/>
  <c r="A127" i="22" s="1"/>
  <c r="A128" i="22" s="1"/>
  <c r="A129" i="22" s="1"/>
  <c r="A130" i="22" s="1"/>
  <c r="A131" i="22" s="1"/>
  <c r="A132" i="22" s="1"/>
  <c r="B3" i="22"/>
  <c r="B4" i="22"/>
  <c r="B5" i="22"/>
  <c r="B6" i="22"/>
  <c r="B7" i="22"/>
  <c r="B8" i="22"/>
  <c r="B9" i="22"/>
  <c r="C4" i="22"/>
  <c r="C5" i="22"/>
  <c r="C6" i="22"/>
  <c r="C7" i="22"/>
  <c r="C8" i="22"/>
  <c r="C9" i="22"/>
  <c r="C10" i="22"/>
  <c r="J59" i="22"/>
  <c r="I3" i="22"/>
  <c r="H4" i="22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3" i="22"/>
  <c r="E61" i="23"/>
  <c r="E62" i="23" s="1"/>
  <c r="C61" i="23"/>
  <c r="H60" i="22" s="1"/>
  <c r="C62" i="23"/>
  <c r="H61" i="22" s="1"/>
  <c r="C63" i="23"/>
  <c r="H62" i="22" s="1"/>
  <c r="C64" i="23"/>
  <c r="H63" i="22" s="1"/>
  <c r="C65" i="23"/>
  <c r="H64" i="22" s="1"/>
  <c r="C66" i="23"/>
  <c r="H65" i="22" s="1"/>
  <c r="C67" i="23"/>
  <c r="H66" i="22" s="1"/>
  <c r="C68" i="23"/>
  <c r="H67" i="22" s="1"/>
  <c r="C69" i="23"/>
  <c r="H68" i="22" s="1"/>
  <c r="C70" i="23"/>
  <c r="H69" i="22" s="1"/>
  <c r="C71" i="23"/>
  <c r="H70" i="22" s="1"/>
  <c r="C72" i="23"/>
  <c r="H71" i="22" s="1"/>
  <c r="C73" i="23"/>
  <c r="H72" i="22" s="1"/>
  <c r="C74" i="23"/>
  <c r="H73" i="22" s="1"/>
  <c r="C75" i="23"/>
  <c r="H74" i="22" s="1"/>
  <c r="C76" i="23"/>
  <c r="H75" i="22" s="1"/>
  <c r="C77" i="23"/>
  <c r="H76" i="22" s="1"/>
  <c r="C78" i="23"/>
  <c r="H77" i="22" s="1"/>
  <c r="C79" i="23"/>
  <c r="H78" i="22" s="1"/>
  <c r="C80" i="23"/>
  <c r="H79" i="22" s="1"/>
  <c r="C60" i="23"/>
  <c r="H59" i="22" s="1"/>
  <c r="E63" i="23" l="1"/>
  <c r="J61" i="22"/>
  <c r="J60" i="22"/>
  <c r="A3" i="23"/>
  <c r="A4" i="23" l="1"/>
  <c r="I4" i="22"/>
  <c r="E64" i="23"/>
  <c r="J62" i="22"/>
  <c r="P28" i="16"/>
  <c r="P27" i="16"/>
  <c r="P26" i="16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92" i="16"/>
  <c r="B91" i="16"/>
  <c r="B90" i="16"/>
  <c r="B89" i="16"/>
  <c r="B88" i="16"/>
  <c r="B87" i="16"/>
  <c r="B86" i="16"/>
  <c r="B85" i="16"/>
  <c r="B84" i="16"/>
  <c r="B83" i="16"/>
  <c r="B82" i="16"/>
  <c r="F3" i="16" a="1"/>
  <c r="F3" i="16" s="1"/>
  <c r="E65" i="23" l="1"/>
  <c r="J63" i="22"/>
  <c r="A5" i="23"/>
  <c r="I5" i="22"/>
  <c r="F81" i="16" a="1"/>
  <c r="F81" i="16" s="1"/>
  <c r="H81" i="16" a="1"/>
  <c r="H81" i="16" s="1"/>
  <c r="G3" i="16"/>
  <c r="A6" i="23" l="1"/>
  <c r="I6" i="22"/>
  <c r="E66" i="23"/>
  <c r="J64" i="22"/>
  <c r="G81" i="16"/>
  <c r="I81" i="16"/>
  <c r="E67" i="23" l="1"/>
  <c r="J65" i="22"/>
  <c r="A7" i="23"/>
  <c r="I7" i="22"/>
  <c r="A8" i="23" l="1"/>
  <c r="I8" i="22"/>
  <c r="E68" i="23"/>
  <c r="J66" i="22"/>
  <c r="E69" i="23" l="1"/>
  <c r="J67" i="22"/>
  <c r="A9" i="23"/>
  <c r="I9" i="22"/>
  <c r="A10" i="23" l="1"/>
  <c r="I10" i="22"/>
  <c r="E70" i="23"/>
  <c r="J68" i="22"/>
  <c r="E71" i="23" l="1"/>
  <c r="J69" i="22"/>
  <c r="A11" i="23"/>
  <c r="I11" i="22"/>
  <c r="A12" i="23" l="1"/>
  <c r="I12" i="22"/>
  <c r="E72" i="23"/>
  <c r="J70" i="22"/>
  <c r="E73" i="23" l="1"/>
  <c r="J71" i="22"/>
  <c r="A13" i="23"/>
  <c r="I13" i="22"/>
  <c r="A14" i="23" l="1"/>
  <c r="I14" i="22"/>
  <c r="E74" i="23"/>
  <c r="J72" i="22"/>
  <c r="E75" i="23" l="1"/>
  <c r="J73" i="22"/>
  <c r="A15" i="23"/>
  <c r="I15" i="22"/>
  <c r="A16" i="23" l="1"/>
  <c r="I16" i="22"/>
  <c r="E76" i="23"/>
  <c r="J74" i="22"/>
  <c r="E77" i="23" l="1"/>
  <c r="J75" i="22"/>
  <c r="A17" i="23"/>
  <c r="I17" i="22"/>
  <c r="E78" i="23" l="1"/>
  <c r="J76" i="22"/>
  <c r="A18" i="23"/>
  <c r="I18" i="22"/>
  <c r="A19" i="23" l="1"/>
  <c r="I19" i="22"/>
  <c r="E79" i="23"/>
  <c r="J77" i="22"/>
  <c r="J78" i="22" l="1"/>
  <c r="E80" i="23"/>
  <c r="J79" i="22" s="1"/>
  <c r="A20" i="23"/>
  <c r="I20" i="22"/>
  <c r="A21" i="23" l="1"/>
  <c r="I21" i="22"/>
  <c r="A22" i="23" l="1"/>
  <c r="I22" i="22"/>
  <c r="A23" i="23" l="1"/>
  <c r="I23" i="22"/>
  <c r="A24" i="23" l="1"/>
  <c r="I24" i="22"/>
  <c r="A25" i="23" l="1"/>
  <c r="I25" i="22"/>
  <c r="A26" i="23" l="1"/>
  <c r="I26" i="22"/>
  <c r="A27" i="23" l="1"/>
  <c r="I27" i="22"/>
  <c r="A28" i="23" l="1"/>
  <c r="I28" i="22"/>
  <c r="A29" i="23" l="1"/>
  <c r="I29" i="22"/>
  <c r="A30" i="23" l="1"/>
  <c r="I30" i="22"/>
  <c r="A31" i="23" l="1"/>
  <c r="I31" i="22"/>
  <c r="A32" i="23" l="1"/>
  <c r="I32" i="22"/>
  <c r="A33" i="23" l="1"/>
  <c r="I33" i="22"/>
  <c r="A34" i="23" l="1"/>
  <c r="I34" i="22"/>
  <c r="A35" i="23" l="1"/>
  <c r="I35" i="22"/>
  <c r="A36" i="23" l="1"/>
  <c r="I36" i="22"/>
  <c r="A37" i="23" l="1"/>
  <c r="I37" i="22"/>
  <c r="A38" i="23" l="1"/>
  <c r="I38" i="22"/>
  <c r="A39" i="23" l="1"/>
  <c r="I39" i="22"/>
  <c r="A40" i="23" l="1"/>
  <c r="I40" i="22"/>
  <c r="A41" i="23" l="1"/>
  <c r="I41" i="22"/>
  <c r="A42" i="23" l="1"/>
  <c r="I42" i="22"/>
  <c r="A43" i="23" l="1"/>
  <c r="I43" i="22"/>
  <c r="A44" i="23" l="1"/>
  <c r="I44" i="22"/>
  <c r="A45" i="23" l="1"/>
  <c r="I45" i="22"/>
  <c r="A46" i="23" l="1"/>
  <c r="I46" i="22"/>
  <c r="A47" i="23" l="1"/>
  <c r="I47" i="22"/>
  <c r="A48" i="23" l="1"/>
  <c r="I48" i="22"/>
  <c r="A49" i="23" l="1"/>
  <c r="I49" i="22"/>
  <c r="A50" i="23" l="1"/>
  <c r="I50" i="22"/>
  <c r="A51" i="23" l="1"/>
  <c r="I51" i="22"/>
  <c r="A52" i="23" l="1"/>
  <c r="I52" i="22"/>
  <c r="A53" i="23" l="1"/>
  <c r="I53" i="22"/>
  <c r="A54" i="23" l="1"/>
  <c r="I54" i="22"/>
  <c r="A55" i="23" l="1"/>
  <c r="I55" i="22"/>
  <c r="A56" i="23" l="1"/>
  <c r="I56" i="22"/>
  <c r="A57" i="23" l="1"/>
  <c r="I58" i="22" s="1"/>
  <c r="I57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1" type="6" refreshedVersion="4" background="1" saveData="1">
    <textPr codePage="850" sourceFile="C:\Users\TSR\Downloads\C.csv" decimal="," thousands="." semicolon="1">
      <textFields count="2">
        <textField/>
        <textField/>
      </textFields>
    </textPr>
  </connection>
  <connection id="2" xr16:uid="{00000000-0015-0000-FFFF-FFFF01000000}" name="Cone_crushers_purchased_cost" type="6" refreshedVersion="4" background="1" saveData="1">
    <textPr codePage="437" sourceFile="U:\CO2min\Matlab\Source\Cone_crushers_purchased_cost.csv" decimal="," thousands="." semicolon="1">
      <textFields count="2">
        <textField/>
        <textField/>
      </textFields>
    </textPr>
  </connection>
  <connection id="3" xr16:uid="{00000000-0015-0000-FFFF-FFFF02000000}" name="Default Dataset (1)" type="6" refreshedVersion="4" background="1" saveData="1">
    <textPr codePage="850" sourceFile="C:\Users\TSR\Downloads\Default Dataset (1).csv" decimal="," thousands="." tab="0" semicolon="1">
      <textFields count="2">
        <textField/>
        <textField/>
      </textFields>
    </textPr>
  </connection>
  <connection id="4" xr16:uid="{00000000-0015-0000-FFFF-FFFF03000000}" name="Default Dataset (1)1" type="6" refreshedVersion="4" background="1" saveData="1">
    <textPr codePage="850" sourceFile="C:\Users\TSR\Downloads\Default Dataset (1).csv" decimal="," thousands="." tab="0" semicolon="1">
      <textFields count="2">
        <textField/>
        <textField/>
      </textFields>
    </textPr>
  </connection>
  <connection id="5" xr16:uid="{00000000-0015-0000-FFFF-FFFF04000000}" name="Default Dataset (1)11" type="6" refreshedVersion="4" background="1" saveData="1">
    <textPr codePage="850" sourceFile="C:\Users\TSR\Downloads\Default Dataset (1).csv" decimal="," thousands="." tab="0" semicolon="1">
      <textFields count="2">
        <textField/>
        <textField/>
      </textFields>
    </textPr>
  </connection>
  <connection id="6" xr16:uid="{00000000-0015-0000-FFFF-FFFF05000000}" name="Default Dataset (1)2" type="6" refreshedVersion="4" background="1" saveData="1">
    <textPr fileType="dos" sourceFile="C:\Users\TSR\Downloads\Default Dataset (1).csv" decimal="," thousands="." semicolon="1">
      <textFields count="2">
        <textField/>
        <textField/>
      </textFields>
    </textPr>
  </connection>
  <connection id="7" xr16:uid="{00000000-0015-0000-FFFF-FFFF06000000}" name="Default Dataset (2)" type="6" refreshedVersion="4" background="1" saveData="1">
    <textPr codePage="850" sourceFile="C:\Users\TSR\Downloads\Default Dataset (2).csv" decimal="," thousands="." semicolon="1">
      <textFields count="2">
        <textField/>
        <textField/>
      </textFields>
    </textPr>
  </connection>
  <connection id="8" xr16:uid="{00000000-0015-0000-FFFF-FFFF07000000}" name="Default Dataset (2)1" type="6" refreshedVersion="4" background="1" saveData="1">
    <textPr codePage="850" sourceFile="C:\Users\TSR\Downloads\Default Dataset (2).csv" decimal="," thousands="." semicolon="1">
      <textFields count="2">
        <textField/>
        <textField/>
      </textFields>
    </textPr>
  </connection>
  <connection id="9" xr16:uid="{00000000-0015-0000-FFFF-FFFF08000000}" name="Default Dataset (3)" type="6" refreshedVersion="4" background="1" saveData="1">
    <textPr codePage="850" sourceFile="C:\Users\TSR\Downloads\Default Dataset (3).csv" decimal="," thousands="." semicolon="1">
      <textFields count="2">
        <textField/>
        <textField/>
      </textFields>
    </textPr>
  </connection>
  <connection id="10" xr16:uid="{00000000-0015-0000-FFFF-FFFF09000000}" name="jaw_crushers-purchased_cost_timmerhaus" type="6" refreshedVersion="4" background="1" saveData="1">
    <textPr codePage="437" sourceFile="U:\CO2min\Matlab\Source\jaw_crushers-purchased_cost_timmerhaus.csv" decimal="," thousands="." semicolon="1">
      <textFields count="2">
        <textField/>
        <textField/>
      </textFields>
    </textPr>
  </connection>
  <connection id="11" xr16:uid="{00000000-0015-0000-FFFF-FFFF0A000000}" name="purchased cost ball mill _ tonnes per day_timmerhaus" type="6" refreshedVersion="4" background="1" saveData="1">
    <textPr codePage="437" sourceFile="U:\CO2min\Matlab\Source\purchased cost ball mill _ tonnes per day_timmerhaus.csv" decimal="," thousands="." semicolon="1">
      <textFields count="2">
        <textField/>
        <textField/>
      </textFields>
    </textPr>
  </connection>
  <connection id="12" xr16:uid="{00000000-0015-0000-FFFF-FFFF0B000000}" name="viscosity_water" type="6" refreshedVersion="4" background="1" saveData="1">
    <textPr codePage="850" sourceFile="C:\Users\TSR\Desktop\pictures_literature\viscosity_water.txt" decimal="," thousands=".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<sst xmlns="http://schemas.openxmlformats.org/spreadsheetml/2006/main" count="1380" uniqueCount="860">
  <si>
    <t>Capacity</t>
  </si>
  <si>
    <t>Year</t>
  </si>
  <si>
    <t>Country</t>
  </si>
  <si>
    <t>Capex (TPI)</t>
  </si>
  <si>
    <t>Anualized CAPEX</t>
  </si>
  <si>
    <t>Opex</t>
  </si>
  <si>
    <t>Assumptions/ transformation factors</t>
  </si>
  <si>
    <t>Chemical plant Index 1988 Composite</t>
  </si>
  <si>
    <t>CePCI equipment 1988</t>
  </si>
  <si>
    <t>CePCI construction labor 1988</t>
  </si>
  <si>
    <t>Cepci overall 2013</t>
  </si>
  <si>
    <t>CEPCI overall 2017</t>
  </si>
  <si>
    <t>CEPCI overall 2010</t>
  </si>
  <si>
    <t>CEPCI overall 2012</t>
  </si>
  <si>
    <t xml:space="preserve"> Location factor USA gulf coast 2003</t>
  </si>
  <si>
    <t xml:space="preserve"> Location factor France 2003</t>
  </si>
  <si>
    <t>Location factor Germany 2003</t>
  </si>
  <si>
    <t xml:space="preserve">Assumed scaling factor </t>
  </si>
  <si>
    <t>exchange rate Dollar/€</t>
  </si>
  <si>
    <t>density CO2</t>
  </si>
  <si>
    <t>density CO</t>
  </si>
  <si>
    <r>
      <t>location factor</t>
    </r>
    <r>
      <rPr>
        <sz val="12"/>
        <color rgb="FFFF0000"/>
        <rFont val="Calibri (Body)"/>
      </rPr>
      <t xml:space="preserve"> JAPAN </t>
    </r>
    <r>
      <rPr>
        <sz val="12"/>
        <color theme="1"/>
        <rFont val="Calibri"/>
        <family val="2"/>
        <scheme val="minor"/>
      </rPr>
      <t>2003</t>
    </r>
  </si>
  <si>
    <t>cooling water</t>
  </si>
  <si>
    <t>Value</t>
  </si>
  <si>
    <t>Unit</t>
  </si>
  <si>
    <t>Reference</t>
  </si>
  <si>
    <r>
      <t xml:space="preserve">W. M. Vatavuk, </t>
    </r>
    <r>
      <rPr>
        <i/>
        <sz val="12"/>
        <color theme="1"/>
        <rFont val="Calibri"/>
        <family val="2"/>
        <scheme val="minor"/>
      </rPr>
      <t>Chem. Eng.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2002</t>
    </r>
    <r>
      <rPr>
        <sz val="12"/>
        <color theme="1"/>
        <rFont val="Calibri"/>
        <family val="2"/>
        <scheme val="minor"/>
      </rPr>
      <t>, 62–70.</t>
    </r>
  </si>
  <si>
    <r>
      <t xml:space="preserve">“CEPCI Updates: January 2018 (prelim.) and December 2017 (final) - Chemical Engineering | Page 1,” can be found under http://www.chemengonline.com/cepci-updates-january-2018-prelim-and-december-2017-final/, </t>
    </r>
    <r>
      <rPr>
        <b/>
        <sz val="12"/>
        <color theme="1"/>
        <rFont val="Calibri"/>
        <family val="2"/>
        <scheme val="minor"/>
      </rPr>
      <t>n.d.</t>
    </r>
  </si>
  <si>
    <r>
      <t xml:space="preserve">“Economic Indicators: CEPCI - Chemical Engineering,” can be found under http://www.chemengonline.com/economic-indicators-cepci/?printmode=1, </t>
    </r>
    <r>
      <rPr>
        <b/>
        <sz val="12"/>
        <color rgb="FF000000"/>
        <rFont val="Calibri"/>
        <family val="2"/>
        <scheme val="minor"/>
      </rPr>
      <t>n.d.</t>
    </r>
  </si>
  <si>
    <r>
      <t xml:space="preserve">G. Towler, R. K. Sinnott, </t>
    </r>
    <r>
      <rPr>
        <i/>
        <sz val="12"/>
        <color theme="1"/>
        <rFont val="Calibri"/>
        <family val="2"/>
        <scheme val="minor"/>
      </rPr>
      <t>Chemical Engineering Design: Principles, Practice and Economics of Plant and Process Design</t>
    </r>
    <r>
      <rPr>
        <sz val="12"/>
        <color theme="1"/>
        <rFont val="Calibri"/>
        <family val="2"/>
        <scheme val="minor"/>
      </rPr>
      <t xml:space="preserve">, Elsevier, </t>
    </r>
    <r>
      <rPr>
        <b/>
        <sz val="12"/>
        <color theme="1"/>
        <rFont val="Calibri"/>
        <family val="2"/>
        <scheme val="minor"/>
      </rPr>
      <t>2012</t>
    </r>
    <r>
      <rPr>
        <sz val="12"/>
        <color theme="1"/>
        <rFont val="Calibri"/>
        <family val="2"/>
        <scheme val="minor"/>
      </rPr>
      <t>.</t>
    </r>
  </si>
  <si>
    <r>
      <t xml:space="preserve">G. Haarlemmer, G. Boissonnet, E. Peduzzi, P. A. Setier, </t>
    </r>
    <r>
      <rPr>
        <i/>
        <sz val="12"/>
        <color theme="1"/>
        <rFont val="Calibri"/>
        <family val="2"/>
        <scheme val="minor"/>
      </rPr>
      <t>Energy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2014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66</t>
    </r>
    <r>
      <rPr>
        <sz val="12"/>
        <color theme="1"/>
        <rFont val="Calibri"/>
        <family val="2"/>
        <scheme val="minor"/>
      </rPr>
      <t>, 667–676.</t>
    </r>
  </si>
  <si>
    <t>$/€</t>
  </si>
  <si>
    <r>
      <t xml:space="preserve">“XE: (USD/EUR) US-Dollar zu Eurozone Kurs,” can be found under https://www.xe.com/de/currencyconverter/convert/?Amount=1&amp;From=USD&amp;To=EUR, </t>
    </r>
    <r>
      <rPr>
        <b/>
        <sz val="12"/>
        <color theme="1"/>
        <rFont val="Calibri"/>
        <family val="2"/>
        <scheme val="minor"/>
      </rPr>
      <t>n.d.</t>
    </r>
  </si>
  <si>
    <t>kg/Nm3</t>
  </si>
  <si>
    <r>
      <t xml:space="preserve">“Gases - Density,” can be found under https://www.engineeringtoolbox.com/gas-density-d_158.html, </t>
    </r>
    <r>
      <rPr>
        <b/>
        <sz val="12"/>
        <color theme="1"/>
        <rFont val="Calibri"/>
        <family val="2"/>
        <scheme val="minor"/>
      </rPr>
      <t>n.d.</t>
    </r>
  </si>
  <si>
    <t>G. Towler, R. K. Sinnott, Chemical Engineering Design: Principles, Practice and Economics of Plant and Process Design, Elsevier, 2012.</t>
  </si>
  <si>
    <t>€/m3</t>
  </si>
  <si>
    <t>https://www.intratec.us/chemical-markets/cooling-water-price</t>
  </si>
  <si>
    <t xml:space="preserve">item </t>
  </si>
  <si>
    <t>Price</t>
  </si>
  <si>
    <t>working hours of plant</t>
  </si>
  <si>
    <t>h/a</t>
  </si>
  <si>
    <r>
      <t xml:space="preserve">Y.-I. Lim, J. Choi, H.-M. Moon, G.-H. Kim, </t>
    </r>
    <r>
      <rPr>
        <i/>
        <sz val="12"/>
        <color theme="1"/>
        <rFont val="Calibri"/>
        <family val="2"/>
        <scheme val="minor"/>
      </rPr>
      <t>Korean Chem. Eng. Res.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2016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54</t>
    </r>
    <r>
      <rPr>
        <sz val="12"/>
        <color theme="1"/>
        <rFont val="Calibri"/>
        <family val="2"/>
        <scheme val="minor"/>
      </rPr>
      <t>, 320–331.</t>
    </r>
  </si>
  <si>
    <t>Million $</t>
  </si>
  <si>
    <r>
      <t>Cost (€</t>
    </r>
    <r>
      <rPr>
        <b/>
        <vertAlign val="subscript"/>
        <sz val="11"/>
        <color rgb="FF3F3F3F"/>
        <rFont val="Calibri (Body)"/>
      </rPr>
      <t>2017</t>
    </r>
    <r>
      <rPr>
        <b/>
        <sz val="11"/>
        <color rgb="FF3F3F3F"/>
        <rFont val="Calibri"/>
        <family val="2"/>
        <scheme val="minor"/>
      </rPr>
      <t>)</t>
    </r>
  </si>
  <si>
    <t>Lifetime of plant</t>
  </si>
  <si>
    <t>years</t>
  </si>
  <si>
    <t xml:space="preserve">Desired interest rate </t>
  </si>
  <si>
    <t>Million $/ year</t>
  </si>
  <si>
    <t>http://www.chemengonline.com/economic-indicators-cepci/?printmode=1</t>
  </si>
  <si>
    <t>France</t>
  </si>
  <si>
    <t>Million €</t>
  </si>
  <si>
    <t>Million € / year</t>
  </si>
  <si>
    <t>Electricity</t>
  </si>
  <si>
    <t>Million $/year</t>
  </si>
  <si>
    <t>MWh /year</t>
  </si>
  <si>
    <t>m3/year</t>
  </si>
  <si>
    <r>
      <t xml:space="preserve">PwC, </t>
    </r>
    <r>
      <rPr>
        <b/>
        <sz val="12"/>
        <color theme="1"/>
        <rFont val="Calibri"/>
        <family val="2"/>
        <scheme val="minor"/>
      </rPr>
      <t>2016</t>
    </r>
    <r>
      <rPr>
        <sz val="12"/>
        <color theme="1"/>
        <rFont val="Calibri"/>
        <family val="2"/>
        <scheme val="minor"/>
      </rPr>
      <t>.</t>
    </r>
  </si>
  <si>
    <t>Million € /year</t>
  </si>
  <si>
    <t>Fixed</t>
  </si>
  <si>
    <t>Variable</t>
  </si>
  <si>
    <t>Total Cost of Capture</t>
  </si>
  <si>
    <t>€ / tonne</t>
  </si>
  <si>
    <t>ktonne CO2 captured @ 15000 kPA</t>
  </si>
  <si>
    <t>USA</t>
  </si>
  <si>
    <t>Low pressure steam</t>
  </si>
  <si>
    <t>"Fuel production from CO2 using solar-thermal energy: system level analysis
Kim J Johnson T Miller J Stechel E Maravelias C"</t>
  </si>
  <si>
    <t>CO2 capture (Amin Scrupping)</t>
  </si>
  <si>
    <t>others</t>
  </si>
  <si>
    <r>
      <t xml:space="preserve">A. Boulamanti, J. A. Moya, </t>
    </r>
    <r>
      <rPr>
        <b/>
        <sz val="12"/>
        <color theme="1"/>
        <rFont val="Calibri"/>
        <family val="2"/>
        <scheme val="minor"/>
      </rPr>
      <t>2016</t>
    </r>
    <r>
      <rPr>
        <sz val="12"/>
        <color theme="1"/>
        <rFont val="Calibri"/>
        <family val="2"/>
        <scheme val="minor"/>
      </rPr>
      <t>, DOI 10.1016/j.rser.2016.02.021.</t>
    </r>
  </si>
  <si>
    <t>€/Mwh Steam</t>
  </si>
  <si>
    <t>CePCI used</t>
  </si>
  <si>
    <t>Location Factor used:</t>
  </si>
  <si>
    <t>Cepci used</t>
  </si>
  <si>
    <t>Total Capture Cost per tonne CO2</t>
  </si>
  <si>
    <t>vol%</t>
  </si>
  <si>
    <t>Conten in BFG</t>
  </si>
  <si>
    <t>Content of CO2 in Reference</t>
  </si>
  <si>
    <t>Reaction Time</t>
  </si>
  <si>
    <t>Extraction at 185 °C and 150 atm CO2 in NaCl NaHCO3 solution</t>
  </si>
  <si>
    <t>Extent of reaction in % for Olivine (&lt;75µm)</t>
  </si>
  <si>
    <t>Y= aln(X)+b</t>
  </si>
  <si>
    <t>a</t>
  </si>
  <si>
    <t>b</t>
  </si>
  <si>
    <t>Rx/RxMax</t>
  </si>
  <si>
    <t>Temp</t>
  </si>
  <si>
    <t>Y= aX+b for X&lt;=100</t>
  </si>
  <si>
    <t>Y= aX+b for X[100;250]</t>
  </si>
  <si>
    <t>Rx/RxMax Wollastonite(angepasst)</t>
  </si>
  <si>
    <t>Rx/RxMax Wollastonite (roh)</t>
  </si>
  <si>
    <t xml:space="preserve">Rx/RxMax Olivine </t>
  </si>
  <si>
    <t>c</t>
  </si>
  <si>
    <t>Y=aX²-bX+c for X[75;175]</t>
  </si>
  <si>
    <t>olivine</t>
  </si>
  <si>
    <t>wollastonite</t>
  </si>
  <si>
    <t xml:space="preserve">HAT serpenine </t>
  </si>
  <si>
    <t>T [°C]</t>
  </si>
  <si>
    <t>P[atm]</t>
  </si>
  <si>
    <t>Carrier solution</t>
  </si>
  <si>
    <t>optimum carbonation condiditons (technical point of view)</t>
  </si>
  <si>
    <t>0.64 M NaHCO3, 1 M NaCl</t>
  </si>
  <si>
    <t>distilled water</t>
  </si>
  <si>
    <t xml:space="preserve">Used condiditons/ assumptions for reaction (economic assessment) </t>
  </si>
  <si>
    <t xml:space="preserve">mining </t>
  </si>
  <si>
    <t>open pit (process products are redeposited in pit)</t>
  </si>
  <si>
    <t>olivine grinding</t>
  </si>
  <si>
    <t>conversion</t>
  </si>
  <si>
    <t>recycling</t>
  </si>
  <si>
    <t>CO2 transportation</t>
  </si>
  <si>
    <t>pipeline</t>
  </si>
  <si>
    <t>carbonation conditions</t>
  </si>
  <si>
    <t>residence time</t>
  </si>
  <si>
    <t>T</t>
  </si>
  <si>
    <t>P</t>
  </si>
  <si>
    <t xml:space="preserve">solids (vol% ?) </t>
  </si>
  <si>
    <t>carrier solution</t>
  </si>
  <si>
    <t>%</t>
  </si>
  <si>
    <t>µm</t>
  </si>
  <si>
    <t>% of unreacted olivine from products separated at 20µm and recycled</t>
  </si>
  <si>
    <t>h</t>
  </si>
  <si>
    <t>°C</t>
  </si>
  <si>
    <t>atm</t>
  </si>
  <si>
    <t>SMD mill</t>
  </si>
  <si>
    <t>75µm (ball mill)</t>
  </si>
  <si>
    <t>38µm (ball mill)</t>
  </si>
  <si>
    <t>kWh/ton</t>
  </si>
  <si>
    <t>Energy requirement (grinding)</t>
  </si>
  <si>
    <t>Total Plant</t>
  </si>
  <si>
    <t>??</t>
  </si>
  <si>
    <t>particle diameter</t>
  </si>
  <si>
    <t>&lt;37µm</t>
  </si>
  <si>
    <t>T min[°C]</t>
  </si>
  <si>
    <t>T max[°C]</t>
  </si>
  <si>
    <t>Pmin[bar]</t>
  </si>
  <si>
    <t>Pmax[bar]</t>
  </si>
  <si>
    <t>Rco2min</t>
  </si>
  <si>
    <t>Rco2max</t>
  </si>
  <si>
    <t>Reaction time min</t>
  </si>
  <si>
    <t>Reation time max</t>
  </si>
  <si>
    <t>reference</t>
  </si>
  <si>
    <t>Assumptions</t>
  </si>
  <si>
    <t xml:space="preserve">value </t>
  </si>
  <si>
    <t>unit</t>
  </si>
  <si>
    <t>capacity of plant</t>
  </si>
  <si>
    <t>g/mol</t>
  </si>
  <si>
    <t>CO2 in flue gas from cement production</t>
  </si>
  <si>
    <t>% (w/w)</t>
  </si>
  <si>
    <t>Adina Bosoaga et al: 14-35%</t>
  </si>
  <si>
    <t>Operation hours</t>
  </si>
  <si>
    <t>Exchange rate $ in €</t>
  </si>
  <si>
    <t>Purchased cost Jaw crushers</t>
  </si>
  <si>
    <t>Capacity in tonnes/h</t>
  </si>
  <si>
    <t>Purchased cost Cone crushers</t>
  </si>
  <si>
    <t>Capacity in tonnes/ day</t>
  </si>
  <si>
    <t>Purchased cost ball mill</t>
  </si>
  <si>
    <t>Y= ax²+bx+c</t>
  </si>
  <si>
    <t>d</t>
  </si>
  <si>
    <t>e</t>
  </si>
  <si>
    <t>Y= ax^4+bx^3+cx^2+dx+e</t>
  </si>
  <si>
    <t>Y=ax^b</t>
  </si>
  <si>
    <t xml:space="preserve">Year </t>
  </si>
  <si>
    <t>CHEPCI (Composite CE index)</t>
  </si>
  <si>
    <t>http://webdelprofesor.ula.ve/ingenieria/leonardo/MatApoyo/EvalProyectos/CEPCI%201950_2006.xls</t>
  </si>
  <si>
    <t>http://folk.ntnu.no/magnehi/cepci_2011_py.pdf</t>
  </si>
  <si>
    <t>http://tekim.undip.ac.id/v1/wp-content/uploads/CEPCI_2008_2015.pdf</t>
  </si>
  <si>
    <t>https://www.chemengonline.com/cepci-updates-january-2018-prelim-and-december-2017-final/?printmode=1</t>
  </si>
  <si>
    <r>
      <t xml:space="preserve">“Economic Indicators: CEPCI - Chemical Engineering,” can be found under http://www.chemengonline.com/economic-indicators-cepci/?printmode=1, </t>
    </r>
    <r>
      <rPr>
        <b/>
        <i/>
        <sz val="12"/>
        <color rgb="FF000000"/>
        <rFont val="Calibri"/>
        <family val="2"/>
        <scheme val="minor"/>
      </rPr>
      <t>n.d.</t>
    </r>
  </si>
  <si>
    <r>
      <t xml:space="preserve">W. M. Vatavuk, Chem. Eng. </t>
    </r>
    <r>
      <rPr>
        <b/>
        <i/>
        <sz val="12"/>
        <color theme="1"/>
        <rFont val="Calibri"/>
        <family val="2"/>
        <scheme val="minor"/>
      </rPr>
      <t>2002</t>
    </r>
    <r>
      <rPr>
        <i/>
        <sz val="12"/>
        <color theme="1"/>
        <rFont val="Calibri"/>
        <family val="2"/>
        <scheme val="minor"/>
      </rPr>
      <t>, 62–70.</t>
    </r>
  </si>
  <si>
    <r>
      <t xml:space="preserve">“CEPCI Updates: January 2018 (prelim.) and December 2017 (final) - Chemical Engineering | Page 1,” can be found under http://www.chemengonline.com/cepci-updates-january-2018-prelim-and-december-2017-final/, </t>
    </r>
    <r>
      <rPr>
        <b/>
        <i/>
        <sz val="12"/>
        <color theme="1"/>
        <rFont val="Calibri"/>
        <family val="2"/>
        <scheme val="minor"/>
      </rPr>
      <t>n.d.</t>
    </r>
  </si>
  <si>
    <t>UK</t>
  </si>
  <si>
    <t>GER</t>
  </si>
  <si>
    <t>Italy</t>
  </si>
  <si>
    <t>Netherlands</t>
  </si>
  <si>
    <t>Russia</t>
  </si>
  <si>
    <t>India</t>
  </si>
  <si>
    <t>Middle east</t>
  </si>
  <si>
    <t xml:space="preserve">China (imported) </t>
  </si>
  <si>
    <t xml:space="preserve">China (indingenous) </t>
  </si>
  <si>
    <t>Japan</t>
  </si>
  <si>
    <t>SE Asia</t>
  </si>
  <si>
    <t>Australia</t>
  </si>
  <si>
    <t>US Gulf coast</t>
  </si>
  <si>
    <t>US East coast</t>
  </si>
  <si>
    <t>US West Coast</t>
  </si>
  <si>
    <t>US Midwest</t>
  </si>
  <si>
    <t>Canada Ontario</t>
  </si>
  <si>
    <t>Canada Fort McMurray</t>
  </si>
  <si>
    <t>Mexico</t>
  </si>
  <si>
    <t>Brazil</t>
  </si>
  <si>
    <t>Location factor (2003)</t>
  </si>
  <si>
    <t>Location factor (2017)</t>
  </si>
  <si>
    <t>exchange rate USD / EUR in 2008</t>
  </si>
  <si>
    <t>exchange rate USD / EUR in 2017</t>
  </si>
  <si>
    <t>https://www.xe.com/currencytables/?from=USD&amp;date=2003-12-01</t>
  </si>
  <si>
    <t>Sinnot Towler et al.</t>
  </si>
  <si>
    <t>Update CHEPCI Document(Matlab/sources)</t>
  </si>
  <si>
    <t xml:space="preserve">Description </t>
  </si>
  <si>
    <t xml:space="preserve">
attribute 1 (year) </t>
  </si>
  <si>
    <t xml:space="preserve">
attribute 2 (location) </t>
  </si>
  <si>
    <t>Country value for matlab</t>
  </si>
  <si>
    <t>CEPCI</t>
  </si>
  <si>
    <t>LF</t>
  </si>
  <si>
    <t>Y=1 for X[176;195]</t>
  </si>
  <si>
    <t>Y=aX²-bX+c for X[195;225]</t>
  </si>
  <si>
    <t>Nr</t>
  </si>
  <si>
    <t>FC Jaw crusher</t>
  </si>
  <si>
    <t>FC Cone crusher</t>
  </si>
  <si>
    <t xml:space="preserve">FC Ball mill </t>
  </si>
  <si>
    <t>1Value a</t>
  </si>
  <si>
    <t>2Value b</t>
  </si>
  <si>
    <t>3Value c</t>
  </si>
  <si>
    <t>4Value d</t>
  </si>
  <si>
    <t>5Value e</t>
  </si>
  <si>
    <t>7
attribute 1 min</t>
  </si>
  <si>
    <t>Location (GER = 3)</t>
  </si>
  <si>
    <t>Lang factor</t>
  </si>
  <si>
    <t>Factor type</t>
  </si>
  <si>
    <t>Description</t>
  </si>
  <si>
    <t>Hand factor</t>
  </si>
  <si>
    <t>Compressor</t>
  </si>
  <si>
    <t>Distillation Columns</t>
  </si>
  <si>
    <t>Fired heaters</t>
  </si>
  <si>
    <t>Instruments</t>
  </si>
  <si>
    <t>Heat exchangers</t>
  </si>
  <si>
    <t>Solid processing plants</t>
  </si>
  <si>
    <t>Fluid processing plant</t>
  </si>
  <si>
    <t>Mixed fluid-solids processing plant</t>
  </si>
  <si>
    <t>Miscellaneous Equipment</t>
  </si>
  <si>
    <t>pressure Vessels</t>
  </si>
  <si>
    <t>Pumps</t>
  </si>
  <si>
    <t>Lang Factors</t>
  </si>
  <si>
    <t>Hand Factors</t>
  </si>
  <si>
    <t>Design of pressure Vessels</t>
  </si>
  <si>
    <t>Minimum wall thickness</t>
  </si>
  <si>
    <t>Vessel diamter (m) smaller than…</t>
  </si>
  <si>
    <t>Joint factor J</t>
  </si>
  <si>
    <t>degree of radiography</t>
  </si>
  <si>
    <t>spot</t>
  </si>
  <si>
    <t>none</t>
  </si>
  <si>
    <t xml:space="preserve">Double-welded </t>
  </si>
  <si>
    <t>single weld</t>
  </si>
  <si>
    <t>Corrosion allowance</t>
  </si>
  <si>
    <t>Minimum Wall thickness [mm]</t>
  </si>
  <si>
    <t>min (no sever corrosion) [mm]</t>
  </si>
  <si>
    <t>max [mm]</t>
  </si>
  <si>
    <t>Design stress factor</t>
  </si>
  <si>
    <t>Carbon steel</t>
  </si>
  <si>
    <t>stainless steel</t>
  </si>
  <si>
    <t>non-ferrous metals</t>
  </si>
  <si>
    <t xml:space="preserve">min yield </t>
  </si>
  <si>
    <t>minimum tensile strength</t>
  </si>
  <si>
    <t xml:space="preserve">mean stress </t>
  </si>
  <si>
    <t>density of water</t>
  </si>
  <si>
    <t>retention time</t>
  </si>
  <si>
    <t>Temperature in °F</t>
  </si>
  <si>
    <t>Maximal allowable Stresss under ASME in [ksi]</t>
  </si>
  <si>
    <t xml:space="preserve">Stainless steel </t>
  </si>
  <si>
    <t xml:space="preserve">joint efficiency </t>
  </si>
  <si>
    <t xml:space="preserve">
Value/ attribute 1 (year) </t>
  </si>
  <si>
    <t>securty factor on pressure</t>
  </si>
  <si>
    <t>Sinnot</t>
  </si>
  <si>
    <t xml:space="preserve">reaction temp </t>
  </si>
  <si>
    <t>ASME maximal allowable stress in Pa, SS</t>
  </si>
  <si>
    <t>ASME maximal allowable stress in Pa, CS</t>
  </si>
  <si>
    <t>ASME maximal allowable stress temp in °C</t>
  </si>
  <si>
    <t>material of reactor</t>
  </si>
  <si>
    <t>Choose (0 for CS and 1 for SS)</t>
  </si>
  <si>
    <t>minimum wall thickness d in m</t>
  </si>
  <si>
    <t>minimum wall thickness tw in mm</t>
  </si>
  <si>
    <t xml:space="preserve">density of steel </t>
  </si>
  <si>
    <t>kg/m3</t>
  </si>
  <si>
    <t>Cost function for different Unit operations</t>
  </si>
  <si>
    <t>Unit for size</t>
  </si>
  <si>
    <t>Shell mass</t>
  </si>
  <si>
    <t>S-low</t>
  </si>
  <si>
    <t>n</t>
  </si>
  <si>
    <t>volume, m3</t>
  </si>
  <si>
    <t>S-upper</t>
  </si>
  <si>
    <t>capacity, m3</t>
  </si>
  <si>
    <t>EC Vertical pressure vessel</t>
  </si>
  <si>
    <t>EC reactor agitated</t>
  </si>
  <si>
    <t>EC Tanks (floating roof)</t>
  </si>
  <si>
    <t>MgO content feed</t>
  </si>
  <si>
    <t>SiO2 content feed</t>
  </si>
  <si>
    <t>Fe2O3 content feed</t>
  </si>
  <si>
    <t>calculated as residual from MgO and SiO2 content</t>
  </si>
  <si>
    <t>MgO + CO2 =&gt; MgCO3</t>
  </si>
  <si>
    <t>cp coefficients</t>
  </si>
  <si>
    <t>DelH_f (kJ/mol) @25 °C &amp; 1ATM</t>
  </si>
  <si>
    <t>Mol Wt.</t>
  </si>
  <si>
    <t>MgO</t>
  </si>
  <si>
    <t>CO2(g)</t>
  </si>
  <si>
    <t>NaCl</t>
  </si>
  <si>
    <t>H2O (l)</t>
  </si>
  <si>
    <t>MgCO3</t>
  </si>
  <si>
    <t>Reaction</t>
  </si>
  <si>
    <t>Reference parameters</t>
  </si>
  <si>
    <t>Reference Enthalpy of formation</t>
  </si>
  <si>
    <t>Shomate Equation</t>
  </si>
  <si>
    <t>Cp = a+b*T+c*T²+d*T³+e/T²</t>
  </si>
  <si>
    <t xml:space="preserve">Tmax [K] </t>
  </si>
  <si>
    <t>Tmin [K]</t>
  </si>
  <si>
    <t>NaCO3</t>
  </si>
  <si>
    <t>webbock.NIST.gov</t>
  </si>
  <si>
    <t>Felder - Elementary principles of chemical processes- Third Edition</t>
  </si>
  <si>
    <t xml:space="preserve">
8 attribute 2 max </t>
  </si>
  <si>
    <t>9 time_stamp</t>
  </si>
  <si>
    <t>10 Location</t>
  </si>
  <si>
    <t>6 Value f</t>
  </si>
  <si>
    <t>This rows display the shomate vaues,row R is filled with enthalpy of formation in kj/mol</t>
  </si>
  <si>
    <t>Standard Temp</t>
  </si>
  <si>
    <t>Yield reaction (MgO)</t>
  </si>
  <si>
    <t>Molecular weight MgO</t>
  </si>
  <si>
    <t>Mining</t>
  </si>
  <si>
    <t>Crushing</t>
  </si>
  <si>
    <t>Grinding</t>
  </si>
  <si>
    <t>Carbonation</t>
  </si>
  <si>
    <t>Separation</t>
  </si>
  <si>
    <t>Fe</t>
  </si>
  <si>
    <t>Kat</t>
  </si>
  <si>
    <t>Flue gas</t>
  </si>
  <si>
    <t>Olivine</t>
  </si>
  <si>
    <t>Molecular weights in g/mol</t>
  </si>
  <si>
    <t>SiO2</t>
  </si>
  <si>
    <t>CO2 capture</t>
  </si>
  <si>
    <t>density of grounded olivine</t>
  </si>
  <si>
    <t>NH3(g)</t>
  </si>
  <si>
    <t>1In</t>
  </si>
  <si>
    <t xml:space="preserve">2 Out </t>
  </si>
  <si>
    <t>3 In</t>
  </si>
  <si>
    <t xml:space="preserve">4 Out </t>
  </si>
  <si>
    <t>5 In</t>
  </si>
  <si>
    <t xml:space="preserve">6 Out </t>
  </si>
  <si>
    <t>7 In</t>
  </si>
  <si>
    <t xml:space="preserve">8 Out </t>
  </si>
  <si>
    <t>9 In</t>
  </si>
  <si>
    <t xml:space="preserve">10 Out </t>
  </si>
  <si>
    <t>11 In</t>
  </si>
  <si>
    <t xml:space="preserve">12 Out </t>
  </si>
  <si>
    <t>T in [°C]</t>
  </si>
  <si>
    <t>Assumed stream condiditons</t>
  </si>
  <si>
    <t>P in [bar]</t>
  </si>
  <si>
    <t>Lifetime of the plant</t>
  </si>
  <si>
    <t>Years</t>
  </si>
  <si>
    <t>Interest rate</t>
  </si>
  <si>
    <t>calculated in Matlab scribt</t>
  </si>
  <si>
    <t>Electricity [KWh/t]</t>
  </si>
  <si>
    <t>Gerdemann ref. 12</t>
  </si>
  <si>
    <t>Efficiency Capture</t>
  </si>
  <si>
    <t>Utility requirements</t>
  </si>
  <si>
    <t>Energy recovery from Reaction</t>
  </si>
  <si>
    <t>kWh/kWh</t>
  </si>
  <si>
    <t>€/MWh electricity France</t>
  </si>
  <si>
    <t>kWh/tonne CO2</t>
  </si>
  <si>
    <t>Capex CO2 capture</t>
  </si>
  <si>
    <t>G. Haarlemmer, G. Boissonnet, E. Peduzzi, P. A. Setier, Energy 2014, 66, 667–676.</t>
  </si>
  <si>
    <t>Scaling factor Capture plant</t>
  </si>
  <si>
    <t xml:space="preserve">price </t>
  </si>
  <si>
    <t>prices for Feedstock</t>
  </si>
  <si>
    <t>€/tonne</t>
  </si>
  <si>
    <t>DATE</t>
  </si>
  <si>
    <t>CLOSING PRICE</t>
  </si>
  <si>
    <t>OPEN</t>
  </si>
  <si>
    <t>12/17/2018</t>
  </si>
  <si>
    <t>12/13/2018</t>
  </si>
  <si>
    <t>11/29/2018</t>
  </si>
  <si>
    <t>11/27/2018</t>
  </si>
  <si>
    <t>11/26/2018</t>
  </si>
  <si>
    <t>11/22/2018</t>
  </si>
  <si>
    <t>11/21/2018</t>
  </si>
  <si>
    <t>11/20/2018</t>
  </si>
  <si>
    <t>11/19/2018</t>
  </si>
  <si>
    <t>11/15/2018</t>
  </si>
  <si>
    <t>11/13/2018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</si>
  <si>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</si>
  <si>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</si>
  <si>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</si>
  <si>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</si>
  <si>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</si>
  <si>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</si>
  <si>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</si>
  <si>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</si>
  <si>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</si>
  <si>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10/16/2018</t>
  </si>
  <si>
    <t>10/15/2018</t>
  </si>
  <si>
    <t>9/28/2018</t>
  </si>
  <si>
    <t>9/27/2018</t>
  </si>
  <si>
    <t>9/26/2018</t>
  </si>
  <si>
    <t>9/25/2018</t>
  </si>
  <si>
    <t>9/24/2018</t>
  </si>
  <si>
    <t>9/20/2018</t>
  </si>
  <si>
    <t>9/18/2018</t>
  </si>
  <si>
    <t>9/17/2018</t>
  </si>
  <si>
    <t>9/14/2018</t>
  </si>
  <si>
    <t>9/13/2018</t>
  </si>
  <si>
    <t>8/31/2018</t>
  </si>
  <si>
    <t>8/30/2018</t>
  </si>
  <si>
    <t>8/29/2018</t>
  </si>
  <si>
    <t>8/28/2018</t>
  </si>
  <si>
    <t>8/24/2018</t>
  </si>
  <si>
    <t>8/23/2018</t>
  </si>
  <si>
    <t>8/21/2018</t>
  </si>
  <si>
    <t>8/20/2018</t>
  </si>
  <si>
    <t>8/17/2018</t>
  </si>
  <si>
    <t>8/16/2018</t>
  </si>
  <si>
    <t>8/14/2018</t>
  </si>
  <si>
    <t>8/13/2018</t>
  </si>
  <si>
    <t>7/31/2018</t>
  </si>
  <si>
    <t>7/30/2018</t>
  </si>
  <si>
    <t>7/27/2018</t>
  </si>
  <si>
    <t>7/26/2018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</si>
  <si>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</si>
  <si>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</si>
  <si>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</si>
  <si>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</si>
  <si>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</si>
  <si>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</si>
  <si>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</si>
  <si>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</si>
  <si>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6/29/2018</t>
  </si>
  <si>
    <t>6/28/2018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</si>
  <si>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</si>
  <si>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</si>
  <si>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</si>
  <si>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</si>
  <si>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</si>
  <si>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</si>
  <si>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</si>
  <si>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6/15/2018</t>
  </si>
  <si>
    <t>6/14/2018</t>
  </si>
  <si>
    <t>5/31/2018</t>
  </si>
  <si>
    <t>5/29/2018</t>
  </si>
  <si>
    <t>5/25/2018</t>
  </si>
  <si>
    <t>5/24/2018</t>
  </si>
  <si>
    <t>5/23/2018</t>
  </si>
  <si>
    <t>5/22/2018</t>
  </si>
  <si>
    <t>5/18/2018</t>
  </si>
  <si>
    <t>5/17/2018</t>
  </si>
  <si>
    <t>5/15/2018</t>
  </si>
  <si>
    <t>5/14/2018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</si>
  <si>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</si>
  <si>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</si>
  <si>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</si>
  <si>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</si>
  <si>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</si>
  <si>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</si>
  <si>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</si>
  <si>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</si>
  <si>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4/17/2018</t>
  </si>
  <si>
    <t>4/16/2018</t>
  </si>
  <si>
    <t>4/13/2018</t>
  </si>
  <si>
    <t>3/28/2018</t>
  </si>
  <si>
    <t>3/27/2018</t>
  </si>
  <si>
    <t>3/26/2018</t>
  </si>
  <si>
    <t>3/23/2018</t>
  </si>
  <si>
    <t>3/22/2018</t>
  </si>
  <si>
    <t>3/20/2018</t>
  </si>
  <si>
    <t>3/19/2018</t>
  </si>
  <si>
    <t>3/16/2018</t>
  </si>
  <si>
    <t>3/15/2018</t>
  </si>
  <si>
    <t>3/14/2018</t>
  </si>
  <si>
    <t>3/13/2018</t>
  </si>
  <si>
    <t>2/28/2018</t>
  </si>
  <si>
    <t>2/27/2018</t>
  </si>
  <si>
    <t>2/26/2018</t>
  </si>
  <si>
    <t>2/23/2018</t>
  </si>
  <si>
    <t>2/22/2018</t>
  </si>
  <si>
    <t>2/20/2018</t>
  </si>
  <si>
    <t>2/19/2018</t>
  </si>
  <si>
    <t>2/16/2018</t>
  </si>
  <si>
    <t>2/15/2018</t>
  </si>
  <si>
    <t>2/14/2018</t>
  </si>
  <si>
    <t>2/13/2018</t>
  </si>
  <si>
    <t>1/31/2018</t>
  </si>
  <si>
    <t>1/30/2018</t>
  </si>
  <si>
    <t>1/29/2018</t>
  </si>
  <si>
    <t>1/26/2018</t>
  </si>
  <si>
    <t>1/25/2018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</si>
  <si>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</si>
  <si>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</si>
  <si>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</si>
  <si>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</si>
  <si>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</si>
  <si>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</si>
  <si>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</si>
  <si>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 xml:space="preserve">Reference: </t>
  </si>
  <si>
    <t>https://markets.businessinsider.com/commodities/historical-prices/co2-emissionsrechte/euro/1.1.2018_1.1.2019</t>
  </si>
  <si>
    <t>Average</t>
  </si>
  <si>
    <t>Electricity €/MWh</t>
  </si>
  <si>
    <t>cooling water [m3/tonne CO2]</t>
  </si>
  <si>
    <t>€/Mwh</t>
  </si>
  <si>
    <t>cooling water [€/m3]</t>
  </si>
  <si>
    <t>Assumptions sheet</t>
  </si>
  <si>
    <t>prices for Utilities</t>
  </si>
  <si>
    <t>Utility prices</t>
  </si>
  <si>
    <t>m</t>
  </si>
  <si>
    <t>Selling price for Products</t>
  </si>
  <si>
    <t>bold assumption</t>
  </si>
  <si>
    <t>Feedstock prices and revenues</t>
  </si>
  <si>
    <t>ETS-market-insider.com</t>
  </si>
  <si>
    <t>Typical Factors for Estimation of Project Fixed Capital Costs</t>
  </si>
  <si>
    <t>Fluids</t>
  </si>
  <si>
    <t>Fluids-Solids</t>
  </si>
  <si>
    <t>Solids</t>
  </si>
  <si>
    <t>ISBL = Cex</t>
  </si>
  <si>
    <t>Offsites</t>
  </si>
  <si>
    <t>Design &amp; Engineering</t>
  </si>
  <si>
    <t>Contingency</t>
  </si>
  <si>
    <t>Total Fixed Capital Cost = Ce x</t>
  </si>
  <si>
    <t>Typical factors to derive Total fixed capital costs from Sinott et al.</t>
  </si>
  <si>
    <t>Variable Cost</t>
  </si>
  <si>
    <t>Basis</t>
  </si>
  <si>
    <t>Raw materials</t>
  </si>
  <si>
    <t>example</t>
  </si>
  <si>
    <t>consumed by the processs</t>
  </si>
  <si>
    <t>Utilities</t>
  </si>
  <si>
    <t>Consumables</t>
  </si>
  <si>
    <t>Effluent disposal</t>
  </si>
  <si>
    <t>Packaging &amp; Shipping</t>
  </si>
  <si>
    <t>Fixed Cost</t>
  </si>
  <si>
    <t>basis</t>
  </si>
  <si>
    <t>ISBL investment costs for selected Units</t>
  </si>
  <si>
    <t>Working hours estimations for chemical plants</t>
  </si>
  <si>
    <t>Plant capacity in tons of product /day</t>
  </si>
  <si>
    <t>Operating labor hours /day for average plant</t>
  </si>
  <si>
    <t>Operating labor hours /day for large quipment /highly automation</t>
  </si>
  <si>
    <t>Y= ax^b</t>
  </si>
  <si>
    <t>Working hours Average plant</t>
  </si>
  <si>
    <t>Working hours Large EQ</t>
  </si>
  <si>
    <t xml:space="preserve">Average cost of Worker </t>
  </si>
  <si>
    <t>€/h</t>
  </si>
  <si>
    <t>Notes</t>
  </si>
  <si>
    <t>Working hours estimate</t>
  </si>
  <si>
    <t>Select 1 for large Equipment (much automisation) and 0 for average plant</t>
  </si>
  <si>
    <t>I1 Fixed assumptions</t>
  </si>
  <si>
    <t xml:space="preserve">I2 Factors </t>
  </si>
  <si>
    <t>I3 Regression values</t>
  </si>
  <si>
    <t>Solid processing plants (CapEx)</t>
  </si>
  <si>
    <t>Solid processing plants (ISBL)</t>
  </si>
  <si>
    <t>Solid processing plants (OSBL)</t>
  </si>
  <si>
    <t>1 Mining, In</t>
  </si>
  <si>
    <t>2 Mining, out</t>
  </si>
  <si>
    <t>3 Crushing, In</t>
  </si>
  <si>
    <t>4 Crushing, out</t>
  </si>
  <si>
    <t>5 Grinding, In</t>
  </si>
  <si>
    <t>6 Grinding, out</t>
  </si>
  <si>
    <t>7 Carbonation, In</t>
  </si>
  <si>
    <t>8 Carbonation, out</t>
  </si>
  <si>
    <t>9 Separation, In</t>
  </si>
  <si>
    <t>10 Separation, out</t>
  </si>
  <si>
    <t>11 Capture, In</t>
  </si>
  <si>
    <t>12 Capture, out</t>
  </si>
  <si>
    <t>Values for the Peng-Robinson calculations</t>
  </si>
  <si>
    <t>Compound</t>
  </si>
  <si>
    <t>critcal temperature in [K]</t>
  </si>
  <si>
    <t>critical pressure in [bar]</t>
  </si>
  <si>
    <t>References w</t>
  </si>
  <si>
    <t>accentic factor w</t>
  </si>
  <si>
    <t>http://webserver.dmt.upm.es/~isidoro/dat1/eGAS.pdf</t>
  </si>
  <si>
    <t>Co2</t>
  </si>
  <si>
    <t>PengRobinson values</t>
  </si>
  <si>
    <t>References Tc, Pc</t>
  </si>
  <si>
    <t>Smith,Robin</t>
  </si>
  <si>
    <t xml:space="preserve">References gamma  </t>
  </si>
  <si>
    <t>heat capacity ratio, gamma @25°C</t>
  </si>
  <si>
    <t>NaHCO3</t>
  </si>
  <si>
    <t>https://www.alibaba.com/product-detail/sodium-bicarbonate-food-grade-nahco3_60799280141.html?spm=a2700.7724857.normalList.28.de9f3b17MbzyT6&amp;s=p</t>
  </si>
  <si>
    <t>NaHCO3 (shomate for Na2CO3)</t>
  </si>
  <si>
    <t>for 2h:</t>
  </si>
  <si>
    <t xml:space="preserve">Outgoing streams: </t>
  </si>
  <si>
    <t>Needed Utilities, Feedstocks and Additives</t>
  </si>
  <si>
    <t>Recovery of unreacted (MgO)</t>
  </si>
  <si>
    <t>maximum wall thickness reactor</t>
  </si>
  <si>
    <t>(ask jason for reference)</t>
  </si>
  <si>
    <t>gasphase in reactor</t>
  </si>
  <si>
    <t>m³/m³</t>
  </si>
  <si>
    <t>Sinnot (check)</t>
  </si>
  <si>
    <t>solid content in liquid phase</t>
  </si>
  <si>
    <t>EC Compressor Centrifugal</t>
  </si>
  <si>
    <t>driver power, kW</t>
  </si>
  <si>
    <t>Béarat, Hamdallahet al + Presentation, Gerdemenn et al.</t>
  </si>
  <si>
    <t>mol/l</t>
  </si>
  <si>
    <t>I4 Stream Condititons</t>
  </si>
  <si>
    <t>https://www.alibaba.com/product-detail/CAS-7647-14-5-sodium-chloride_60785243716.html?spm=a2700.7724838.2017115.1.7f3d7c456mww4T&amp;s=p</t>
  </si>
  <si>
    <t xml:space="preserve">Recycling Water &amp; Additives </t>
  </si>
  <si>
    <t>Maximum reactor size</t>
  </si>
  <si>
    <t>m³</t>
  </si>
  <si>
    <t>K</t>
  </si>
  <si>
    <t>HE 1</t>
  </si>
  <si>
    <t>minimal Temp difference for heat exchanger</t>
  </si>
  <si>
    <t>T in [°C] cold</t>
  </si>
  <si>
    <t>T in [°C] warm</t>
  </si>
  <si>
    <t>EC Heat exchanger</t>
  </si>
  <si>
    <t>Area</t>
  </si>
  <si>
    <t>wt/wt</t>
  </si>
  <si>
    <t>W in kWh/tonne CO2</t>
  </si>
  <si>
    <t>Function from Hesam (Aspen simulation)</t>
  </si>
  <si>
    <t>Function from Smith et al for centrifugal compression</t>
  </si>
  <si>
    <t>Y = a*ln(X)+b</t>
  </si>
  <si>
    <t xml:space="preserve">a </t>
  </si>
  <si>
    <t>Calculations from Hesam</t>
  </si>
  <si>
    <t>Number of compression steps</t>
  </si>
  <si>
    <t>Hesams calculations</t>
  </si>
  <si>
    <t>Separation techniques</t>
  </si>
  <si>
    <t>Dewatering</t>
  </si>
  <si>
    <t>kwh/t</t>
  </si>
  <si>
    <t>kWh/t</t>
  </si>
  <si>
    <t>Sanna et al</t>
  </si>
  <si>
    <t>for Serpentine</t>
  </si>
  <si>
    <t>MgO/CaO content in Olivine</t>
  </si>
  <si>
    <t>Energy demand Heat treatment</t>
  </si>
  <si>
    <t>duty, MW</t>
  </si>
  <si>
    <t>EC cylindrical Furnace</t>
  </si>
  <si>
    <t>Heat treatment used?</t>
  </si>
  <si>
    <t>1 =yes , 0 = no</t>
  </si>
  <si>
    <t>Grinding &amp; Heat treatment</t>
  </si>
  <si>
    <t>http://webmineral.com/data/Forsterite.shtml#.XMge7YkzaUk</t>
  </si>
  <si>
    <t>https://de.statista.com/statistik/daten/studie/1538/umfrage/wasserpreise-weltweit/, https://www.trinkwasser-wissen.net/fakten/preis; https://www.intratec.us/chemical-markets/process-water-cost</t>
  </si>
  <si>
    <t>Process H2O (l)</t>
  </si>
  <si>
    <t>https://www.alibaba.com/product-detail/TOP-1-Manufacturer-OXALIC-ACID-99_60209020600.html?spm=a2700.7724838.2017115.1.77844c06TyQLNZ</t>
  </si>
  <si>
    <t>Oxalic Acid</t>
  </si>
  <si>
    <t>Ascorbic Acid</t>
  </si>
  <si>
    <t>https://www.alibaba.com/product-detail/Hot-sale-adipic-acid-chemical-formula_60400910653.html?spm=a2700.7724838.2017115.1.4c275b3a5ekEUi</t>
  </si>
  <si>
    <t xml:space="preserve">Reaction </t>
  </si>
  <si>
    <t>Stoichiometric coefficient</t>
  </si>
  <si>
    <r>
      <t>Mg</t>
    </r>
    <r>
      <rPr>
        <sz val="11"/>
        <color theme="1"/>
        <rFont val="Calibri"/>
        <family val="2"/>
        <scheme val="minor"/>
      </rPr>
      <t>2SiO4</t>
    </r>
  </si>
  <si>
    <r>
      <t>CO</t>
    </r>
    <r>
      <rPr>
        <sz val="11"/>
        <color theme="1"/>
        <rFont val="Calibri"/>
        <family val="2"/>
        <scheme val="minor"/>
      </rPr>
      <t>2</t>
    </r>
  </si>
  <si>
    <r>
      <t>MgCO</t>
    </r>
    <r>
      <rPr>
        <sz val="11"/>
        <color theme="1"/>
        <rFont val="Calibri"/>
        <family val="2"/>
        <scheme val="minor"/>
      </rPr>
      <t>3</t>
    </r>
  </si>
  <si>
    <r>
      <t>SiO</t>
    </r>
    <r>
      <rPr>
        <sz val="11"/>
        <color theme="1"/>
        <rFont val="Calibri"/>
        <family val="2"/>
        <scheme val="minor"/>
      </rPr>
      <t>2</t>
    </r>
  </si>
  <si>
    <t>Mg2SiO4</t>
  </si>
  <si>
    <t>mineral purity</t>
  </si>
  <si>
    <t>oxalic acid</t>
  </si>
  <si>
    <t xml:space="preserve">acorbic </t>
  </si>
  <si>
    <t>https://pubchem.ncbi.nlm.nih.gov/compound/ascorbic_acid</t>
  </si>
  <si>
    <t>https://pubchem.ncbi.nlm.nih.gov/compound/oxalic_acid</t>
  </si>
  <si>
    <t>from http://www.webmineral.com/data/Forsterite.shtml#.XPZ1N9IzbRY</t>
  </si>
  <si>
    <t>calc. In Matlab scribt</t>
  </si>
  <si>
    <t>n.a.</t>
  </si>
  <si>
    <t xml:space="preserve">HE 2 </t>
  </si>
  <si>
    <t>RCO2</t>
  </si>
  <si>
    <t>Fe2O3</t>
  </si>
  <si>
    <t>MEA</t>
  </si>
  <si>
    <t>https://www.alibaba.com/product-detail/MEA-Factory-supply-Ethanolamine-Monoethanolamine-CAS_60708055691.html?spm=a2700.7724838.2017115.11.47ea4bd1CUBgH5&amp;s=p</t>
  </si>
  <si>
    <t>MEA [t/tonneCO2]</t>
  </si>
  <si>
    <t>N2(g)</t>
  </si>
  <si>
    <t>O2(g)</t>
  </si>
  <si>
    <t>Temp in °C</t>
  </si>
  <si>
    <t>dynamische Viskosität H20 in 10^-6 kg /(m*s)</t>
  </si>
  <si>
    <t>Pressure in bar</t>
  </si>
  <si>
    <t>taken from: http://www.uni-magdeburg.de/isut/LSS/Lehre/Arbeitsheft/IV.pdf</t>
  </si>
  <si>
    <t>y= a*x^6+b*x^5….</t>
  </si>
  <si>
    <t>f</t>
  </si>
  <si>
    <t>g</t>
  </si>
  <si>
    <t>Function viscosity water</t>
  </si>
  <si>
    <t>efficiency pump</t>
  </si>
  <si>
    <t>https://www.haustechnikdialog.de/SHKwissen/Showimage.aspx?ID=6208</t>
  </si>
  <si>
    <t>Test</t>
  </si>
  <si>
    <t>result</t>
  </si>
  <si>
    <t>10^-6kg/m*s</t>
  </si>
  <si>
    <t>hydraulic head for pumping</t>
  </si>
  <si>
    <t>m/s²</t>
  </si>
  <si>
    <t>https://www.ptb.de/cms/fileadmin/internet/fachabteilungen/abteilung_1/1.1_masse/1.15/gravzonen.pdf</t>
  </si>
  <si>
    <t>force of gravity (Berlin)</t>
  </si>
  <si>
    <t>m/bar</t>
  </si>
  <si>
    <t>Canada</t>
  </si>
  <si>
    <t xml:space="preserve">Unit </t>
  </si>
  <si>
    <t>in USD</t>
  </si>
  <si>
    <t>Raw material costs</t>
  </si>
  <si>
    <t>Utility costs</t>
  </si>
  <si>
    <t>labor, supervision etc.</t>
  </si>
  <si>
    <t>bag house, FGD scrubber chemical costs</t>
  </si>
  <si>
    <t>MEA make-up costs from degradation</t>
  </si>
  <si>
    <t>"Techno-Economic Study of CO2 Capture from Existing Cement Plant Using MEA Scrubbing" - Hassan, S.M.; Douglas, Peter L.; Croiset, Eric</t>
  </si>
  <si>
    <r>
      <t xml:space="preserve">Assumptions:
</t>
    </r>
    <r>
      <rPr>
        <sz val="12"/>
        <color theme="1"/>
        <rFont val="Calibri"/>
        <family val="2"/>
        <scheme val="minor"/>
      </rPr>
      <t>Heat recovery from fluegas (temp. 263°C) included in simulation. Objective: capture 85% of CO2 emission with a purity of 98 mol%. MEA costs: 1.44$/kg, coling water costs 0.015$/m³, steam costs 9.18$/tonne, electricity costs 0.06$/kWh.</t>
    </r>
    <r>
      <rPr>
        <u/>
        <sz val="12"/>
        <color theme="1"/>
        <rFont val="Calibri"/>
        <family val="2"/>
        <scheme val="minor"/>
      </rPr>
      <t xml:space="preserve">
</t>
    </r>
  </si>
  <si>
    <t>tonne CO2 captured</t>
  </si>
  <si>
    <t>kg MEA/tonne CO2</t>
  </si>
  <si>
    <t>item</t>
  </si>
  <si>
    <t>Electricity consumption</t>
  </si>
  <si>
    <t>other sources</t>
  </si>
  <si>
    <t>Heat consumption</t>
  </si>
  <si>
    <t>GJ/tonne CO2</t>
  </si>
  <si>
    <t xml:space="preserve">MEA markup </t>
  </si>
  <si>
    <t>kg/tonne CO2</t>
  </si>
  <si>
    <t>Ref Rubin from Martin Pehnt -" LCA of CCS from lignite power plants"</t>
  </si>
  <si>
    <t>Water consumption</t>
  </si>
  <si>
    <t>$/tonne CO2</t>
  </si>
  <si>
    <t>m³/tonne CO2</t>
  </si>
  <si>
    <t>other [€/tonne CO2]</t>
  </si>
  <si>
    <t>€/Mwh Natural gas</t>
  </si>
  <si>
    <t>Natural gas [€/MWh]</t>
  </si>
  <si>
    <t>PWC 2017 (energy intensive &gt; 2,500,000MWh/a)</t>
  </si>
  <si>
    <t>PWC 2017 (energy intensive &gt; 500,0000 MWh/a)</t>
  </si>
  <si>
    <t>per tonne CO2</t>
  </si>
  <si>
    <t>Load and Haul</t>
  </si>
  <si>
    <t>Flotation</t>
  </si>
  <si>
    <t>Gravity sep.</t>
  </si>
  <si>
    <t>Magnetic sep</t>
  </si>
  <si>
    <t>Water pumping</t>
  </si>
  <si>
    <t>Ref: S11 -Van der Assen 2016 " Selecting CO2 Sources for CO2 Utilization by Environmental-Merit-order Curves_Supporting info"</t>
  </si>
  <si>
    <t>Heating requirements [GJ/t CO2]</t>
  </si>
  <si>
    <t>Reaction enthalpy</t>
  </si>
  <si>
    <t>kj/mol CO2</t>
  </si>
  <si>
    <t>Transport Truck</t>
  </si>
  <si>
    <t>Transport Train</t>
  </si>
  <si>
    <t>Technical &amp; economic evaluation of a mineral carbonation process using southern Québec mining wastes for CO2 sequestration of raw flue gas with by-product recovery</t>
  </si>
  <si>
    <t>€/km,t rocks</t>
  </si>
  <si>
    <t>km</t>
  </si>
  <si>
    <t>Values not taken for the calcualtion (no values available for Shomate equation)</t>
  </si>
  <si>
    <t>MEA (l)</t>
  </si>
  <si>
    <t>Insur- and loc tax</t>
  </si>
  <si>
    <t>*TPC</t>
  </si>
  <si>
    <t>per year</t>
  </si>
  <si>
    <t>Maintenance Costs (M)</t>
  </si>
  <si>
    <t>Labour</t>
  </si>
  <si>
    <t>*O</t>
  </si>
  <si>
    <t>*M</t>
  </si>
  <si>
    <t>Labour (O)</t>
  </si>
  <si>
    <t xml:space="preserve"> Calculated using Timmerhaus et al. </t>
  </si>
  <si>
    <t>TEC</t>
  </si>
  <si>
    <t>Derive from Sinott et al ( factors inlcude Hand factors &amp; OSBL factors)</t>
  </si>
  <si>
    <t>Process contingencies</t>
  </si>
  <si>
    <t>new concept</t>
  </si>
  <si>
    <t>bench scale data</t>
  </si>
  <si>
    <t>small pilot</t>
  </si>
  <si>
    <t xml:space="preserve">full-sized </t>
  </si>
  <si>
    <t>commercially</t>
  </si>
  <si>
    <t>indirect coststs</t>
  </si>
  <si>
    <t>Opex factors from CemCap</t>
  </si>
  <si>
    <t>CapEx factirs from CemCap</t>
  </si>
  <si>
    <t>t cement produced /a</t>
  </si>
  <si>
    <t xml:space="preserve">Insert all the necessary assumptions in this file. They will pe processed in the Matlab script.
</t>
  </si>
  <si>
    <t>Yield reaction (CO2)</t>
  </si>
  <si>
    <t>price cement</t>
  </si>
  <si>
    <t>price ETS</t>
  </si>
  <si>
    <t>Emission reduction per tonne CO2 utilized</t>
  </si>
  <si>
    <t>Depending on the scenario. Take from Hesam's script (0.7-1.5), replace this, when integrating the two scipts (TEA &amp; LCA)</t>
  </si>
  <si>
    <t>blending ratio cement with</t>
  </si>
  <si>
    <t>blending ratio cement with Sio2</t>
  </si>
  <si>
    <t>blending ratio cement with inert</t>
  </si>
  <si>
    <t>distance Truck to storage</t>
  </si>
  <si>
    <t>g/ml</t>
  </si>
  <si>
    <t>Heat transfer coefficient</t>
  </si>
  <si>
    <t>https://www.engineeringtoolbox.com/overall-heat-transfer-coefficients-d_284.html</t>
  </si>
  <si>
    <t>W/m²K</t>
  </si>
  <si>
    <t>RPM Dewater Centrifuge</t>
  </si>
  <si>
    <t>Wall thickness centrifuge</t>
  </si>
  <si>
    <t>rpm</t>
  </si>
  <si>
    <t>Pinkerton, A. P. and M. S. Klima (2001). "Evaluation of a solid-bowl centrifuge for ultrafine size separations." Mining, Metallurgy &amp; Exploration 18(3): 162-166. =&gt; found minimum !!</t>
  </si>
  <si>
    <t xml:space="preserve">Pressure drop cyclone </t>
  </si>
  <si>
    <t>bar</t>
  </si>
  <si>
    <t>Heat capacity oil light Oil (average 15-150°C)</t>
  </si>
  <si>
    <t>KJ/kgK</t>
  </si>
  <si>
    <t>https://www.engineeringtoolbox.com/specific-heat-fluids-d_151.html</t>
  </si>
  <si>
    <t>Temparature MEA capture stripper</t>
  </si>
  <si>
    <t xml:space="preserve">Li, X., et al. (2014). "Experimental and rate‐based modeling study of CO2 capture by aqueous monoethanolamine." Greenhouse Gases: Science and Technology 4(4): 495-508.
</t>
  </si>
  <si>
    <t>Describtion</t>
  </si>
  <si>
    <t xml:space="preserve">Start value </t>
  </si>
  <si>
    <t>Where to find in the Matlab input sheet? (Array Number I#)</t>
  </si>
  <si>
    <t>(Postition I~(#,~))</t>
  </si>
  <si>
    <t>(Postition I~(~,#))</t>
  </si>
  <si>
    <t>should Sensitivty Analysis be performed?</t>
  </si>
  <si>
    <t>For How many variables?</t>
  </si>
  <si>
    <t>Pressure</t>
  </si>
  <si>
    <t>Yield</t>
  </si>
  <si>
    <t>Yes</t>
  </si>
  <si>
    <t>Cement price</t>
  </si>
  <si>
    <t>s</t>
  </si>
  <si>
    <t>t/a</t>
  </si>
  <si>
    <t>Cement replacement produced</t>
  </si>
  <si>
    <t>Assumptions for Sensitivity Study</t>
  </si>
  <si>
    <t>interest rate</t>
  </si>
  <si>
    <t>Temperature in °C and stress in MPa</t>
  </si>
  <si>
    <t>Reaction constant</t>
  </si>
  <si>
    <t>particle size</t>
  </si>
  <si>
    <t>pre-heat (1 yes , 0 no)</t>
  </si>
  <si>
    <t>Gerdemann</t>
  </si>
  <si>
    <t xml:space="preserve">Eikeland et al </t>
  </si>
  <si>
    <t>Reaction Constant</t>
  </si>
  <si>
    <t xml:space="preserve">Grain size </t>
  </si>
  <si>
    <t>Which matrix</t>
  </si>
  <si>
    <t>Silica content cement</t>
  </si>
  <si>
    <t>Low scenario</t>
  </si>
  <si>
    <t>Midst scenario</t>
  </si>
  <si>
    <t>High scenario</t>
  </si>
  <si>
    <t>ETS</t>
  </si>
  <si>
    <t>Inert concten cement</t>
  </si>
  <si>
    <t>blending rate</t>
  </si>
  <si>
    <t>Which matrix (direct)</t>
  </si>
  <si>
    <t>Which matrix (indirect)</t>
  </si>
  <si>
    <t>(Postition M~(#,~))</t>
  </si>
  <si>
    <t>(Postition M~(~,#))</t>
  </si>
  <si>
    <t>Electricity grid emission [kgCO2/MWh]</t>
  </si>
  <si>
    <t>[kgCO2/MWh]</t>
  </si>
  <si>
    <t>Natural gas emission [kgCO2/MWh]</t>
  </si>
  <si>
    <t>Transport Emission (Train kgCO2/km*t)</t>
  </si>
  <si>
    <t>kgCO2/km*t</t>
  </si>
  <si>
    <t>Transport Emissions (Truck kgCO2/km*t)</t>
  </si>
  <si>
    <t xml:space="preserve"> Mining Mineral (kWh / tmineral)</t>
  </si>
  <si>
    <t>kWh / tmineral</t>
  </si>
  <si>
    <t>Water kgCO2/ t</t>
  </si>
  <si>
    <t>kgCO2/ t</t>
  </si>
  <si>
    <t>Construction kgCO2/1000tCO2caputred</t>
  </si>
  <si>
    <t>kgCO2/ktCO2caputred</t>
  </si>
  <si>
    <t>Cement production kgCO2/t</t>
  </si>
  <si>
    <t xml:space="preserve"> kgCO2/t</t>
  </si>
  <si>
    <t>NaHCO3 kgCO2/t</t>
  </si>
  <si>
    <t>NaCl kgCO2/t</t>
  </si>
  <si>
    <t>MEA kCO2/t</t>
  </si>
  <si>
    <t>Owners costs</t>
  </si>
  <si>
    <t>Project contingencies</t>
  </si>
  <si>
    <t>Rubin</t>
  </si>
  <si>
    <t>CEMCAP</t>
  </si>
  <si>
    <t xml:space="preserve">Rubin et al </t>
  </si>
  <si>
    <t>construction time</t>
  </si>
  <si>
    <t>learning rate</t>
  </si>
  <si>
    <t>Number of plants to NOAK</t>
  </si>
  <si>
    <t>Distance Mineral</t>
  </si>
  <si>
    <t>Brown et al</t>
  </si>
  <si>
    <t>Transport Ship</t>
  </si>
  <si>
    <t>170°C</t>
  </si>
  <si>
    <t>Transport Emissions (ship kgCO2/km*t</t>
  </si>
  <si>
    <t>classification efficiency</t>
  </si>
  <si>
    <t>Transport distance</t>
  </si>
  <si>
    <t>k_{reaction}</t>
  </si>
  <si>
    <t>X_{S/L}</t>
  </si>
  <si>
    <t xml:space="preserve">No of plants </t>
  </si>
  <si>
    <t>Learning rate</t>
  </si>
  <si>
    <t>Contingencies</t>
  </si>
  <si>
    <t>π_{electricity}</t>
  </si>
  <si>
    <t>π_{natural gas}</t>
  </si>
  <si>
    <t>π_{mineral}</t>
  </si>
  <si>
    <t>π_{NaHCO_{3}}</t>
  </si>
  <si>
    <t>π_{NaCl}</t>
  </si>
  <si>
    <t>π_{MEA}</t>
  </si>
  <si>
    <t>P_{reaction}</t>
  </si>
  <si>
    <t>T_{reaction}</t>
  </si>
  <si>
    <t>π_{cement}</t>
  </si>
  <si>
    <t>π_{ETS}</t>
  </si>
  <si>
    <t>Olivine 37µm (X=0.5)</t>
  </si>
  <si>
    <t>Olivine 37µm (X=0.3)</t>
  </si>
  <si>
    <t>Olivine 10 µm (X=0.8)</t>
  </si>
  <si>
    <t>Olivine 10 µm (X=0.6)</t>
  </si>
  <si>
    <t>Serpentine 37µm (X=0.6)</t>
  </si>
  <si>
    <t>CO2Min Process (X=0.42)</t>
  </si>
  <si>
    <t>minimum (-15%)</t>
  </si>
  <si>
    <t>maximum (+15%) or boundary</t>
  </si>
  <si>
    <t>t_{operating}*</t>
  </si>
  <si>
    <t>Assumptions for Two way SA</t>
  </si>
  <si>
    <t>Add. Rec*</t>
  </si>
  <si>
    <t>X_{SiO2}</t>
  </si>
  <si>
    <t>Maximum from GSA</t>
  </si>
  <si>
    <t>Minimum from GSA</t>
  </si>
  <si>
    <t>Assumptions for Sensitivity Study [min, max]</t>
  </si>
  <si>
    <t>X_{unreacted mineral}</t>
  </si>
  <si>
    <t>L_{plant}</t>
  </si>
  <si>
    <t>p_{mineral}</t>
  </si>
  <si>
    <t>i</t>
  </si>
  <si>
    <t>Add. Rec.*</t>
  </si>
  <si>
    <t>t_{operating}</t>
  </si>
  <si>
    <t>Add. Rec.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</si>
</sst>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"/>
    <numFmt numFmtId="165" formatCode="0.000000"/>
    <numFmt numFmtId="166" formatCode="0.0"/>
    <numFmt numFmtId="167" formatCode="0.00000000000"/>
  </numFmts>
  <fonts count="3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3"/>
      <color theme="1"/>
      <name val="Times New Roman"/>
      <family val="1"/>
    </font>
    <font>
      <sz val="12"/>
      <color rgb="FF000000"/>
      <name val="Arial"/>
      <family val="2"/>
    </font>
    <font>
      <b/>
      <sz val="11"/>
      <color rgb="FF3F3F3F"/>
      <name val="Calibri"/>
      <family val="2"/>
      <scheme val="minor"/>
    </font>
    <font>
      <b/>
      <vertAlign val="subscript"/>
      <sz val="11"/>
      <color rgb="FF3F3F3F"/>
      <name val="Calibri (Body)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rgb="FF808080"/>
      <name val="Arial"/>
      <family val="2"/>
    </font>
    <font>
      <sz val="13"/>
      <color rgb="FF000000"/>
      <name val="FaktSmConPro"/>
    </font>
    <font>
      <u/>
      <sz val="24"/>
      <color theme="1"/>
      <name val="Calibri (Body)_x0000_"/>
    </font>
    <font>
      <sz val="16"/>
      <color theme="1"/>
      <name val="Calibri (Body)_x0000_"/>
    </font>
    <font>
      <u/>
      <sz val="12"/>
      <color theme="1"/>
      <name val="Calibri"/>
      <family val="2"/>
      <scheme val="minor"/>
    </font>
    <font>
      <i/>
      <sz val="6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11"/>
      <color rgb="FF3F3F3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3F3F3F"/>
      </left>
      <right/>
      <top style="medium">
        <color indexed="64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thin">
        <color rgb="FF3F3F3F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 style="medium">
        <color indexed="64"/>
      </bottom>
      <diagonal/>
    </border>
  </borders>
  <cellStyleXfs count="30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14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5" borderId="20" applyNumberFormat="0" applyFont="0" applyAlignment="0" applyProtection="0"/>
    <xf numFmtId="0" fontId="18" fillId="3" borderId="34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" fillId="0" borderId="0"/>
    <xf numFmtId="9" fontId="17" fillId="0" borderId="0" applyFont="0" applyFill="0" applyBorder="0" applyAlignment="0" applyProtection="0"/>
  </cellStyleXfs>
  <cellXfs count="373">
    <xf numFmtId="0" fontId="0" fillId="0" borderId="0" xfId="0"/>
    <xf numFmtId="0" fontId="4" fillId="3" borderId="3" xfId="2" applyBorder="1"/>
    <xf numFmtId="0" fontId="3" fillId="2" borderId="4" xfId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6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3" fillId="2" borderId="7" xfId="1" applyBorder="1" applyAlignment="1">
      <alignment horizontal="center" vertical="center"/>
    </xf>
    <xf numFmtId="0" fontId="3" fillId="2" borderId="8" xfId="1" applyBorder="1" applyAlignment="1">
      <alignment horizontal="center" vertical="center"/>
    </xf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6" fillId="0" borderId="9" xfId="0" applyFont="1" applyBorder="1" applyAlignment="1">
      <alignment wrapText="1"/>
    </xf>
    <xf numFmtId="0" fontId="10" fillId="0" borderId="0" xfId="0" applyFont="1" applyBorder="1"/>
    <xf numFmtId="0" fontId="11" fillId="0" borderId="0" xfId="0" applyFont="1"/>
    <xf numFmtId="0" fontId="0" fillId="0" borderId="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4" fillId="3" borderId="12" xfId="2" applyBorder="1"/>
    <xf numFmtId="0" fontId="4" fillId="3" borderId="1" xfId="2"/>
    <xf numFmtId="0" fontId="0" fillId="0" borderId="5" xfId="0" applyFill="1" applyBorder="1" applyAlignment="1">
      <alignment wrapText="1"/>
    </xf>
    <xf numFmtId="0" fontId="4" fillId="3" borderId="14" xfId="2" applyBorder="1"/>
    <xf numFmtId="164" fontId="0" fillId="0" borderId="0" xfId="0" applyNumberFormat="1"/>
    <xf numFmtId="2" fontId="0" fillId="0" borderId="0" xfId="0" applyNumberFormat="1"/>
    <xf numFmtId="0" fontId="4" fillId="3" borderId="1" xfId="2" applyAlignment="1">
      <alignment horizontal="right"/>
    </xf>
    <xf numFmtId="0" fontId="4" fillId="3" borderId="14" xfId="2" applyBorder="1" applyAlignment="1">
      <alignment horizontal="center" vertical="center" wrapText="1"/>
    </xf>
    <xf numFmtId="0" fontId="4" fillId="3" borderId="18" xfId="2" applyBorder="1"/>
    <xf numFmtId="0" fontId="4" fillId="3" borderId="18" xfId="2" applyBorder="1" applyAlignment="1">
      <alignment wrapText="1"/>
    </xf>
    <xf numFmtId="0" fontId="0" fillId="0" borderId="0" xfId="0" applyFill="1" applyBorder="1"/>
    <xf numFmtId="0" fontId="4" fillId="3" borderId="2" xfId="2" applyBorder="1" applyAlignment="1">
      <alignment wrapText="1"/>
    </xf>
    <xf numFmtId="2" fontId="4" fillId="3" borderId="1" xfId="2" applyNumberFormat="1"/>
    <xf numFmtId="164" fontId="4" fillId="3" borderId="1" xfId="2" applyNumberFormat="1"/>
    <xf numFmtId="0" fontId="0" fillId="0" borderId="0" xfId="0" applyAlignment="1">
      <alignment horizontal="right"/>
    </xf>
    <xf numFmtId="0" fontId="3" fillId="2" borderId="0" xfId="1" applyBorder="1"/>
    <xf numFmtId="0" fontId="4" fillId="3" borderId="17" xfId="2" applyBorder="1"/>
    <xf numFmtId="0" fontId="4" fillId="3" borderId="16" xfId="2" applyBorder="1"/>
    <xf numFmtId="0" fontId="12" fillId="3" borderId="19" xfId="2" applyFont="1" applyBorder="1"/>
    <xf numFmtId="0" fontId="4" fillId="3" borderId="13" xfId="2" applyBorder="1" applyAlignment="1">
      <alignment horizontal="right"/>
    </xf>
    <xf numFmtId="0" fontId="4" fillId="3" borderId="14" xfId="2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6" fillId="0" borderId="0" xfId="0" applyFont="1"/>
    <xf numFmtId="164" fontId="0" fillId="0" borderId="0" xfId="0" applyNumberFormat="1" applyBorder="1"/>
    <xf numFmtId="2" fontId="0" fillId="0" borderId="0" xfId="0" applyNumberFormat="1" applyBorder="1"/>
    <xf numFmtId="2" fontId="0" fillId="0" borderId="0" xfId="0" applyNumberFormat="1" applyBorder="1" applyAlignment="1">
      <alignment wrapText="1"/>
    </xf>
    <xf numFmtId="0" fontId="14" fillId="4" borderId="0" xfId="3"/>
    <xf numFmtId="0" fontId="4" fillId="3" borderId="2" xfId="2" applyBorder="1"/>
    <xf numFmtId="0" fontId="4" fillId="3" borderId="1" xfId="2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4" fillId="3" borderId="25" xfId="2" applyBorder="1"/>
    <xf numFmtId="0" fontId="4" fillId="3" borderId="26" xfId="2" applyBorder="1"/>
    <xf numFmtId="0" fontId="3" fillId="2" borderId="5" xfId="1" applyBorder="1"/>
    <xf numFmtId="0" fontId="3" fillId="2" borderId="9" xfId="1" applyBorder="1"/>
    <xf numFmtId="0" fontId="3" fillId="2" borderId="6" xfId="1" applyBorder="1"/>
    <xf numFmtId="0" fontId="3" fillId="2" borderId="11" xfId="1" applyBorder="1"/>
    <xf numFmtId="0" fontId="3" fillId="2" borderId="10" xfId="1" applyBorder="1"/>
    <xf numFmtId="0" fontId="4" fillId="3" borderId="1" xfId="2" applyBorder="1" applyAlignment="1">
      <alignment wrapText="1"/>
    </xf>
    <xf numFmtId="0" fontId="4" fillId="3" borderId="0" xfId="2" applyBorder="1"/>
    <xf numFmtId="0" fontId="4" fillId="3" borderId="0" xfId="2" applyBorder="1" applyAlignment="1">
      <alignment wrapText="1"/>
    </xf>
    <xf numFmtId="0" fontId="4" fillId="3" borderId="5" xfId="2" applyBorder="1"/>
    <xf numFmtId="165" fontId="3" fillId="2" borderId="6" xfId="1" applyNumberFormat="1" applyBorder="1"/>
    <xf numFmtId="165" fontId="3" fillId="2" borderId="10" xfId="1" applyNumberFormat="1" applyBorder="1"/>
    <xf numFmtId="0" fontId="4" fillId="3" borderId="1" xfId="2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5" borderId="20" xfId="23" applyFont="1"/>
    <xf numFmtId="2" fontId="0" fillId="0" borderId="0" xfId="0" applyNumberFormat="1" applyAlignment="1">
      <alignment wrapText="1"/>
    </xf>
    <xf numFmtId="0" fontId="0" fillId="0" borderId="0" xfId="0" quotePrefix="1"/>
    <xf numFmtId="0" fontId="4" fillId="3" borderId="1" xfId="2" applyAlignment="1">
      <alignment horizontal="center" wrapText="1"/>
    </xf>
    <xf numFmtId="0" fontId="3" fillId="2" borderId="0" xfId="1" applyNumberFormat="1" applyBorder="1"/>
    <xf numFmtId="0" fontId="8" fillId="0" borderId="0" xfId="0" applyFont="1"/>
    <xf numFmtId="0" fontId="8" fillId="0" borderId="0" xfId="0" applyFont="1" applyBorder="1" applyAlignment="1">
      <alignment wrapText="1"/>
    </xf>
    <xf numFmtId="0" fontId="8" fillId="0" borderId="0" xfId="0" applyFont="1" applyBorder="1"/>
    <xf numFmtId="0" fontId="19" fillId="0" borderId="0" xfId="0" applyFont="1" applyBorder="1" applyAlignment="1">
      <alignment wrapText="1"/>
    </xf>
    <xf numFmtId="0" fontId="4" fillId="3" borderId="23" xfId="2" applyBorder="1" applyAlignment="1">
      <alignment wrapText="1"/>
    </xf>
    <xf numFmtId="0" fontId="4" fillId="3" borderId="30" xfId="2" applyBorder="1" applyAlignment="1">
      <alignment wrapText="1"/>
    </xf>
    <xf numFmtId="0" fontId="4" fillId="3" borderId="24" xfId="2" applyBorder="1"/>
    <xf numFmtId="0" fontId="8" fillId="0" borderId="9" xfId="0" applyFont="1" applyBorder="1" applyAlignment="1">
      <alignment wrapText="1"/>
    </xf>
    <xf numFmtId="0" fontId="8" fillId="0" borderId="9" xfId="0" applyFont="1" applyBorder="1"/>
    <xf numFmtId="0" fontId="19" fillId="0" borderId="9" xfId="0" applyFont="1" applyBorder="1" applyAlignment="1">
      <alignment wrapText="1"/>
    </xf>
    <xf numFmtId="0" fontId="8" fillId="0" borderId="11" xfId="0" applyFont="1" applyBorder="1"/>
    <xf numFmtId="0" fontId="4" fillId="3" borderId="21" xfId="2" applyBorder="1" applyAlignment="1">
      <alignment wrapText="1"/>
    </xf>
    <xf numFmtId="0" fontId="4" fillId="3" borderId="22" xfId="2" applyBorder="1" applyAlignment="1">
      <alignment wrapText="1"/>
    </xf>
    <xf numFmtId="0" fontId="4" fillId="3" borderId="22" xfId="2" applyBorder="1"/>
    <xf numFmtId="0" fontId="4" fillId="3" borderId="35" xfId="2" applyBorder="1" applyAlignment="1">
      <alignment wrapText="1"/>
    </xf>
    <xf numFmtId="0" fontId="22" fillId="0" borderId="0" xfId="0" applyFont="1" applyBorder="1"/>
    <xf numFmtId="0" fontId="22" fillId="0" borderId="9" xfId="0" applyFont="1" applyBorder="1"/>
    <xf numFmtId="0" fontId="0" fillId="0" borderId="6" xfId="0" applyFill="1" applyBorder="1" applyAlignment="1">
      <alignment wrapText="1"/>
    </xf>
    <xf numFmtId="164" fontId="0" fillId="0" borderId="1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8" fillId="3" borderId="34" xfId="24"/>
    <xf numFmtId="0" fontId="3" fillId="2" borderId="0" xfId="1"/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9" fontId="4" fillId="3" borderId="1" xfId="2" applyNumberFormat="1" applyAlignment="1">
      <alignment wrapText="1"/>
    </xf>
    <xf numFmtId="0" fontId="4" fillId="3" borderId="38" xfId="2" applyBorder="1"/>
    <xf numFmtId="0" fontId="23" fillId="0" borderId="0" xfId="25"/>
    <xf numFmtId="0" fontId="0" fillId="0" borderId="0" xfId="0" applyNumberFormat="1"/>
    <xf numFmtId="0" fontId="8" fillId="0" borderId="0" xfId="0" applyFont="1" applyAlignment="1">
      <alignment wrapText="1"/>
    </xf>
    <xf numFmtId="11" fontId="18" fillId="3" borderId="34" xfId="24" applyNumberFormat="1"/>
    <xf numFmtId="11" fontId="0" fillId="0" borderId="0" xfId="0" applyNumberFormat="1"/>
    <xf numFmtId="0" fontId="4" fillId="3" borderId="16" xfId="2" applyBorder="1" applyAlignment="1"/>
    <xf numFmtId="0" fontId="4" fillId="3" borderId="35" xfId="2" applyBorder="1"/>
    <xf numFmtId="0" fontId="4" fillId="3" borderId="39" xfId="2" applyBorder="1"/>
    <xf numFmtId="0" fontId="24" fillId="0" borderId="37" xfId="26" applyBorder="1" applyAlignment="1">
      <alignment vertical="center" wrapText="1"/>
    </xf>
    <xf numFmtId="0" fontId="4" fillId="3" borderId="1" xfId="2" applyAlignment="1">
      <alignment horizontal="center" vertical="center" wrapText="1"/>
    </xf>
    <xf numFmtId="0" fontId="24" fillId="0" borderId="0" xfId="26" applyBorder="1" applyAlignment="1">
      <alignment wrapText="1"/>
    </xf>
    <xf numFmtId="0" fontId="0" fillId="0" borderId="0" xfId="0"/>
    <xf numFmtId="0" fontId="0" fillId="0" borderId="0" xfId="0"/>
    <xf numFmtId="14" fontId="0" fillId="0" borderId="0" xfId="0" applyNumberFormat="1"/>
    <xf numFmtId="14" fontId="26" fillId="0" borderId="0" xfId="0" applyNumberFormat="1" applyFont="1"/>
    <xf numFmtId="0" fontId="26" fillId="0" borderId="0" xfId="0" applyFont="1"/>
    <xf numFmtId="0" fontId="27" fillId="0" borderId="0" xfId="0" applyFont="1"/>
    <xf numFmtId="0" fontId="4" fillId="3" borderId="21" xfId="2" applyBorder="1"/>
    <xf numFmtId="0" fontId="0" fillId="0" borderId="0" xfId="0" applyBorder="1" applyAlignment="1">
      <alignment horizontal="center"/>
    </xf>
    <xf numFmtId="0" fontId="4" fillId="3" borderId="41" xfId="2" applyBorder="1" applyAlignment="1">
      <alignment wrapText="1"/>
    </xf>
    <xf numFmtId="0" fontId="24" fillId="0" borderId="0" xfId="26" applyBorder="1"/>
    <xf numFmtId="0" fontId="24" fillId="0" borderId="10" xfId="26" applyBorder="1"/>
    <xf numFmtId="0" fontId="24" fillId="0" borderId="9" xfId="26" applyBorder="1" applyAlignment="1">
      <alignment wrapText="1"/>
    </xf>
    <xf numFmtId="0" fontId="4" fillId="3" borderId="1" xfId="2" applyBorder="1" applyAlignment="1">
      <alignment vertical="center"/>
    </xf>
    <xf numFmtId="0" fontId="25" fillId="6" borderId="0" xfId="27" applyBorder="1"/>
    <xf numFmtId="166" fontId="0" fillId="0" borderId="0" xfId="0" applyNumberFormat="1" applyBorder="1"/>
    <xf numFmtId="0" fontId="24" fillId="0" borderId="11" xfId="26" applyBorder="1" applyAlignment="1">
      <alignment wrapText="1"/>
    </xf>
    <xf numFmtId="0" fontId="0" fillId="7" borderId="0" xfId="0" applyFill="1" applyBorder="1"/>
    <xf numFmtId="0" fontId="0" fillId="7" borderId="0" xfId="0" applyFill="1"/>
    <xf numFmtId="0" fontId="24" fillId="7" borderId="0" xfId="26" applyFill="1" applyBorder="1" applyAlignment="1">
      <alignment vertical="center" wrapText="1"/>
    </xf>
    <xf numFmtId="0" fontId="0" fillId="7" borderId="0" xfId="0" applyFill="1" applyAlignment="1"/>
    <xf numFmtId="0" fontId="0" fillId="7" borderId="0" xfId="0" applyFill="1"/>
    <xf numFmtId="0" fontId="24" fillId="7" borderId="0" xfId="26" applyFill="1" applyAlignment="1">
      <alignment wrapText="1"/>
    </xf>
    <xf numFmtId="0" fontId="24" fillId="7" borderId="0" xfId="26" applyFill="1"/>
    <xf numFmtId="0" fontId="24" fillId="7" borderId="0" xfId="26" applyFill="1" applyAlignment="1">
      <alignment vertical="center" wrapText="1"/>
    </xf>
    <xf numFmtId="0" fontId="0" fillId="0" borderId="0" xfId="0"/>
    <xf numFmtId="0" fontId="18" fillId="3" borderId="34" xfId="24" applyAlignment="1">
      <alignment wrapText="1"/>
    </xf>
    <xf numFmtId="0" fontId="4" fillId="7" borderId="0" xfId="2" applyFill="1" applyBorder="1" applyAlignment="1">
      <alignment horizontal="center"/>
    </xf>
    <xf numFmtId="0" fontId="4" fillId="7" borderId="0" xfId="2" applyFill="1" applyBorder="1"/>
    <xf numFmtId="0" fontId="4" fillId="7" borderId="0" xfId="2" applyFill="1" applyBorder="1" applyAlignment="1">
      <alignment horizontal="center" vertical="center"/>
    </xf>
    <xf numFmtId="0" fontId="24" fillId="7" borderId="0" xfId="26" applyFill="1" applyBorder="1" applyAlignment="1">
      <alignment horizontal="center" vertical="center" wrapText="1"/>
    </xf>
    <xf numFmtId="0" fontId="24" fillId="7" borderId="9" xfId="26" applyFill="1" applyBorder="1" applyAlignment="1">
      <alignment wrapText="1"/>
    </xf>
    <xf numFmtId="0" fontId="0" fillId="7" borderId="9" xfId="0" applyFill="1" applyBorder="1"/>
    <xf numFmtId="0" fontId="0" fillId="0" borderId="0" xfId="0"/>
    <xf numFmtId="9" fontId="0" fillId="0" borderId="0" xfId="0" applyNumberFormat="1"/>
    <xf numFmtId="0" fontId="24" fillId="0" borderId="0" xfId="26" applyAlignment="1">
      <alignment wrapText="1"/>
    </xf>
    <xf numFmtId="0" fontId="24" fillId="0" borderId="0" xfId="26"/>
    <xf numFmtId="0" fontId="0" fillId="0" borderId="0" xfId="0"/>
    <xf numFmtId="0" fontId="3" fillId="2" borderId="0" xfId="1" applyBorder="1" applyAlignment="1">
      <alignment wrapText="1"/>
    </xf>
    <xf numFmtId="1" fontId="18" fillId="3" borderId="34" xfId="24" applyNumberFormat="1"/>
    <xf numFmtId="0" fontId="14" fillId="4" borderId="12" xfId="3" applyBorder="1"/>
    <xf numFmtId="0" fontId="0" fillId="0" borderId="0" xfId="0"/>
    <xf numFmtId="0" fontId="23" fillId="0" borderId="0" xfId="25" applyAlignment="1">
      <alignment wrapText="1"/>
    </xf>
    <xf numFmtId="0" fontId="14" fillId="5" borderId="20" xfId="23" applyFont="1"/>
    <xf numFmtId="0" fontId="24" fillId="0" borderId="9" xfId="26" applyBorder="1"/>
    <xf numFmtId="0" fontId="0" fillId="0" borderId="0" xfId="0"/>
    <xf numFmtId="0" fontId="24" fillId="0" borderId="0" xfId="26" applyBorder="1" applyAlignment="1">
      <alignment vertical="center" wrapText="1"/>
    </xf>
    <xf numFmtId="0" fontId="24" fillId="0" borderId="10" xfId="26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11" xfId="26" applyBorder="1"/>
    <xf numFmtId="0" fontId="4" fillId="3" borderId="39" xfId="2" applyBorder="1" applyAlignment="1">
      <alignment vertical="center"/>
    </xf>
    <xf numFmtId="0" fontId="4" fillId="3" borderId="1" xfId="2" applyBorder="1" applyAlignment="1"/>
    <xf numFmtId="0" fontId="14" fillId="4" borderId="0" xfId="3" applyBorder="1"/>
    <xf numFmtId="3" fontId="14" fillId="4" borderId="0" xfId="3" applyNumberFormat="1" applyBorder="1"/>
    <xf numFmtId="0" fontId="2" fillId="0" borderId="0" xfId="28"/>
    <xf numFmtId="0" fontId="0" fillId="0" borderId="0" xfId="0"/>
    <xf numFmtId="0" fontId="0" fillId="0" borderId="0" xfId="0"/>
    <xf numFmtId="0" fontId="0" fillId="7" borderId="0" xfId="0" applyFill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/>
    <xf numFmtId="0" fontId="24" fillId="7" borderId="0" xfId="26" applyFill="1" applyBorder="1"/>
    <xf numFmtId="0" fontId="4" fillId="3" borderId="3" xfId="2" applyBorder="1" applyAlignment="1">
      <alignment wrapText="1"/>
    </xf>
    <xf numFmtId="0" fontId="2" fillId="0" borderId="30" xfId="28" applyBorder="1"/>
    <xf numFmtId="0" fontId="2" fillId="0" borderId="24" xfId="28" applyBorder="1"/>
    <xf numFmtId="0" fontId="2" fillId="0" borderId="10" xfId="28" applyBorder="1"/>
    <xf numFmtId="0" fontId="2" fillId="0" borderId="11" xfId="28" applyBorder="1"/>
    <xf numFmtId="0" fontId="14" fillId="4" borderId="0" xfId="3" applyBorder="1" applyAlignment="1">
      <alignment vertical="center" wrapText="1"/>
    </xf>
    <xf numFmtId="0" fontId="0" fillId="0" borderId="0" xfId="0"/>
    <xf numFmtId="0" fontId="0" fillId="0" borderId="0" xfId="0"/>
    <xf numFmtId="0" fontId="8" fillId="5" borderId="20" xfId="23" applyFont="1"/>
    <xf numFmtId="0" fontId="0" fillId="0" borderId="10" xfId="0" applyBorder="1" applyAlignment="1">
      <alignment horizontal="right"/>
    </xf>
    <xf numFmtId="0" fontId="0" fillId="0" borderId="0" xfId="0"/>
    <xf numFmtId="0" fontId="0" fillId="0" borderId="0" xfId="0"/>
    <xf numFmtId="0" fontId="24" fillId="0" borderId="9" xfId="26" applyBorder="1" applyAlignment="1">
      <alignment horizontal="center" wrapText="1"/>
    </xf>
    <xf numFmtId="0" fontId="0" fillId="0" borderId="0" xfId="0"/>
    <xf numFmtId="0" fontId="0" fillId="0" borderId="0" xfId="0"/>
    <xf numFmtId="0" fontId="11" fillId="8" borderId="45" xfId="0" applyFont="1" applyFill="1" applyBorder="1" applyAlignment="1">
      <alignment horizontal="right" vertical="center"/>
    </xf>
    <xf numFmtId="11" fontId="3" fillId="2" borderId="0" xfId="1" applyNumberFormat="1"/>
    <xf numFmtId="0" fontId="0" fillId="0" borderId="0" xfId="0"/>
    <xf numFmtId="0" fontId="0" fillId="0" borderId="9" xfId="0" applyBorder="1" applyAlignment="1">
      <alignment wrapText="1"/>
    </xf>
    <xf numFmtId="0" fontId="4" fillId="3" borderId="31" xfId="2" applyBorder="1" applyAlignment="1">
      <alignment horizontal="center" vertical="center" wrapText="1"/>
    </xf>
    <xf numFmtId="0" fontId="4" fillId="3" borderId="42" xfId="2" applyBorder="1" applyAlignment="1">
      <alignment horizontal="center" vertical="center" wrapText="1"/>
    </xf>
    <xf numFmtId="0" fontId="4" fillId="3" borderId="1" xfId="2" applyNumberFormat="1"/>
    <xf numFmtId="11" fontId="4" fillId="3" borderId="1" xfId="2" applyNumberFormat="1"/>
    <xf numFmtId="0" fontId="0" fillId="0" borderId="0" xfId="0" applyAlignment="1">
      <alignment horizontal="center" wrapText="1"/>
    </xf>
    <xf numFmtId="0" fontId="24" fillId="0" borderId="0" xfId="26" applyAlignment="1">
      <alignment horizontal="center" wrapText="1"/>
    </xf>
    <xf numFmtId="0" fontId="24" fillId="0" borderId="0" xfId="26" applyAlignment="1">
      <alignment horizontal="right" vertical="top" wrapText="1"/>
    </xf>
    <xf numFmtId="0" fontId="0" fillId="0" borderId="0" xfId="0" applyAlignment="1">
      <alignment horizontal="left"/>
    </xf>
    <xf numFmtId="0" fontId="31" fillId="0" borderId="9" xfId="26" applyFont="1" applyFill="1" applyBorder="1" applyAlignment="1">
      <alignment vertical="center" wrapText="1"/>
    </xf>
    <xf numFmtId="0" fontId="31" fillId="0" borderId="11" xfId="26" applyFont="1" applyFill="1" applyBorder="1" applyAlignment="1">
      <alignment vertical="center" wrapText="1"/>
    </xf>
    <xf numFmtId="0" fontId="31" fillId="0" borderId="9" xfId="26" applyFont="1" applyFill="1" applyBorder="1" applyAlignment="1">
      <alignment horizontal="center" vertical="center" wrapText="1"/>
    </xf>
    <xf numFmtId="0" fontId="31" fillId="0" borderId="9" xfId="26" applyFont="1" applyBorder="1" applyAlignment="1">
      <alignment wrapText="1"/>
    </xf>
    <xf numFmtId="0" fontId="2" fillId="0" borderId="0" xfId="28" applyBorder="1"/>
    <xf numFmtId="2" fontId="0" fillId="0" borderId="10" xfId="0" applyNumberFormat="1" applyBorder="1"/>
    <xf numFmtId="0" fontId="0" fillId="0" borderId="0" xfId="0"/>
    <xf numFmtId="0" fontId="4" fillId="3" borderId="32" xfId="2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/>
    <xf numFmtId="0" fontId="4" fillId="3" borderId="38" xfId="2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2" xfId="0" applyBorder="1"/>
    <xf numFmtId="0" fontId="0" fillId="0" borderId="12" xfId="0" applyFill="1" applyBorder="1"/>
    <xf numFmtId="0" fontId="0" fillId="0" borderId="12" xfId="0" applyBorder="1" applyAlignment="1">
      <alignment wrapText="1"/>
    </xf>
    <xf numFmtId="9" fontId="0" fillId="0" borderId="12" xfId="0" applyNumberFormat="1" applyBorder="1"/>
    <xf numFmtId="4" fontId="0" fillId="0" borderId="12" xfId="0" applyNumberFormat="1" applyBorder="1"/>
    <xf numFmtId="0" fontId="0" fillId="7" borderId="12" xfId="0" applyFill="1" applyBorder="1"/>
    <xf numFmtId="0" fontId="4" fillId="3" borderId="49" xfId="2" applyBorder="1"/>
    <xf numFmtId="0" fontId="4" fillId="3" borderId="50" xfId="2" applyBorder="1"/>
    <xf numFmtId="0" fontId="4" fillId="3" borderId="51" xfId="2" applyBorder="1"/>
    <xf numFmtId="0" fontId="24" fillId="0" borderId="48" xfId="26" applyBorder="1" applyAlignment="1">
      <alignment wrapText="1"/>
    </xf>
    <xf numFmtId="0" fontId="24" fillId="0" borderId="48" xfId="26" applyBorder="1"/>
    <xf numFmtId="0" fontId="0" fillId="7" borderId="48" xfId="0" applyNumberFormat="1" applyFill="1" applyBorder="1"/>
    <xf numFmtId="0" fontId="0" fillId="0" borderId="48" xfId="0" applyBorder="1"/>
    <xf numFmtId="0" fontId="24" fillId="0" borderId="48" xfId="26" applyBorder="1" applyAlignment="1">
      <alignment vertical="center" wrapText="1"/>
    </xf>
    <xf numFmtId="0" fontId="0" fillId="0" borderId="53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7" borderId="0" xfId="26" applyFill="1" applyBorder="1" applyAlignment="1">
      <alignment horizontal="center" wrapText="1"/>
    </xf>
    <xf numFmtId="0" fontId="4" fillId="3" borderId="40" xfId="2" applyBorder="1"/>
    <xf numFmtId="0" fontId="4" fillId="3" borderId="56" xfId="2" applyBorder="1" applyAlignment="1">
      <alignment wrapText="1"/>
    </xf>
    <xf numFmtId="0" fontId="4" fillId="3" borderId="56" xfId="2" applyBorder="1"/>
    <xf numFmtId="0" fontId="24" fillId="7" borderId="48" xfId="26" applyFill="1" applyBorder="1" applyAlignment="1">
      <alignment horizontal="center" wrapText="1"/>
    </xf>
    <xf numFmtId="0" fontId="23" fillId="0" borderId="48" xfId="25" applyBorder="1" applyAlignment="1">
      <alignment wrapText="1"/>
    </xf>
    <xf numFmtId="0" fontId="24" fillId="7" borderId="58" xfId="26" applyFill="1" applyBorder="1" applyAlignment="1">
      <alignment horizontal="center" wrapText="1"/>
    </xf>
    <xf numFmtId="0" fontId="4" fillId="3" borderId="12" xfId="2" applyBorder="1" applyAlignment="1">
      <alignment horizontal="left" vertical="center" wrapText="1"/>
    </xf>
    <xf numFmtId="0" fontId="4" fillId="3" borderId="12" xfId="2" applyBorder="1" applyAlignment="1">
      <alignment horizontal="left" vertical="center"/>
    </xf>
    <xf numFmtId="3" fontId="0" fillId="0" borderId="12" xfId="0" applyNumberFormat="1" applyBorder="1"/>
    <xf numFmtId="0" fontId="2" fillId="7" borderId="0" xfId="28" applyFill="1"/>
    <xf numFmtId="0" fontId="4" fillId="3" borderId="12" xfId="2" applyBorder="1" applyAlignment="1">
      <alignment vertical="center"/>
    </xf>
    <xf numFmtId="0" fontId="4" fillId="3" borderId="12" xfId="2" applyBorder="1" applyAlignment="1">
      <alignment vertical="center" wrapText="1"/>
    </xf>
    <xf numFmtId="0" fontId="14" fillId="4" borderId="12" xfId="3" applyBorder="1" applyAlignment="1">
      <alignment horizontal="right"/>
    </xf>
    <xf numFmtId="0" fontId="4" fillId="3" borderId="12" xfId="2" applyBorder="1" applyAlignment="1">
      <alignment wrapText="1"/>
    </xf>
    <xf numFmtId="0" fontId="2" fillId="7" borderId="12" xfId="28" applyFill="1" applyBorder="1"/>
    <xf numFmtId="0" fontId="0" fillId="0" borderId="0" xfId="0"/>
    <xf numFmtId="0" fontId="0" fillId="0" borderId="0" xfId="0"/>
    <xf numFmtId="0" fontId="4" fillId="3" borderId="59" xfId="2" applyBorder="1"/>
    <xf numFmtId="0" fontId="0" fillId="0" borderId="12" xfId="0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4" fillId="3" borderId="12" xfId="2" applyBorder="1" applyAlignment="1">
      <alignment horizontal="center" vertical="center" wrapText="1"/>
    </xf>
    <xf numFmtId="0" fontId="0" fillId="0" borderId="0" xfId="0"/>
    <xf numFmtId="0" fontId="0" fillId="0" borderId="60" xfId="0" applyBorder="1" applyAlignment="1">
      <alignment wrapText="1"/>
    </xf>
    <xf numFmtId="0" fontId="24" fillId="0" borderId="54" xfId="26" applyBorder="1" applyAlignment="1">
      <alignment wrapText="1"/>
    </xf>
    <xf numFmtId="0" fontId="0" fillId="0" borderId="0" xfId="0"/>
    <xf numFmtId="0" fontId="0" fillId="0" borderId="12" xfId="0" applyFon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0" fontId="24" fillId="7" borderId="54" xfId="26" applyFill="1" applyBorder="1" applyAlignment="1">
      <alignment horizontal="center" wrapText="1"/>
    </xf>
    <xf numFmtId="0" fontId="4" fillId="3" borderId="61" xfId="2" applyBorder="1" applyAlignment="1">
      <alignment wrapText="1"/>
    </xf>
    <xf numFmtId="0" fontId="4" fillId="3" borderId="62" xfId="2" applyBorder="1" applyAlignment="1">
      <alignment wrapText="1"/>
    </xf>
    <xf numFmtId="0" fontId="0" fillId="0" borderId="57" xfId="0" applyBorder="1" applyAlignment="1">
      <alignment horizontal="center" vertical="center"/>
    </xf>
    <xf numFmtId="9" fontId="0" fillId="7" borderId="0" xfId="29" applyFont="1" applyFill="1"/>
    <xf numFmtId="0" fontId="0" fillId="7" borderId="53" xfId="0" applyFill="1" applyBorder="1"/>
    <xf numFmtId="0" fontId="34" fillId="3" borderId="1" xfId="2" applyFont="1"/>
    <xf numFmtId="166" fontId="0" fillId="0" borderId="0" xfId="0" applyNumberFormat="1"/>
    <xf numFmtId="0" fontId="0" fillId="0" borderId="60" xfId="0" applyBorder="1"/>
    <xf numFmtId="0" fontId="0" fillId="7" borderId="60" xfId="0" applyFill="1" applyBorder="1"/>
    <xf numFmtId="0" fontId="4" fillId="3" borderId="52" xfId="2" applyBorder="1"/>
    <xf numFmtId="0" fontId="0" fillId="0" borderId="0" xfId="0"/>
    <xf numFmtId="167" fontId="0" fillId="7" borderId="0" xfId="0" applyNumberFormat="1" applyFill="1" applyBorder="1"/>
    <xf numFmtId="0" fontId="4" fillId="3" borderId="12" xfId="2" applyFont="1" applyBorder="1" applyAlignment="1">
      <alignment horizontal="left" vertical="center" wrapText="1"/>
    </xf>
    <xf numFmtId="0" fontId="4" fillId="3" borderId="1" xfId="2" applyFont="1"/>
    <xf numFmtId="0" fontId="4" fillId="3" borderId="12" xfId="2" applyFont="1" applyBorder="1" applyAlignment="1">
      <alignment horizontal="left" vertical="center"/>
    </xf>
    <xf numFmtId="0" fontId="4" fillId="3" borderId="52" xfId="2" applyFont="1" applyBorder="1"/>
    <xf numFmtId="0" fontId="4" fillId="3" borderId="12" xfId="2" applyFont="1" applyBorder="1"/>
    <xf numFmtId="0" fontId="4" fillId="3" borderId="14" xfId="2" applyFont="1" applyBorder="1"/>
    <xf numFmtId="0" fontId="4" fillId="3" borderId="16" xfId="2" applyFont="1" applyBorder="1"/>
    <xf numFmtId="0" fontId="4" fillId="3" borderId="12" xfId="2" applyFont="1" applyBorder="1" applyAlignment="1">
      <alignment horizontal="right" vertical="center" wrapText="1"/>
    </xf>
    <xf numFmtId="0" fontId="4" fillId="3" borderId="1" xfId="2" applyFont="1" applyAlignment="1">
      <alignment horizontal="right" vertical="center"/>
    </xf>
    <xf numFmtId="0" fontId="4" fillId="3" borderId="12" xfId="2" applyFont="1" applyBorder="1" applyAlignment="1">
      <alignment horizontal="right" vertical="center"/>
    </xf>
    <xf numFmtId="0" fontId="4" fillId="3" borderId="52" xfId="2" applyFont="1" applyBorder="1" applyAlignment="1">
      <alignment horizontal="right"/>
    </xf>
    <xf numFmtId="0" fontId="0" fillId="0" borderId="0" xfId="0"/>
    <xf numFmtId="0" fontId="33" fillId="3" borderId="1" xfId="2" applyFont="1" applyAlignment="1">
      <alignment horizontal="center"/>
    </xf>
    <xf numFmtId="0" fontId="24" fillId="0" borderId="36" xfId="26" applyBorder="1" applyAlignment="1">
      <alignment horizontal="center" wrapText="1"/>
    </xf>
    <xf numFmtId="0" fontId="29" fillId="7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4" fillId="3" borderId="1" xfId="2" applyBorder="1" applyAlignment="1">
      <alignment horizontal="center"/>
    </xf>
    <xf numFmtId="0" fontId="4" fillId="3" borderId="39" xfId="2" applyBorder="1" applyAlignment="1">
      <alignment horizontal="center"/>
    </xf>
    <xf numFmtId="0" fontId="4" fillId="3" borderId="44" xfId="2" applyBorder="1" applyAlignment="1">
      <alignment horizontal="center"/>
    </xf>
    <xf numFmtId="0" fontId="4" fillId="3" borderId="42" xfId="2" applyBorder="1" applyAlignment="1">
      <alignment horizontal="center"/>
    </xf>
    <xf numFmtId="0" fontId="4" fillId="3" borderId="43" xfId="2" applyBorder="1" applyAlignment="1">
      <alignment horizontal="center"/>
    </xf>
    <xf numFmtId="0" fontId="24" fillId="0" borderId="36" xfId="26" applyBorder="1" applyAlignment="1">
      <alignment horizontal="center" vertical="center" wrapText="1"/>
    </xf>
    <xf numFmtId="0" fontId="24" fillId="0" borderId="0" xfId="26" applyBorder="1" applyAlignment="1">
      <alignment horizontal="center" vertical="center" wrapText="1"/>
    </xf>
    <xf numFmtId="0" fontId="24" fillId="0" borderId="48" xfId="26" applyBorder="1" applyAlignment="1">
      <alignment horizontal="center" wrapText="1"/>
    </xf>
    <xf numFmtId="0" fontId="32" fillId="0" borderId="47" xfId="26" applyFont="1" applyBorder="1" applyAlignment="1">
      <alignment horizontal="center" vertical="center" wrapText="1"/>
    </xf>
    <xf numFmtId="0" fontId="32" fillId="0" borderId="9" xfId="26" applyFont="1" applyBorder="1" applyAlignment="1">
      <alignment horizontal="center" vertical="center" wrapText="1"/>
    </xf>
    <xf numFmtId="0" fontId="4" fillId="3" borderId="16" xfId="2" applyBorder="1" applyAlignment="1">
      <alignment horizontal="center" vertical="center" wrapText="1"/>
    </xf>
    <xf numFmtId="0" fontId="4" fillId="3" borderId="33" xfId="2" applyBorder="1" applyAlignment="1">
      <alignment horizontal="center" vertical="center" wrapText="1"/>
    </xf>
    <xf numFmtId="0" fontId="4" fillId="3" borderId="16" xfId="2" applyBorder="1" applyAlignment="1">
      <alignment horizontal="center" vertical="center"/>
    </xf>
    <xf numFmtId="0" fontId="4" fillId="3" borderId="33" xfId="2" applyBorder="1" applyAlignment="1">
      <alignment horizontal="center" vertical="center"/>
    </xf>
    <xf numFmtId="0" fontId="24" fillId="0" borderId="48" xfId="26" applyBorder="1" applyAlignment="1">
      <alignment horizontal="center" vertical="center" wrapText="1"/>
    </xf>
    <xf numFmtId="0" fontId="24" fillId="0" borderId="54" xfId="26" applyBorder="1" applyAlignment="1">
      <alignment wrapText="1"/>
    </xf>
    <xf numFmtId="0" fontId="24" fillId="0" borderId="55" xfId="26" applyBorder="1" applyAlignment="1">
      <alignment wrapText="1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2" applyBorder="1" applyAlignment="1">
      <alignment horizontal="center" vertical="center"/>
    </xf>
    <xf numFmtId="0" fontId="4" fillId="3" borderId="39" xfId="2" applyBorder="1" applyAlignment="1">
      <alignment horizontal="center" vertical="center"/>
    </xf>
    <xf numFmtId="0" fontId="4" fillId="3" borderId="31" xfId="2" applyBorder="1" applyAlignment="1">
      <alignment horizontal="center" vertical="center" wrapText="1"/>
    </xf>
    <xf numFmtId="0" fontId="4" fillId="3" borderId="42" xfId="2" applyBorder="1" applyAlignment="1">
      <alignment horizontal="center" vertical="center" wrapText="1"/>
    </xf>
    <xf numFmtId="0" fontId="4" fillId="3" borderId="43" xfId="2" applyBorder="1" applyAlignment="1">
      <alignment horizontal="center" vertical="center" wrapText="1"/>
    </xf>
    <xf numFmtId="0" fontId="4" fillId="3" borderId="22" xfId="2" applyBorder="1" applyAlignment="1">
      <alignment horizontal="center"/>
    </xf>
    <xf numFmtId="0" fontId="4" fillId="3" borderId="35" xfId="2" applyBorder="1" applyAlignment="1">
      <alignment horizontal="center"/>
    </xf>
    <xf numFmtId="0" fontId="24" fillId="0" borderId="37" xfId="26" applyBorder="1" applyAlignment="1">
      <alignment horizontal="center" vertical="center" wrapText="1"/>
    </xf>
    <xf numFmtId="0" fontId="24" fillId="0" borderId="37" xfId="26" applyBorder="1" applyAlignment="1">
      <alignment horizontal="center" wrapText="1"/>
    </xf>
    <xf numFmtId="0" fontId="4" fillId="3" borderId="1" xfId="2" applyAlignment="1">
      <alignment horizontal="center"/>
    </xf>
    <xf numFmtId="0" fontId="4" fillId="3" borderId="16" xfId="2" applyBorder="1" applyAlignment="1">
      <alignment horizontal="center"/>
    </xf>
    <xf numFmtId="0" fontId="4" fillId="3" borderId="32" xfId="2" applyBorder="1" applyAlignment="1">
      <alignment horizontal="center"/>
    </xf>
    <xf numFmtId="0" fontId="4" fillId="3" borderId="33" xfId="2" applyBorder="1" applyAlignment="1">
      <alignment horizontal="center"/>
    </xf>
    <xf numFmtId="0" fontId="0" fillId="5" borderId="20" xfId="23" applyFont="1" applyAlignment="1">
      <alignment horizontal="center"/>
    </xf>
    <xf numFmtId="0" fontId="4" fillId="3" borderId="27" xfId="2" applyBorder="1" applyAlignment="1">
      <alignment horizontal="center"/>
    </xf>
    <xf numFmtId="0" fontId="4" fillId="3" borderId="28" xfId="2" applyBorder="1" applyAlignment="1">
      <alignment horizontal="center"/>
    </xf>
    <xf numFmtId="0" fontId="4" fillId="3" borderId="29" xfId="2" applyBorder="1" applyAlignment="1">
      <alignment horizontal="center"/>
    </xf>
    <xf numFmtId="0" fontId="3" fillId="2" borderId="23" xfId="1" applyBorder="1" applyAlignment="1">
      <alignment horizontal="center"/>
    </xf>
    <xf numFmtId="0" fontId="3" fillId="2" borderId="24" xfId="1" applyBorder="1" applyAlignment="1">
      <alignment horizontal="center"/>
    </xf>
    <xf numFmtId="0" fontId="3" fillId="2" borderId="0" xfId="1" applyBorder="1" applyAlignment="1">
      <alignment horizontal="center"/>
    </xf>
    <xf numFmtId="0" fontId="4" fillId="3" borderId="23" xfId="2" applyBorder="1" applyAlignment="1">
      <alignment horizontal="center"/>
    </xf>
    <xf numFmtId="0" fontId="4" fillId="3" borderId="30" xfId="2" applyBorder="1" applyAlignment="1">
      <alignment horizontal="center"/>
    </xf>
    <xf numFmtId="0" fontId="4" fillId="3" borderId="21" xfId="2" applyBorder="1" applyAlignment="1">
      <alignment horizontal="center"/>
    </xf>
    <xf numFmtId="0" fontId="4" fillId="3" borderId="31" xfId="2" applyBorder="1" applyAlignment="1">
      <alignment horizontal="center"/>
    </xf>
    <xf numFmtId="0" fontId="3" fillId="2" borderId="30" xfId="1" applyBorder="1" applyAlignment="1">
      <alignment horizontal="center"/>
    </xf>
    <xf numFmtId="0" fontId="4" fillId="3" borderId="1" xfId="2" applyAlignment="1">
      <alignment horizontal="center" wrapText="1"/>
    </xf>
    <xf numFmtId="0" fontId="4" fillId="3" borderId="12" xfId="2" applyBorder="1" applyAlignment="1">
      <alignment horizontal="center"/>
    </xf>
    <xf numFmtId="0" fontId="4" fillId="3" borderId="46" xfId="2" applyBorder="1" applyAlignment="1">
      <alignment horizontal="center" vertical="center"/>
    </xf>
    <xf numFmtId="0" fontId="4" fillId="3" borderId="32" xfId="2" applyBorder="1" applyAlignment="1">
      <alignment horizontal="center" vertical="center"/>
    </xf>
    <xf numFmtId="0" fontId="24" fillId="0" borderId="0" xfId="26" applyAlignment="1">
      <alignment horizontal="center" vertical="center" wrapText="1"/>
    </xf>
    <xf numFmtId="0" fontId="30" fillId="0" borderId="23" xfId="0" applyFont="1" applyBorder="1" applyAlignment="1">
      <alignment horizontal="center" vertical="top" wrapText="1"/>
    </xf>
    <xf numFmtId="0" fontId="0" fillId="0" borderId="30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24" fillId="0" borderId="0" xfId="26" applyBorder="1" applyAlignment="1">
      <alignment horizontal="center" wrapText="1"/>
    </xf>
    <xf numFmtId="0" fontId="0" fillId="0" borderId="0" xfId="0"/>
    <xf numFmtId="0" fontId="4" fillId="0" borderId="15" xfId="2" applyFill="1" applyBorder="1" applyAlignment="1">
      <alignment horizontal="center" vertical="center" wrapText="1"/>
    </xf>
    <xf numFmtId="0" fontId="4" fillId="0" borderId="0" xfId="2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8" fillId="0" borderId="3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3" borderId="16" xfId="2" applyBorder="1" applyAlignment="1">
      <alignment horizontal="center" wrapText="1"/>
    </xf>
    <xf numFmtId="0" fontId="4" fillId="3" borderId="32" xfId="2" applyBorder="1" applyAlignment="1">
      <alignment horizontal="center" wrapText="1"/>
    </xf>
    <xf numFmtId="0" fontId="4" fillId="3" borderId="33" xfId="2" applyBorder="1" applyAlignment="1">
      <alignment horizontal="center" wrapText="1"/>
    </xf>
    <xf numFmtId="0" fontId="4" fillId="3" borderId="52" xfId="2" applyBorder="1" applyAlignment="1">
      <alignment horizontal="center" vertical="center" wrapText="1"/>
    </xf>
    <xf numFmtId="0" fontId="4" fillId="3" borderId="14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" xfId="2" applyAlignment="1">
      <alignment horizontal="center" vertical="center" wrapText="1"/>
    </xf>
    <xf numFmtId="0" fontId="3" fillId="2" borderId="0" xfId="1" applyAlignment="1">
      <alignment horizontal="center" vertical="center" wrapText="1"/>
    </xf>
  </cellXfs>
  <cellStyles count="30">
    <cellStyle name="Ausgabe" xfId="2" builtinId="21"/>
    <cellStyle name="Berechnung" xfId="24" builtinId="22"/>
    <cellStyle name="Besuchter Hyperlink" xfId="5" builtinId="9" hidden="1"/>
    <cellStyle name="Besuchter Hyperlink" xfId="6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Erklärender Text" xfId="26" builtinId="53"/>
    <cellStyle name="Gut" xfId="1" builtinId="26"/>
    <cellStyle name="Link" xfId="4" builtinId="8" hidden="1"/>
    <cellStyle name="Link" xfId="25" builtinId="8"/>
    <cellStyle name="Neutral" xfId="3" builtinId="28"/>
    <cellStyle name="Notiz" xfId="23" builtinId="10"/>
    <cellStyle name="Prozent" xfId="29" builtinId="5"/>
    <cellStyle name="Schlecht" xfId="27" builtinId="27"/>
    <cellStyle name="Standard" xfId="0" builtinId="0"/>
    <cellStyle name="Standard 2" xfId="28" xr:uid="{00000000-0005-0000-0000-00001C000000}"/>
  </cellStyles>
  <dxfs count="0"/>
  <tableStyles count="1" defaultTableStyle="TableStyleMedium9" defaultPivotStyle="PivotStyleMedium7">
    <tableStyle name="Tabellenformat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8.7335739282589669E-2"/>
          <c:y val="0.29190981335666377"/>
          <c:w val="0.52821872265966752"/>
          <c:h val="0.58748067949839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'Gerdemann et al.'!$B$2</c:f>
              <c:strCache>
                <c:ptCount val="1"/>
                <c:pt idx="0">
                  <c:v>Extent of reaction in % for Olivine (&lt;75µm)</c:v>
                </c:pt>
              </c:strCache>
            </c:strRef>
          </c:tx>
          <c:trendline>
            <c:trendlineType val="poly"/>
            <c:order val="4"/>
            <c:dispRSqr val="0"/>
            <c:dispEq val="1"/>
            <c:trendlineLbl>
              <c:layout>
                <c:manualLayout>
                  <c:x val="0.13747653543307087"/>
                  <c:y val="-0.11550168329464575"/>
                </c:manualLayout>
              </c:layout>
              <c:numFmt formatCode="General" sourceLinked="0"/>
            </c:trendlineLbl>
          </c:trendline>
          <c:xVal>
            <c:numRef>
              <c:f>'Gerdemann et al.'!$A$3:$A$31</c:f>
              <c:numCache>
                <c:formatCode>General</c:formatCode>
                <c:ptCount val="29"/>
                <c:pt idx="1">
                  <c:v>9.8293268409856305E-2</c:v>
                </c:pt>
                <c:pt idx="2">
                  <c:v>0.199175293913056</c:v>
                </c:pt>
                <c:pt idx="3">
                  <c:v>0.30009607175487202</c:v>
                </c:pt>
                <c:pt idx="4">
                  <c:v>0.470722932392384</c:v>
                </c:pt>
                <c:pt idx="5">
                  <c:v>0.36321394327636902</c:v>
                </c:pt>
                <c:pt idx="6">
                  <c:v>0.67783772177999402</c:v>
                </c:pt>
                <c:pt idx="7">
                  <c:v>0.82866182367510799</c:v>
                </c:pt>
                <c:pt idx="8">
                  <c:v>0.99211709097115397</c:v>
                </c:pt>
                <c:pt idx="9">
                  <c:v>1.2554555380485799</c:v>
                </c:pt>
                <c:pt idx="10">
                  <c:v>1.5187276532009499</c:v>
                </c:pt>
                <c:pt idx="11">
                  <c:v>1.7820145647008001</c:v>
                </c:pt>
                <c:pt idx="12">
                  <c:v>2.0258055269367099</c:v>
                </c:pt>
                <c:pt idx="13">
                  <c:v>2.2960643364476301</c:v>
                </c:pt>
                <c:pt idx="14">
                  <c:v>2.5593283488382901</c:v>
                </c:pt>
                <c:pt idx="15">
                  <c:v>2.7850219689403302</c:v>
                </c:pt>
                <c:pt idx="16">
                  <c:v>3.02319912648667</c:v>
                </c:pt>
                <c:pt idx="17">
                  <c:v>3.2985309694164702</c:v>
                </c:pt>
                <c:pt idx="18">
                  <c:v>3.57382053706778</c:v>
                </c:pt>
                <c:pt idx="19">
                  <c:v>3.8491277194184699</c:v>
                </c:pt>
                <c:pt idx="20">
                  <c:v>4.1244172870697797</c:v>
                </c:pt>
                <c:pt idx="21">
                  <c:v>4.3997174235407099</c:v>
                </c:pt>
                <c:pt idx="22">
                  <c:v>4.6750175600116499</c:v>
                </c:pt>
                <c:pt idx="23">
                  <c:v>4.9503141735427096</c:v>
                </c:pt>
                <c:pt idx="24">
                  <c:v>5.2256002182541401</c:v>
                </c:pt>
                <c:pt idx="25">
                  <c:v>5.5009038776649497</c:v>
                </c:pt>
                <c:pt idx="26">
                  <c:v>5.7762040141358897</c:v>
                </c:pt>
                <c:pt idx="27">
                  <c:v>6.0515182423663196</c:v>
                </c:pt>
                <c:pt idx="28">
                  <c:v>6.2014862698719897</c:v>
                </c:pt>
              </c:numCache>
            </c:numRef>
          </c:xVal>
          <c:yVal>
            <c:numRef>
              <c:f>'Gerdemann et al.'!$B$3:$B$31</c:f>
              <c:numCache>
                <c:formatCode>General</c:formatCode>
                <c:ptCount val="29"/>
                <c:pt idx="1">
                  <c:v>8.2221715284844996E-2</c:v>
                </c:pt>
                <c:pt idx="2">
                  <c:v>0.123188750053195</c:v>
                </c:pt>
                <c:pt idx="3">
                  <c:v>0.16591514099473001</c:v>
                </c:pt>
                <c:pt idx="4">
                  <c:v>0.233769485732679</c:v>
                </c:pt>
                <c:pt idx="5">
                  <c:v>0.19454343114761199</c:v>
                </c:pt>
                <c:pt idx="6">
                  <c:v>0.29384759059681298</c:v>
                </c:pt>
                <c:pt idx="7">
                  <c:v>0.332646432019575</c:v>
                </c:pt>
                <c:pt idx="8">
                  <c:v>0.37751556726008401</c:v>
                </c:pt>
                <c:pt idx="9">
                  <c:v>0.41800414149857401</c:v>
                </c:pt>
                <c:pt idx="10">
                  <c:v>0.45548124633932502</c:v>
                </c:pt>
                <c:pt idx="11">
                  <c:v>0.493630105355293</c:v>
                </c:pt>
                <c:pt idx="12">
                  <c:v>0.529261158386932</c:v>
                </c:pt>
                <c:pt idx="13">
                  <c:v>0.56872051189233397</c:v>
                </c:pt>
                <c:pt idx="14">
                  <c:v>0.60582975135141903</c:v>
                </c:pt>
                <c:pt idx="15">
                  <c:v>0.63939702706096302</c:v>
                </c:pt>
                <c:pt idx="16">
                  <c:v>0.67233228735707296</c:v>
                </c:pt>
                <c:pt idx="17">
                  <c:v>0.68993641790855098</c:v>
                </c:pt>
                <c:pt idx="18">
                  <c:v>0.70562125081655402</c:v>
                </c:pt>
                <c:pt idx="19">
                  <c:v>0.72210579107600503</c:v>
                </c:pt>
                <c:pt idx="20">
                  <c:v>0.73779062398400796</c:v>
                </c:pt>
                <c:pt idx="21">
                  <c:v>0.75395528130288003</c:v>
                </c:pt>
                <c:pt idx="22">
                  <c:v>0.77011993862175099</c:v>
                </c:pt>
                <c:pt idx="23">
                  <c:v>0.78612465447033397</c:v>
                </c:pt>
                <c:pt idx="24">
                  <c:v>0.80164954590804705</c:v>
                </c:pt>
                <c:pt idx="25">
                  <c:v>0.81797414469720797</c:v>
                </c:pt>
                <c:pt idx="26">
                  <c:v>0.83413880201608004</c:v>
                </c:pt>
                <c:pt idx="27">
                  <c:v>0.85094322521610999</c:v>
                </c:pt>
                <c:pt idx="28">
                  <c:v>0.85087628935850002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84-9043-ACBC-8ECA4CF26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690112"/>
        <c:axId val="369691648"/>
      </c:scatterChart>
      <c:valAx>
        <c:axId val="369690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9691648"/>
        <c:crosses val="autoZero"/>
        <c:crossBetween val="midCat"/>
      </c:valAx>
      <c:valAx>
        <c:axId val="36969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96901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noFill/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'Gerdemann et al.'!$B$34</c:f>
              <c:strCache>
                <c:ptCount val="1"/>
                <c:pt idx="0">
                  <c:v>Rx/RxMax Olivine 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35447956429381416"/>
                  <c:y val="-0.31705875930690303"/>
                </c:manualLayout>
              </c:layout>
              <c:numFmt formatCode="General" sourceLinked="0"/>
            </c:trendlineLbl>
          </c:trendline>
          <c:xVal>
            <c:numRef>
              <c:f>'Gerdemann et al.'!$A$64:$A$73</c:f>
              <c:numCache>
                <c:formatCode>General</c:formatCode>
                <c:ptCount val="10"/>
                <c:pt idx="0">
                  <c:v>194.45648613760201</c:v>
                </c:pt>
                <c:pt idx="1">
                  <c:v>201.18297593587999</c:v>
                </c:pt>
                <c:pt idx="2">
                  <c:v>207.26884765813099</c:v>
                </c:pt>
                <c:pt idx="3">
                  <c:v>213.67502841839499</c:v>
                </c:pt>
                <c:pt idx="4">
                  <c:v>216.87811879852799</c:v>
                </c:pt>
                <c:pt idx="5">
                  <c:v>223.924917634818</c:v>
                </c:pt>
                <c:pt idx="6">
                  <c:v>230.971716471109</c:v>
                </c:pt>
                <c:pt idx="7">
                  <c:v>238.01851530740001</c:v>
                </c:pt>
                <c:pt idx="8">
                  <c:v>244.38198819592901</c:v>
                </c:pt>
                <c:pt idx="9">
                  <c:v>248.90902259984901</c:v>
                </c:pt>
              </c:numCache>
            </c:numRef>
          </c:xVal>
          <c:yVal>
            <c:numRef>
              <c:f>'Gerdemann et al.'!$B$64:$B$73</c:f>
              <c:numCache>
                <c:formatCode>General</c:formatCode>
                <c:ptCount val="10"/>
                <c:pt idx="0">
                  <c:v>0.96854455371616699</c:v>
                </c:pt>
                <c:pt idx="1">
                  <c:v>0.904756091691159</c:v>
                </c:pt>
                <c:pt idx="2">
                  <c:v>0.84454186817004595</c:v>
                </c:pt>
                <c:pt idx="3">
                  <c:v>0.77697044345338395</c:v>
                </c:pt>
                <c:pt idx="4">
                  <c:v>0.74151606421861505</c:v>
                </c:pt>
                <c:pt idx="5">
                  <c:v>0.69717811495328896</c:v>
                </c:pt>
                <c:pt idx="6">
                  <c:v>0.64165225824124394</c:v>
                </c:pt>
                <c:pt idx="7">
                  <c:v>0.58426970754799901</c:v>
                </c:pt>
                <c:pt idx="8">
                  <c:v>0.52374925698039299</c:v>
                </c:pt>
                <c:pt idx="9">
                  <c:v>0.52809044526872995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81-4047-B26C-8085D3C98AC8}"/>
            </c:ext>
          </c:extLst>
        </c:ser>
        <c:ser>
          <c:idx val="0"/>
          <c:order val="1"/>
          <c:tx>
            <c:strRef>
              <c:f>'Gerdemann et al.'!$B$34</c:f>
              <c:strCache>
                <c:ptCount val="1"/>
                <c:pt idx="0">
                  <c:v>Rx/RxMax Olivine 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'Gerdemann et al.'!$A$36:$A$61</c:f>
              <c:numCache>
                <c:formatCode>General</c:formatCode>
                <c:ptCount val="26"/>
                <c:pt idx="0">
                  <c:v>24.948943221008399</c:v>
                </c:pt>
                <c:pt idx="1">
                  <c:v>31.739494826888599</c:v>
                </c:pt>
                <c:pt idx="2">
                  <c:v>38.7862936631794</c:v>
                </c:pt>
                <c:pt idx="3">
                  <c:v>45.833092499470098</c:v>
                </c:pt>
                <c:pt idx="4">
                  <c:v>52.879891335760902</c:v>
                </c:pt>
                <c:pt idx="5">
                  <c:v>59.9266901720517</c:v>
                </c:pt>
                <c:pt idx="6">
                  <c:v>66.375578804051102</c:v>
                </c:pt>
                <c:pt idx="7">
                  <c:v>74.020287844633202</c:v>
                </c:pt>
                <c:pt idx="8">
                  <c:v>81.067086680924007</c:v>
                </c:pt>
                <c:pt idx="9">
                  <c:v>88.113885517214797</c:v>
                </c:pt>
                <c:pt idx="10">
                  <c:v>94.904437123094993</c:v>
                </c:pt>
                <c:pt idx="11">
                  <c:v>102.20748318979599</c:v>
                </c:pt>
                <c:pt idx="12">
                  <c:v>109.254282026087</c:v>
                </c:pt>
                <c:pt idx="13">
                  <c:v>116.30108086237701</c:v>
                </c:pt>
                <c:pt idx="14">
                  <c:v>123.080955500324</c:v>
                </c:pt>
                <c:pt idx="15">
                  <c:v>127.298357834165</c:v>
                </c:pt>
                <c:pt idx="16">
                  <c:v>131.996223725025</c:v>
                </c:pt>
                <c:pt idx="17">
                  <c:v>136.16024121919699</c:v>
                </c:pt>
                <c:pt idx="18">
                  <c:v>139.28325433982599</c:v>
                </c:pt>
                <c:pt idx="19">
                  <c:v>143.84765813151401</c:v>
                </c:pt>
                <c:pt idx="20">
                  <c:v>147.37105754965901</c:v>
                </c:pt>
                <c:pt idx="21">
                  <c:v>152.58335916823799</c:v>
                </c:pt>
                <c:pt idx="22">
                  <c:v>156.44648029336699</c:v>
                </c:pt>
                <c:pt idx="23">
                  <c:v>161.46465522224099</c:v>
                </c:pt>
                <c:pt idx="24">
                  <c:v>166.98998612796899</c:v>
                </c:pt>
                <c:pt idx="25">
                  <c:v>173.31608962873</c:v>
                </c:pt>
              </c:numCache>
            </c:numRef>
          </c:xVal>
          <c:yVal>
            <c:numRef>
              <c:f>'Gerdemann et al.'!$B$36:$B$61</c:f>
              <c:numCache>
                <c:formatCode>General</c:formatCode>
                <c:ptCount val="26"/>
                <c:pt idx="0">
                  <c:v>-5.9225363107186998E-3</c:v>
                </c:pt>
                <c:pt idx="1">
                  <c:v>3.3800340035288201E-3</c:v>
                </c:pt>
                <c:pt idx="2">
                  <c:v>4.6159647167529601E-3</c:v>
                </c:pt>
                <c:pt idx="3">
                  <c:v>9.3000413950636799E-3</c:v>
                </c:pt>
                <c:pt idx="4">
                  <c:v>8.9445201244018301E-3</c:v>
                </c:pt>
                <c:pt idx="5">
                  <c:v>1.23023868161407E-2</c:v>
                </c:pt>
                <c:pt idx="6">
                  <c:v>1.1247213612197399E-2</c:v>
                </c:pt>
                <c:pt idx="7">
                  <c:v>2.14052981754475E-2</c:v>
                </c:pt>
                <c:pt idx="8">
                  <c:v>2.9537520818844601E-2</c:v>
                </c:pt>
                <c:pt idx="9">
                  <c:v>4.0587405432699501E-2</c:v>
                </c:pt>
                <c:pt idx="10">
                  <c:v>5.4421880865504299E-2</c:v>
                </c:pt>
                <c:pt idx="11">
                  <c:v>9.7539973107513694E-2</c:v>
                </c:pt>
                <c:pt idx="12">
                  <c:v>0.13585673504528201</c:v>
                </c:pt>
                <c:pt idx="13">
                  <c:v>0.18457098327777399</c:v>
                </c:pt>
                <c:pt idx="14">
                  <c:v>0.236781372536012</c:v>
                </c:pt>
                <c:pt idx="15">
                  <c:v>0.28214966540719999</c:v>
                </c:pt>
                <c:pt idx="16">
                  <c:v>0.36344362050123202</c:v>
                </c:pt>
                <c:pt idx="17">
                  <c:v>0.42605053788057801</c:v>
                </c:pt>
                <c:pt idx="18">
                  <c:v>0.48926561293795101</c:v>
                </c:pt>
                <c:pt idx="19">
                  <c:v>0.55011940868618603</c:v>
                </c:pt>
                <c:pt idx="20">
                  <c:v>0.61513813099072001</c:v>
                </c:pt>
                <c:pt idx="21">
                  <c:v>0.68834445593091798</c:v>
                </c:pt>
                <c:pt idx="22">
                  <c:v>0.72978323306759596</c:v>
                </c:pt>
                <c:pt idx="23">
                  <c:v>0.80997201450515699</c:v>
                </c:pt>
                <c:pt idx="24">
                  <c:v>0.877476362627713</c:v>
                </c:pt>
                <c:pt idx="25">
                  <c:v>0.94025766982536596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381-4047-B26C-8085D3C98AC8}"/>
            </c:ext>
          </c:extLst>
        </c:ser>
        <c:ser>
          <c:idx val="2"/>
          <c:order val="2"/>
          <c:tx>
            <c:strRef>
              <c:f>'Gerdemann et al.'!$B$34</c:f>
              <c:strCache>
                <c:ptCount val="1"/>
                <c:pt idx="0">
                  <c:v>Rx/RxMax Olivine 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layout>
                <c:manualLayout>
                  <c:x val="8.766106062300022E-2"/>
                  <c:y val="-9.3979997526259906E-2"/>
                </c:manualLayout>
              </c:layout>
              <c:numFmt formatCode="General" sourceLinked="0"/>
            </c:trendlineLbl>
          </c:trendline>
          <c:xVal>
            <c:numRef>
              <c:f>'Gerdemann et al.'!$A$62:$A$63</c:f>
              <c:numCache>
                <c:formatCode>General</c:formatCode>
                <c:ptCount val="2"/>
                <c:pt idx="0">
                  <c:v>180.362888465021</c:v>
                </c:pt>
                <c:pt idx="1">
                  <c:v>186.81177709702001</c:v>
                </c:pt>
              </c:numCache>
            </c:numRef>
          </c:xVal>
          <c:yVal>
            <c:numRef>
              <c:f>'Gerdemann et al.'!$B$62:$B$63</c:f>
              <c:numCache>
                <c:formatCode>General</c:formatCode>
                <c:ptCount val="2"/>
                <c:pt idx="0">
                  <c:v>0.99003288604711404</c:v>
                </c:pt>
                <c:pt idx="1">
                  <c:v>0.99237281040879499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381-4047-B26C-8085D3C98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746304"/>
        <c:axId val="369747840"/>
      </c:scatterChart>
      <c:valAx>
        <c:axId val="36974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9747840"/>
        <c:crosses val="autoZero"/>
        <c:crossBetween val="midCat"/>
      </c:valAx>
      <c:valAx>
        <c:axId val="369747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97463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'Gerdemann et al.'!$B$80</c:f>
              <c:strCache>
                <c:ptCount val="1"/>
                <c:pt idx="0">
                  <c:v>Rx/RxMax Wollastonite(angepasst)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layout>
                <c:manualLayout>
                  <c:x val="1.3713910761154855E-3"/>
                  <c:y val="4.792760279965004E-2"/>
                </c:manualLayout>
              </c:layout>
              <c:numFmt formatCode="General" sourceLinked="0"/>
            </c:trendlineLbl>
          </c:trendline>
          <c:xVal>
            <c:numRef>
              <c:f>'Gerdemann et al.'!$A$96:$A$115</c:f>
              <c:numCache>
                <c:formatCode>General</c:formatCode>
                <c:ptCount val="20"/>
                <c:pt idx="0">
                  <c:v>100.637968903531</c:v>
                </c:pt>
                <c:pt idx="1">
                  <c:v>107.973045874034</c:v>
                </c:pt>
                <c:pt idx="2">
                  <c:v>115.019844710325</c:v>
                </c:pt>
                <c:pt idx="3">
                  <c:v>122.066643546615</c:v>
                </c:pt>
                <c:pt idx="4">
                  <c:v>129.11344238290599</c:v>
                </c:pt>
                <c:pt idx="5">
                  <c:v>136.16024121919699</c:v>
                </c:pt>
                <c:pt idx="6">
                  <c:v>143.20704005548799</c:v>
                </c:pt>
                <c:pt idx="7">
                  <c:v>149.38442864574299</c:v>
                </c:pt>
                <c:pt idx="8">
                  <c:v>163.70681848833399</c:v>
                </c:pt>
                <c:pt idx="9">
                  <c:v>170.753617324624</c:v>
                </c:pt>
                <c:pt idx="10">
                  <c:v>177.15979808488899</c:v>
                </c:pt>
                <c:pt idx="11">
                  <c:v>195.005587345625</c:v>
                </c:pt>
                <c:pt idx="12">
                  <c:v>201.50328497389299</c:v>
                </c:pt>
                <c:pt idx="13">
                  <c:v>208.55008381018399</c:v>
                </c:pt>
                <c:pt idx="14">
                  <c:v>215.596882646475</c:v>
                </c:pt>
                <c:pt idx="15">
                  <c:v>222.643681482765</c:v>
                </c:pt>
                <c:pt idx="16">
                  <c:v>229.69048031905601</c:v>
                </c:pt>
                <c:pt idx="17">
                  <c:v>236.73727915534701</c:v>
                </c:pt>
                <c:pt idx="18">
                  <c:v>244.33317919966001</c:v>
                </c:pt>
                <c:pt idx="19">
                  <c:v>250.83087682792899</c:v>
                </c:pt>
              </c:numCache>
            </c:numRef>
          </c:xVal>
          <c:yVal>
            <c:numRef>
              <c:f>'Gerdemann et al.'!$B$96:$B$115</c:f>
              <c:numCache>
                <c:formatCode>General</c:formatCode>
                <c:ptCount val="20"/>
                <c:pt idx="0">
                  <c:v>0.99109405921653804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0.98819700319710801</c:v>
                </c:pt>
                <c:pt idx="12">
                  <c:v>0.98047857832106999</c:v>
                </c:pt>
                <c:pt idx="13">
                  <c:v>0.98197975103160795</c:v>
                </c:pt>
                <c:pt idx="14">
                  <c:v>0.97525842182540201</c:v>
                </c:pt>
                <c:pt idx="15">
                  <c:v>0.967210882632625</c:v>
                </c:pt>
                <c:pt idx="16">
                  <c:v>0.95730664945864696</c:v>
                </c:pt>
                <c:pt idx="17">
                  <c:v>0.94660669029272504</c:v>
                </c:pt>
                <c:pt idx="18">
                  <c:v>0.92858659559513601</c:v>
                </c:pt>
                <c:pt idx="19">
                  <c:v>0.91539281806025197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12-9F49-BC4D-A1553B653486}"/>
            </c:ext>
          </c:extLst>
        </c:ser>
        <c:ser>
          <c:idx val="0"/>
          <c:order val="1"/>
          <c:tx>
            <c:strRef>
              <c:f>'Gerdemann et al.'!$B$80</c:f>
              <c:strCache>
                <c:ptCount val="1"/>
                <c:pt idx="0">
                  <c:v>Rx/RxMax Wollastonite(angepasst)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layout>
                <c:manualLayout>
                  <c:x val="0.1431220472440945"/>
                  <c:y val="0.35112022455526393"/>
                </c:manualLayout>
              </c:layout>
              <c:numFmt formatCode="General" sourceLinked="0"/>
            </c:trendlineLbl>
          </c:trendline>
          <c:xVal>
            <c:numRef>
              <c:f>'Gerdemann et al.'!$A$82:$A$96</c:f>
              <c:numCache>
                <c:formatCode>General</c:formatCode>
                <c:ptCount val="15"/>
                <c:pt idx="0">
                  <c:v>27.895786370730001</c:v>
                </c:pt>
                <c:pt idx="1">
                  <c:v>33.020730978941401</c:v>
                </c:pt>
                <c:pt idx="2">
                  <c:v>38.145675587152901</c:v>
                </c:pt>
                <c:pt idx="3">
                  <c:v>43.270620195364401</c:v>
                </c:pt>
                <c:pt idx="4">
                  <c:v>49.1887109929419</c:v>
                </c:pt>
                <c:pt idx="5">
                  <c:v>54.1611274878138</c:v>
                </c:pt>
                <c:pt idx="6">
                  <c:v>58.965763058012001</c:v>
                </c:pt>
                <c:pt idx="7">
                  <c:v>63.770398628210302</c:v>
                </c:pt>
                <c:pt idx="8">
                  <c:v>68.254725160395296</c:v>
                </c:pt>
                <c:pt idx="9">
                  <c:v>74.020287844633202</c:v>
                </c:pt>
                <c:pt idx="10">
                  <c:v>78.870681848833399</c:v>
                </c:pt>
                <c:pt idx="11">
                  <c:v>82.668631870990097</c:v>
                </c:pt>
                <c:pt idx="12">
                  <c:v>87.473267441188398</c:v>
                </c:pt>
                <c:pt idx="13">
                  <c:v>94.428549409475295</c:v>
                </c:pt>
                <c:pt idx="14">
                  <c:v>100.637968903531</c:v>
                </c:pt>
              </c:numCache>
            </c:numRef>
          </c:xVal>
          <c:yVal>
            <c:numRef>
              <c:f>'Gerdemann et al.'!$B$82:$B$96</c:f>
              <c:numCache>
                <c:formatCode>General</c:formatCode>
                <c:ptCount val="15"/>
                <c:pt idx="0">
                  <c:v>0.140692010853708</c:v>
                </c:pt>
                <c:pt idx="1">
                  <c:v>0.18120285291451399</c:v>
                </c:pt>
                <c:pt idx="2">
                  <c:v>0.26447291529236999</c:v>
                </c:pt>
                <c:pt idx="3">
                  <c:v>0.32012070764633899</c:v>
                </c:pt>
                <c:pt idx="4">
                  <c:v>0.38984647792559601</c:v>
                </c:pt>
                <c:pt idx="5">
                  <c:v>0.42700843614453798</c:v>
                </c:pt>
                <c:pt idx="6">
                  <c:v>0.51393373189709202</c:v>
                </c:pt>
                <c:pt idx="7">
                  <c:v>0.57952999240370495</c:v>
                </c:pt>
                <c:pt idx="8">
                  <c:v>0.64074344333664202</c:v>
                </c:pt>
                <c:pt idx="9">
                  <c:v>0.71854083971673099</c:v>
                </c:pt>
                <c:pt idx="10">
                  <c:v>0.76606690292725699</c:v>
                </c:pt>
                <c:pt idx="11">
                  <c:v>0.850838847486033</c:v>
                </c:pt>
                <c:pt idx="12">
                  <c:v>0.914155395127634</c:v>
                </c:pt>
                <c:pt idx="13">
                  <c:v>0.97573084249753295</c:v>
                </c:pt>
                <c:pt idx="14">
                  <c:v>0.99109405921653804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F12-9F49-BC4D-A1553B653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791744"/>
        <c:axId val="369793280"/>
      </c:scatterChart>
      <c:valAx>
        <c:axId val="369791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9793280"/>
        <c:crosses val="autoZero"/>
        <c:crossBetween val="midCat"/>
      </c:valAx>
      <c:valAx>
        <c:axId val="36979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9791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'Timmerhaus 1991'!$B$2</c:f>
              <c:strCache>
                <c:ptCount val="1"/>
                <c:pt idx="0">
                  <c:v>Purchased cost Jaw crushers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'Timmerhaus 1991'!$A$3:$A$20</c:f>
              <c:numCache>
                <c:formatCode>General</c:formatCode>
                <c:ptCount val="18"/>
                <c:pt idx="0">
                  <c:v>43.294698462490203</c:v>
                </c:pt>
                <c:pt idx="1">
                  <c:v>53.430905387722099</c:v>
                </c:pt>
                <c:pt idx="2">
                  <c:v>66.160039731778397</c:v>
                </c:pt>
                <c:pt idx="3">
                  <c:v>79.911826740599295</c:v>
                </c:pt>
                <c:pt idx="4">
                  <c:v>97.332418104317597</c:v>
                </c:pt>
                <c:pt idx="5">
                  <c:v>119.59877137606</c:v>
                </c:pt>
                <c:pt idx="6">
                  <c:v>109.304846272777</c:v>
                </c:pt>
                <c:pt idx="7">
                  <c:v>148.194048101303</c:v>
                </c:pt>
                <c:pt idx="8">
                  <c:v>177.120285924607</c:v>
                </c:pt>
                <c:pt idx="9">
                  <c:v>210.031204441157</c:v>
                </c:pt>
                <c:pt idx="10">
                  <c:v>249.209912153971</c:v>
                </c:pt>
                <c:pt idx="11">
                  <c:v>284.15236946049902</c:v>
                </c:pt>
                <c:pt idx="12">
                  <c:v>318.05179918879003</c:v>
                </c:pt>
                <c:pt idx="13">
                  <c:v>358.57880219191298</c:v>
                </c:pt>
                <c:pt idx="14">
                  <c:v>413.80008004991299</c:v>
                </c:pt>
                <c:pt idx="15">
                  <c:v>459.63575148084999</c:v>
                </c:pt>
                <c:pt idx="16">
                  <c:v>519.29476596676</c:v>
                </c:pt>
                <c:pt idx="17">
                  <c:v>558.60615328821098</c:v>
                </c:pt>
              </c:numCache>
            </c:numRef>
          </c:xVal>
          <c:yVal>
            <c:numRef>
              <c:f>'Timmerhaus 1991'!$B$3:$B$20</c:f>
              <c:numCache>
                <c:formatCode>General</c:formatCode>
                <c:ptCount val="18"/>
                <c:pt idx="0">
                  <c:v>184150.09097338899</c:v>
                </c:pt>
                <c:pt idx="1">
                  <c:v>205489.241444805</c:v>
                </c:pt>
                <c:pt idx="2">
                  <c:v>232053.97707729801</c:v>
                </c:pt>
                <c:pt idx="3">
                  <c:v>264385.56505048199</c:v>
                </c:pt>
                <c:pt idx="4">
                  <c:v>300765.98442475201</c:v>
                </c:pt>
                <c:pt idx="5">
                  <c:v>348873.68815487699</c:v>
                </c:pt>
                <c:pt idx="6">
                  <c:v>321173.34104555403</c:v>
                </c:pt>
                <c:pt idx="7">
                  <c:v>405379.50064372201</c:v>
                </c:pt>
                <c:pt idx="8">
                  <c:v>462068.58431389899</c:v>
                </c:pt>
                <c:pt idx="9">
                  <c:v>543867.00757128897</c:v>
                </c:pt>
                <c:pt idx="10">
                  <c:v>636236.52535513497</c:v>
                </c:pt>
                <c:pt idx="11">
                  <c:v>715585.37672779302</c:v>
                </c:pt>
                <c:pt idx="12">
                  <c:v>809085.20035639103</c:v>
                </c:pt>
                <c:pt idx="13">
                  <c:v>923907.42234064406</c:v>
                </c:pt>
                <c:pt idx="14">
                  <c:v>1051721.7407230299</c:v>
                </c:pt>
                <c:pt idx="15">
                  <c:v>1201374.5623970299</c:v>
                </c:pt>
                <c:pt idx="16">
                  <c:v>1390263.94991085</c:v>
                </c:pt>
                <c:pt idx="17">
                  <c:v>1524293.99750911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29-CC41-9F98-11C967F5E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089536"/>
        <c:axId val="369091328"/>
      </c:scatterChart>
      <c:valAx>
        <c:axId val="369089536"/>
        <c:scaling>
          <c:logBase val="10"/>
          <c:orientation val="minMax"/>
          <c:max val="1000"/>
          <c:min val="30"/>
        </c:scaling>
        <c:delete val="0"/>
        <c:axPos val="b"/>
        <c:numFmt formatCode="General" sourceLinked="1"/>
        <c:majorTickMark val="out"/>
        <c:minorTickMark val="none"/>
        <c:tickLblPos val="nextTo"/>
        <c:crossAx val="369091328"/>
        <c:crosses val="autoZero"/>
        <c:crossBetween val="midCat"/>
        <c:majorUnit val="10"/>
        <c:minorUnit val="10"/>
      </c:valAx>
      <c:valAx>
        <c:axId val="369091328"/>
        <c:scaling>
          <c:logBase val="10"/>
          <c:orientation val="minMax"/>
          <c:min val="1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9089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5648840769903763"/>
          <c:y val="0.19480351414406533"/>
          <c:w val="0.62551049868766406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'Timmerhaus 1991'!$B$23</c:f>
              <c:strCache>
                <c:ptCount val="1"/>
                <c:pt idx="0">
                  <c:v>Purchased cost Cone crushers</c:v>
                </c:pt>
              </c:strCache>
            </c:strRef>
          </c:tx>
          <c:trendline>
            <c:trendlineType val="poly"/>
            <c:order val="4"/>
            <c:dispRSqr val="0"/>
            <c:dispEq val="1"/>
            <c:trendlineLbl>
              <c:layout>
                <c:manualLayout>
                  <c:x val="1.3437322235861202E-2"/>
                  <c:y val="-7.3162283286017815E-2"/>
                </c:manualLayout>
              </c:layout>
              <c:numFmt formatCode="General" sourceLinked="0"/>
            </c:trendlineLbl>
          </c:trendline>
          <c:xVal>
            <c:numRef>
              <c:f>'Timmerhaus 1991'!$A$24:$A$45</c:f>
              <c:numCache>
                <c:formatCode>General</c:formatCode>
                <c:ptCount val="22"/>
                <c:pt idx="0">
                  <c:v>51.841404327671398</c:v>
                </c:pt>
                <c:pt idx="1">
                  <c:v>61.030023550141102</c:v>
                </c:pt>
                <c:pt idx="2">
                  <c:v>72.892439933037195</c:v>
                </c:pt>
                <c:pt idx="3">
                  <c:v>85.593354167289505</c:v>
                </c:pt>
                <c:pt idx="4">
                  <c:v>102.35946415905001</c:v>
                </c:pt>
                <c:pt idx="5">
                  <c:v>120.03959279985401</c:v>
                </c:pt>
                <c:pt idx="6">
                  <c:v>141.84190926673199</c:v>
                </c:pt>
                <c:pt idx="7">
                  <c:v>170.00736968818001</c:v>
                </c:pt>
                <c:pt idx="8">
                  <c:v>208.526725662004</c:v>
                </c:pt>
                <c:pt idx="9">
                  <c:v>251.98828930142199</c:v>
                </c:pt>
                <c:pt idx="10">
                  <c:v>308.534497005444</c:v>
                </c:pt>
                <c:pt idx="11">
                  <c:v>378.71363727559702</c:v>
                </c:pt>
                <c:pt idx="12">
                  <c:v>468.22556050435202</c:v>
                </c:pt>
                <c:pt idx="13">
                  <c:v>578.89157608205903</c:v>
                </c:pt>
                <c:pt idx="14">
                  <c:v>715.49189592697701</c:v>
                </c:pt>
                <c:pt idx="15">
                  <c:v>884.11719108130103</c:v>
                </c:pt>
                <c:pt idx="16">
                  <c:v>1092.6558306643401</c:v>
                </c:pt>
                <c:pt idx="17">
                  <c:v>1350.3275480171701</c:v>
                </c:pt>
                <c:pt idx="18">
                  <c:v>1668.698952446</c:v>
                </c:pt>
                <c:pt idx="19">
                  <c:v>2046.9789007204699</c:v>
                </c:pt>
                <c:pt idx="20">
                  <c:v>2546.9213250569901</c:v>
                </c:pt>
                <c:pt idx="21">
                  <c:v>2858.2049835816501</c:v>
                </c:pt>
              </c:numCache>
            </c:numRef>
          </c:xVal>
          <c:yVal>
            <c:numRef>
              <c:f>'Timmerhaus 1991'!$B$24:$B$45</c:f>
              <c:numCache>
                <c:formatCode>General</c:formatCode>
                <c:ptCount val="22"/>
                <c:pt idx="0">
                  <c:v>316772.16278760298</c:v>
                </c:pt>
                <c:pt idx="1">
                  <c:v>376142.58222626802</c:v>
                </c:pt>
                <c:pt idx="2">
                  <c:v>425056.34498284903</c:v>
                </c:pt>
                <c:pt idx="3">
                  <c:v>490738.075732278</c:v>
                </c:pt>
                <c:pt idx="4">
                  <c:v>564998.41070182796</c:v>
                </c:pt>
                <c:pt idx="5">
                  <c:v>638686.14358331298</c:v>
                </c:pt>
                <c:pt idx="6">
                  <c:v>731032.49568864296</c:v>
                </c:pt>
                <c:pt idx="7">
                  <c:v>841107.60652081505</c:v>
                </c:pt>
                <c:pt idx="8">
                  <c:v>967570.84575599502</c:v>
                </c:pt>
                <c:pt idx="9">
                  <c:v>1098291.0904641501</c:v>
                </c:pt>
                <c:pt idx="10">
                  <c:v>1247446.5908200799</c:v>
                </c:pt>
                <c:pt idx="11">
                  <c:v>1436643.0087061799</c:v>
                </c:pt>
                <c:pt idx="12">
                  <c:v>1633650.10750624</c:v>
                </c:pt>
                <c:pt idx="13">
                  <c:v>1856896.6430156501</c:v>
                </c:pt>
                <c:pt idx="14">
                  <c:v>2053854.35494792</c:v>
                </c:pt>
                <c:pt idx="15">
                  <c:v>2225065.1299165399</c:v>
                </c:pt>
                <c:pt idx="16">
                  <c:v>2444208.2014363101</c:v>
                </c:pt>
                <c:pt idx="17">
                  <c:v>2675261.23318522</c:v>
                </c:pt>
                <c:pt idx="18">
                  <c:v>2918160.83198176</c:v>
                </c:pt>
                <c:pt idx="19">
                  <c:v>3116536.16874386</c:v>
                </c:pt>
                <c:pt idx="20">
                  <c:v>3307182.4256232302</c:v>
                </c:pt>
                <c:pt idx="21">
                  <c:v>3418454.8163999799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6-DC4B-98F7-1C31ED11A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10816"/>
        <c:axId val="44220800"/>
      </c:scatterChart>
      <c:valAx>
        <c:axId val="44210816"/>
        <c:scaling>
          <c:logBase val="10"/>
          <c:orientation val="minMax"/>
          <c:max val="5000"/>
          <c:min val="30"/>
        </c:scaling>
        <c:delete val="0"/>
        <c:axPos val="b"/>
        <c:numFmt formatCode="General" sourceLinked="1"/>
        <c:majorTickMark val="out"/>
        <c:minorTickMark val="none"/>
        <c:tickLblPos val="nextTo"/>
        <c:crossAx val="44220800"/>
        <c:crosses val="autoZero"/>
        <c:crossBetween val="midCat"/>
        <c:majorUnit val="10"/>
        <c:minorUnit val="10"/>
      </c:valAx>
      <c:valAx>
        <c:axId val="44220800"/>
        <c:scaling>
          <c:logBase val="10"/>
          <c:orientation val="minMax"/>
          <c:min val="1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2108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026695807510738"/>
          <c:y val="0.50187299504228633"/>
          <c:w val="0.19306627546081453"/>
          <c:h val="0.1396566054243219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5648840769903763"/>
          <c:y val="0.19480351414406533"/>
          <c:w val="0.62551049868766406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'Timmerhaus 1991'!$B$48</c:f>
              <c:strCache>
                <c:ptCount val="1"/>
                <c:pt idx="0">
                  <c:v>Purchased cost ball mill</c:v>
                </c:pt>
              </c:strCache>
            </c:strRef>
          </c:tx>
          <c:trendline>
            <c:trendlineType val="power"/>
            <c:dispRSqr val="0"/>
            <c:dispEq val="1"/>
            <c:trendlineLbl>
              <c:layout>
                <c:manualLayout>
                  <c:x val="-0.20001417123239823"/>
                  <c:y val="-2.0068562858214151E-2"/>
                </c:manualLayout>
              </c:layout>
              <c:numFmt formatCode="General" sourceLinked="0"/>
            </c:trendlineLbl>
          </c:trendline>
          <c:xVal>
            <c:numRef>
              <c:f>'Timmerhaus 1991'!$A$49:$A$76</c:f>
              <c:numCache>
                <c:formatCode>General</c:formatCode>
                <c:ptCount val="28"/>
                <c:pt idx="0">
                  <c:v>21.716140037714698</c:v>
                </c:pt>
                <c:pt idx="1">
                  <c:v>27.219923179006202</c:v>
                </c:pt>
                <c:pt idx="2">
                  <c:v>34.116480876378503</c:v>
                </c:pt>
                <c:pt idx="3">
                  <c:v>42.762816876083299</c:v>
                </c:pt>
                <c:pt idx="4">
                  <c:v>53.378001006025599</c:v>
                </c:pt>
                <c:pt idx="5">
                  <c:v>67.183457679318906</c:v>
                </c:pt>
                <c:pt idx="6">
                  <c:v>112.374949728244</c:v>
                </c:pt>
                <c:pt idx="7">
                  <c:v>100.93685628891301</c:v>
                </c:pt>
                <c:pt idx="8">
                  <c:v>129.618322804424</c:v>
                </c:pt>
                <c:pt idx="9">
                  <c:v>162.47586651774799</c:v>
                </c:pt>
                <c:pt idx="10">
                  <c:v>204.821542883663</c:v>
                </c:pt>
                <c:pt idx="11">
                  <c:v>255.23821717692701</c:v>
                </c:pt>
                <c:pt idx="12">
                  <c:v>319.93560881832798</c:v>
                </c:pt>
                <c:pt idx="13">
                  <c:v>401.01971624463198</c:v>
                </c:pt>
                <c:pt idx="14">
                  <c:v>502.61274682418298</c:v>
                </c:pt>
                <c:pt idx="15">
                  <c:v>629.93542426231602</c:v>
                </c:pt>
                <c:pt idx="16">
                  <c:v>789.54688518940804</c:v>
                </c:pt>
                <c:pt idx="17">
                  <c:v>981.22905336333804</c:v>
                </c:pt>
                <c:pt idx="18">
                  <c:v>1240.5046146202201</c:v>
                </c:pt>
                <c:pt idx="19">
                  <c:v>1562.2129189724801</c:v>
                </c:pt>
                <c:pt idx="20">
                  <c:v>1948.87335044151</c:v>
                </c:pt>
                <c:pt idx="21">
                  <c:v>2442.8145537223199</c:v>
                </c:pt>
                <c:pt idx="22">
                  <c:v>3061.5775749091799</c:v>
                </c:pt>
                <c:pt idx="23">
                  <c:v>3783.3235395043698</c:v>
                </c:pt>
                <c:pt idx="24">
                  <c:v>4785.6248463488901</c:v>
                </c:pt>
                <c:pt idx="25">
                  <c:v>5997.8937674342596</c:v>
                </c:pt>
                <c:pt idx="26">
                  <c:v>7622.3728933919101</c:v>
                </c:pt>
                <c:pt idx="27">
                  <c:v>9375.6703526115198</c:v>
                </c:pt>
              </c:numCache>
            </c:numRef>
          </c:xVal>
          <c:yVal>
            <c:numRef>
              <c:f>'Timmerhaus 1991'!$B$49:$B$76</c:f>
              <c:numCache>
                <c:formatCode>General</c:formatCode>
                <c:ptCount val="28"/>
                <c:pt idx="0">
                  <c:v>166111.830570511</c:v>
                </c:pt>
                <c:pt idx="1">
                  <c:v>187688.414657655</c:v>
                </c:pt>
                <c:pt idx="2">
                  <c:v>209682.03036449201</c:v>
                </c:pt>
                <c:pt idx="3">
                  <c:v>236700.81383311501</c:v>
                </c:pt>
                <c:pt idx="4">
                  <c:v>264115.427465207</c:v>
                </c:pt>
                <c:pt idx="5">
                  <c:v>300605.68500781601</c:v>
                </c:pt>
                <c:pt idx="6">
                  <c:v>397458.86887185299</c:v>
                </c:pt>
                <c:pt idx="7">
                  <c:v>376578.03468030598</c:v>
                </c:pt>
                <c:pt idx="8">
                  <c:v>430605.78301915497</c:v>
                </c:pt>
                <c:pt idx="9">
                  <c:v>490272.71409901499</c:v>
                </c:pt>
                <c:pt idx="10">
                  <c:v>540597.72762006801</c:v>
                </c:pt>
                <c:pt idx="11">
                  <c:v>612466.46911716799</c:v>
                </c:pt>
                <c:pt idx="12">
                  <c:v>695698.19559850404</c:v>
                </c:pt>
                <c:pt idx="13">
                  <c:v>785695.32764504198</c:v>
                </c:pt>
                <c:pt idx="14">
                  <c:v>874246.63474753499</c:v>
                </c:pt>
                <c:pt idx="15">
                  <c:v>970638.90508318204</c:v>
                </c:pt>
                <c:pt idx="16">
                  <c:v>1086459.59530744</c:v>
                </c:pt>
                <c:pt idx="17">
                  <c:v>1224117.04451945</c:v>
                </c:pt>
                <c:pt idx="18">
                  <c:v>1394007.4856521001</c:v>
                </c:pt>
                <c:pt idx="19">
                  <c:v>1565543.1240939701</c:v>
                </c:pt>
                <c:pt idx="20">
                  <c:v>1762339.9843456701</c:v>
                </c:pt>
                <c:pt idx="21">
                  <c:v>1993446.72272696</c:v>
                </c:pt>
                <c:pt idx="22">
                  <c:v>2206032.7404422602</c:v>
                </c:pt>
                <c:pt idx="23">
                  <c:v>2471776.8673854298</c:v>
                </c:pt>
                <c:pt idx="24">
                  <c:v>2825700.1360044102</c:v>
                </c:pt>
                <c:pt idx="25">
                  <c:v>3134074.99583229</c:v>
                </c:pt>
                <c:pt idx="26">
                  <c:v>3630132.2636019401</c:v>
                </c:pt>
                <c:pt idx="27">
                  <c:v>4031626.7836226402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CB-5D4F-AFBB-1002DE00D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566464"/>
        <c:axId val="369568000"/>
      </c:scatterChart>
      <c:valAx>
        <c:axId val="369566464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none"/>
        <c:tickLblPos val="nextTo"/>
        <c:crossAx val="369568000"/>
        <c:crosses val="autoZero"/>
        <c:crossBetween val="midCat"/>
        <c:majorUnit val="10"/>
        <c:minorUnit val="10"/>
      </c:valAx>
      <c:valAx>
        <c:axId val="369568000"/>
        <c:scaling>
          <c:logBase val="10"/>
          <c:orientation val="minMax"/>
          <c:min val="1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95664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026695807510738"/>
          <c:y val="0.50187299504228633"/>
          <c:w val="0.19306627546081453"/>
          <c:h val="0.1396566054243219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Working</a:t>
            </a:r>
            <a:r>
              <a:rPr lang="en-US" baseline="0"/>
              <a:t> hours estimations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'Timmerhaus 1991'!$L$2</c:f>
              <c:strCache>
                <c:ptCount val="1"/>
                <c:pt idx="0">
                  <c:v>Operating labor hours /day for average plant</c:v>
                </c:pt>
              </c:strCache>
            </c:strRef>
          </c:tx>
          <c:trendline>
            <c:trendlineType val="power"/>
            <c:dispRSqr val="1"/>
            <c:dispEq val="1"/>
            <c:trendlineLbl>
              <c:layout>
                <c:manualLayout>
                  <c:x val="-0.1894560338511514"/>
                  <c:y val="0.20969207238400325"/>
                </c:manualLayout>
              </c:layout>
              <c:numFmt formatCode="General" sourceLinked="0"/>
            </c:trendlineLbl>
          </c:trendline>
          <c:xVal>
            <c:numRef>
              <c:f>'Timmerhaus 1991'!$K$3:$K$60</c:f>
              <c:numCache>
                <c:formatCode>General</c:formatCode>
                <c:ptCount val="58"/>
                <c:pt idx="0">
                  <c:v>2.11839214920938</c:v>
                </c:pt>
                <c:pt idx="1">
                  <c:v>1.9830339174434</c:v>
                </c:pt>
                <c:pt idx="2">
                  <c:v>2.32636586727036</c:v>
                </c:pt>
                <c:pt idx="3">
                  <c:v>2.5813365269131601</c:v>
                </c:pt>
                <c:pt idx="4">
                  <c:v>2.88486353435666</c:v>
                </c:pt>
                <c:pt idx="5">
                  <c:v>3.1999620496979899</c:v>
                </c:pt>
                <c:pt idx="6">
                  <c:v>4.4169092490003399</c:v>
                </c:pt>
                <c:pt idx="7">
                  <c:v>4.9141878259998801</c:v>
                </c:pt>
                <c:pt idx="8">
                  <c:v>5.4756370739554203</c:v>
                </c:pt>
                <c:pt idx="9">
                  <c:v>6.0966949360283698</c:v>
                </c:pt>
                <c:pt idx="10">
                  <c:v>6.7936523111704403</c:v>
                </c:pt>
                <c:pt idx="11">
                  <c:v>7.5978162503799602</c:v>
                </c:pt>
                <c:pt idx="12">
                  <c:v>8.4493891455642398</c:v>
                </c:pt>
                <c:pt idx="13">
                  <c:v>9.3999721013668402</c:v>
                </c:pt>
                <c:pt idx="14">
                  <c:v>10.431860794504299</c:v>
                </c:pt>
                <c:pt idx="15">
                  <c:v>11.614944572680599</c:v>
                </c:pt>
                <c:pt idx="16">
                  <c:v>12.932441729664699</c:v>
                </c:pt>
                <c:pt idx="17">
                  <c:v>14.3990823315876</c:v>
                </c:pt>
                <c:pt idx="18">
                  <c:v>16.0319471826738</c:v>
                </c:pt>
                <c:pt idx="19">
                  <c:v>17.850200838083399</c:v>
                </c:pt>
                <c:pt idx="20">
                  <c:v>19.7380413121708</c:v>
                </c:pt>
                <c:pt idx="21">
                  <c:v>20.585579679679899</c:v>
                </c:pt>
                <c:pt idx="22">
                  <c:v>22.786528774285699</c:v>
                </c:pt>
                <c:pt idx="23">
                  <c:v>25.370739173182699</c:v>
                </c:pt>
                <c:pt idx="24">
                  <c:v>28.418064852819001</c:v>
                </c:pt>
                <c:pt idx="25">
                  <c:v>30.796864505747202</c:v>
                </c:pt>
                <c:pt idx="26">
                  <c:v>34.341370878648803</c:v>
                </c:pt>
                <c:pt idx="27">
                  <c:v>38.437691407712002</c:v>
                </c:pt>
                <c:pt idx="28">
                  <c:v>42.572463189086001</c:v>
                </c:pt>
                <c:pt idx="29">
                  <c:v>47.555319173052098</c:v>
                </c:pt>
                <c:pt idx="30">
                  <c:v>51.957793095068297</c:v>
                </c:pt>
                <c:pt idx="31">
                  <c:v>57.7184963622745</c:v>
                </c:pt>
                <c:pt idx="32">
                  <c:v>64.1607982001523</c:v>
                </c:pt>
                <c:pt idx="33">
                  <c:v>71.687533556995703</c:v>
                </c:pt>
                <c:pt idx="34">
                  <c:v>78.924863333235095</c:v>
                </c:pt>
                <c:pt idx="35">
                  <c:v>88.492720072554704</c:v>
                </c:pt>
                <c:pt idx="36">
                  <c:v>98.602733145267095</c:v>
                </c:pt>
                <c:pt idx="37">
                  <c:v>109.784970160993</c:v>
                </c:pt>
                <c:pt idx="38">
                  <c:v>122.236802884311</c:v>
                </c:pt>
                <c:pt idx="39">
                  <c:v>136.098733512774</c:v>
                </c:pt>
                <c:pt idx="40">
                  <c:v>151.53409749817101</c:v>
                </c:pt>
                <c:pt idx="41">
                  <c:v>168.84716287336099</c:v>
                </c:pt>
                <c:pt idx="42">
                  <c:v>189.27074036713699</c:v>
                </c:pt>
                <c:pt idx="43">
                  <c:v>207.93767013350001</c:v>
                </c:pt>
                <c:pt idx="44">
                  <c:v>232.87822334378299</c:v>
                </c:pt>
                <c:pt idx="45">
                  <c:v>259.29004181356402</c:v>
                </c:pt>
                <c:pt idx="46">
                  <c:v>292.70653427196902</c:v>
                </c:pt>
                <c:pt idx="47">
                  <c:v>323.277640828573</c:v>
                </c:pt>
                <c:pt idx="48">
                  <c:v>354.827156502658</c:v>
                </c:pt>
                <c:pt idx="49">
                  <c:v>397.587922328758</c:v>
                </c:pt>
                <c:pt idx="50">
                  <c:v>443.67833252533302</c:v>
                </c:pt>
                <c:pt idx="51">
                  <c:v>493.59909392110598</c:v>
                </c:pt>
                <c:pt idx="52">
                  <c:v>565.73300081343496</c:v>
                </c:pt>
                <c:pt idx="53">
                  <c:v>643.060738176055</c:v>
                </c:pt>
                <c:pt idx="54">
                  <c:v>715.98550271742397</c:v>
                </c:pt>
                <c:pt idx="55">
                  <c:v>795.39258868797799</c:v>
                </c:pt>
                <c:pt idx="56">
                  <c:v>894.66608120648095</c:v>
                </c:pt>
                <c:pt idx="57">
                  <c:v>973.08005164000099</c:v>
                </c:pt>
              </c:numCache>
            </c:numRef>
          </c:xVal>
          <c:yVal>
            <c:numRef>
              <c:f>'Timmerhaus 1991'!$L$3:$L$60</c:f>
              <c:numCache>
                <c:formatCode>General</c:formatCode>
                <c:ptCount val="58"/>
                <c:pt idx="0">
                  <c:v>18.772700439981801</c:v>
                </c:pt>
                <c:pt idx="1">
                  <c:v>18.256913709934601</c:v>
                </c:pt>
                <c:pt idx="2">
                  <c:v>19.1940279944187</c:v>
                </c:pt>
                <c:pt idx="3">
                  <c:v>19.547739134899299</c:v>
                </c:pt>
                <c:pt idx="4">
                  <c:v>20.213088185192799</c:v>
                </c:pt>
                <c:pt idx="5">
                  <c:v>20.830671362436298</c:v>
                </c:pt>
                <c:pt idx="6">
                  <c:v>22.385563688445799</c:v>
                </c:pt>
                <c:pt idx="7">
                  <c:v>22.887079228798601</c:v>
                </c:pt>
                <c:pt idx="8">
                  <c:v>23.476402207620701</c:v>
                </c:pt>
                <c:pt idx="9">
                  <c:v>24.000264588026599</c:v>
                </c:pt>
                <c:pt idx="10">
                  <c:v>24.6491949958635</c:v>
                </c:pt>
                <c:pt idx="11">
                  <c:v>25.346283398859999</c:v>
                </c:pt>
                <c:pt idx="12">
                  <c:v>26.078571440561898</c:v>
                </c:pt>
                <c:pt idx="13">
                  <c:v>26.791707225624101</c:v>
                </c:pt>
                <c:pt idx="14">
                  <c:v>27.664666170245699</c:v>
                </c:pt>
                <c:pt idx="15">
                  <c:v>28.408213046821899</c:v>
                </c:pt>
                <c:pt idx="16">
                  <c:v>28.938298703374599</c:v>
                </c:pt>
                <c:pt idx="17">
                  <c:v>29.7480245908577</c:v>
                </c:pt>
                <c:pt idx="18">
                  <c:v>30.667006310828199</c:v>
                </c:pt>
                <c:pt idx="19">
                  <c:v>31.444809235526701</c:v>
                </c:pt>
                <c:pt idx="20">
                  <c:v>32.302875845722703</c:v>
                </c:pt>
                <c:pt idx="21">
                  <c:v>32.714866165377302</c:v>
                </c:pt>
                <c:pt idx="22">
                  <c:v>33.393231928470001</c:v>
                </c:pt>
                <c:pt idx="23">
                  <c:v>34.304791045579798</c:v>
                </c:pt>
                <c:pt idx="24">
                  <c:v>35.423005024674502</c:v>
                </c:pt>
                <c:pt idx="25">
                  <c:v>36.0590536125478</c:v>
                </c:pt>
                <c:pt idx="26">
                  <c:v>36.921899931782001</c:v>
                </c:pt>
                <c:pt idx="27">
                  <c:v>37.945258312980897</c:v>
                </c:pt>
                <c:pt idx="28">
                  <c:v>38.916391594221601</c:v>
                </c:pt>
                <c:pt idx="29">
                  <c:v>39.947894798448502</c:v>
                </c:pt>
                <c:pt idx="30">
                  <c:v>40.983495966388901</c:v>
                </c:pt>
                <c:pt idx="31">
                  <c:v>42.119755269648799</c:v>
                </c:pt>
                <c:pt idx="32">
                  <c:v>42.963175110086098</c:v>
                </c:pt>
                <c:pt idx="33">
                  <c:v>43.991094314820302</c:v>
                </c:pt>
                <c:pt idx="34">
                  <c:v>45.074868604304399</c:v>
                </c:pt>
                <c:pt idx="35">
                  <c:v>46.607152014028003</c:v>
                </c:pt>
                <c:pt idx="36">
                  <c:v>47.878811672073702</c:v>
                </c:pt>
                <c:pt idx="37">
                  <c:v>49.235739539009799</c:v>
                </c:pt>
                <c:pt idx="38">
                  <c:v>50.3704298501004</c:v>
                </c:pt>
                <c:pt idx="39">
                  <c:v>51.893085680101599</c:v>
                </c:pt>
                <c:pt idx="40">
                  <c:v>53.238560374089197</c:v>
                </c:pt>
                <c:pt idx="41">
                  <c:v>54.582245268473599</c:v>
                </c:pt>
                <c:pt idx="42">
                  <c:v>56.255161223680602</c:v>
                </c:pt>
                <c:pt idx="43">
                  <c:v>57.474043090532</c:v>
                </c:pt>
                <c:pt idx="44">
                  <c:v>59.370392618929003</c:v>
                </c:pt>
                <c:pt idx="45">
                  <c:v>60.8685732073913</c:v>
                </c:pt>
                <c:pt idx="46">
                  <c:v>62.304905226641203</c:v>
                </c:pt>
                <c:pt idx="47">
                  <c:v>63.9562844580933</c:v>
                </c:pt>
                <c:pt idx="48">
                  <c:v>65.287871684794794</c:v>
                </c:pt>
                <c:pt idx="49">
                  <c:v>67.326379145312998</c:v>
                </c:pt>
                <c:pt idx="50">
                  <c:v>69.112513070303294</c:v>
                </c:pt>
                <c:pt idx="51">
                  <c:v>70.656480881089905</c:v>
                </c:pt>
                <c:pt idx="52">
                  <c:v>73.2003991818911</c:v>
                </c:pt>
                <c:pt idx="53">
                  <c:v>74.9359901907318</c:v>
                </c:pt>
                <c:pt idx="54">
                  <c:v>77.190998537598702</c:v>
                </c:pt>
                <c:pt idx="55">
                  <c:v>79.163230226473203</c:v>
                </c:pt>
                <c:pt idx="56">
                  <c:v>81.564516200356096</c:v>
                </c:pt>
                <c:pt idx="57">
                  <c:v>83.782706882201794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2D-1E48-9894-8BC7ECC5BBD6}"/>
            </c:ext>
          </c:extLst>
        </c:ser>
        <c:ser>
          <c:idx val="1"/>
          <c:order val="1"/>
          <c:tx>
            <c:strRef>
              <c:f>'Timmerhaus 1991'!$N$2</c:f>
              <c:strCache>
                <c:ptCount val="1"/>
                <c:pt idx="0">
                  <c:v>Operating labor hours /day for large quipment /highly automation</c:v>
                </c:pt>
              </c:strCache>
            </c:strRef>
          </c:tx>
          <c:trendline>
            <c:trendlineType val="power"/>
            <c:dispRSqr val="0"/>
            <c:dispEq val="1"/>
            <c:trendlineLbl>
              <c:layout>
                <c:manualLayout>
                  <c:x val="-4.8891916574559748E-2"/>
                  <c:y val="0.31075684022790984"/>
                </c:manualLayout>
              </c:layout>
              <c:numFmt formatCode="General" sourceLinked="0"/>
            </c:trendlineLbl>
          </c:trendline>
          <c:xVal>
            <c:numRef>
              <c:f>'Timmerhaus 1991'!$M$3:$M$52</c:f>
              <c:numCache>
                <c:formatCode>General</c:formatCode>
                <c:ptCount val="50"/>
                <c:pt idx="0">
                  <c:v>5.0877113827311602</c:v>
                </c:pt>
                <c:pt idx="1">
                  <c:v>5.7829906375051996</c:v>
                </c:pt>
                <c:pt idx="2">
                  <c:v>6.4072920050516</c:v>
                </c:pt>
                <c:pt idx="3">
                  <c:v>7.0795459640776501</c:v>
                </c:pt>
                <c:pt idx="4">
                  <c:v>7.9366779700404297</c:v>
                </c:pt>
                <c:pt idx="5">
                  <c:v>8.8438815726039302</c:v>
                </c:pt>
                <c:pt idx="6">
                  <c:v>9.8394951399551402</c:v>
                </c:pt>
                <c:pt idx="7">
                  <c:v>10.9636018645188</c:v>
                </c:pt>
                <c:pt idx="8">
                  <c:v>12.2070894211845</c:v>
                </c:pt>
                <c:pt idx="9">
                  <c:v>13.591530671873899</c:v>
                </c:pt>
                <c:pt idx="10">
                  <c:v>15.1330977574373</c:v>
                </c:pt>
                <c:pt idx="11">
                  <c:v>16.849353616840901</c:v>
                </c:pt>
                <c:pt idx="12">
                  <c:v>18.821227770557101</c:v>
                </c:pt>
                <c:pt idx="13">
                  <c:v>20.8878381717645</c:v>
                </c:pt>
                <c:pt idx="14">
                  <c:v>23.256790957788201</c:v>
                </c:pt>
                <c:pt idx="15">
                  <c:v>25.8943068404743</c:v>
                </c:pt>
                <c:pt idx="16">
                  <c:v>28.878071354610501</c:v>
                </c:pt>
                <c:pt idx="17">
                  <c:v>32.1011078306055</c:v>
                </c:pt>
                <c:pt idx="18">
                  <c:v>35.741459106341097</c:v>
                </c:pt>
                <c:pt idx="19">
                  <c:v>39.916291474576703</c:v>
                </c:pt>
                <c:pt idx="20">
                  <c:v>44.3075582301624</c:v>
                </c:pt>
                <c:pt idx="21">
                  <c:v>49.332380038438501</c:v>
                </c:pt>
                <c:pt idx="22">
                  <c:v>54.926886489054503</c:v>
                </c:pt>
                <c:pt idx="23">
                  <c:v>60.957050930921703</c:v>
                </c:pt>
                <c:pt idx="24">
                  <c:v>68.855895822926996</c:v>
                </c:pt>
                <c:pt idx="25">
                  <c:v>76.329629908724002</c:v>
                </c:pt>
                <c:pt idx="26">
                  <c:v>85.241211315843699</c:v>
                </c:pt>
                <c:pt idx="27">
                  <c:v>94.310892114906295</c:v>
                </c:pt>
                <c:pt idx="28">
                  <c:v>104.645143915826</c:v>
                </c:pt>
                <c:pt idx="29">
                  <c:v>116.512784194527</c:v>
                </c:pt>
                <c:pt idx="30">
                  <c:v>129.726180787993</c:v>
                </c:pt>
                <c:pt idx="31">
                  <c:v>142.43781038508499</c:v>
                </c:pt>
                <c:pt idx="32">
                  <c:v>160.82074461633599</c:v>
                </c:pt>
                <c:pt idx="33">
                  <c:v>179.05790704519799</c:v>
                </c:pt>
                <c:pt idx="34">
                  <c:v>199.20166732400199</c:v>
                </c:pt>
                <c:pt idx="35">
                  <c:v>221.977119179011</c:v>
                </c:pt>
                <c:pt idx="36">
                  <c:v>247.14852741862001</c:v>
                </c:pt>
                <c:pt idx="37">
                  <c:v>275.178609455394</c:v>
                </c:pt>
                <c:pt idx="38">
                  <c:v>305.391133594949</c:v>
                </c:pt>
                <c:pt idx="39">
                  <c:v>343.243249259913</c:v>
                </c:pt>
                <c:pt idx="40">
                  <c:v>383.55447965429897</c:v>
                </c:pt>
                <c:pt idx="41">
                  <c:v>422.900362459723</c:v>
                </c:pt>
                <c:pt idx="42">
                  <c:v>472.76944034670299</c:v>
                </c:pt>
                <c:pt idx="43">
                  <c:v>524.25697401868399</c:v>
                </c:pt>
                <c:pt idx="44">
                  <c:v>585.03357486963</c:v>
                </c:pt>
                <c:pt idx="45">
                  <c:v>649.91392616422399</c:v>
                </c:pt>
                <c:pt idx="46">
                  <c:v>727.779797012053</c:v>
                </c:pt>
                <c:pt idx="47">
                  <c:v>792.40790632901405</c:v>
                </c:pt>
                <c:pt idx="48">
                  <c:v>896.39296919724404</c:v>
                </c:pt>
                <c:pt idx="49">
                  <c:v>969.963318688502</c:v>
                </c:pt>
              </c:numCache>
            </c:numRef>
          </c:xVal>
          <c:yVal>
            <c:numRef>
              <c:f>'Timmerhaus 1991'!$N$3:$N$52</c:f>
              <c:numCache>
                <c:formatCode>General</c:formatCode>
                <c:ptCount val="50"/>
                <c:pt idx="0">
                  <c:v>15.6385115653397</c:v>
                </c:pt>
                <c:pt idx="1">
                  <c:v>16.100947603591599</c:v>
                </c:pt>
                <c:pt idx="2">
                  <c:v>16.723833226894602</c:v>
                </c:pt>
                <c:pt idx="3">
                  <c:v>17.003210216051698</c:v>
                </c:pt>
                <c:pt idx="4">
                  <c:v>17.508730635153199</c:v>
                </c:pt>
                <c:pt idx="5">
                  <c:v>18.0667753935763</c:v>
                </c:pt>
                <c:pt idx="6">
                  <c:v>18.5340786138132</c:v>
                </c:pt>
                <c:pt idx="7">
                  <c:v>19.058227014884899</c:v>
                </c:pt>
                <c:pt idx="8">
                  <c:v>19.501820585206801</c:v>
                </c:pt>
                <c:pt idx="9">
                  <c:v>20.008247955360901</c:v>
                </c:pt>
                <c:pt idx="10">
                  <c:v>20.4617042588924</c:v>
                </c:pt>
                <c:pt idx="11">
                  <c:v>21.010630658953701</c:v>
                </c:pt>
                <c:pt idx="12">
                  <c:v>21.689078387924301</c:v>
                </c:pt>
                <c:pt idx="13">
                  <c:v>22.1655944244783</c:v>
                </c:pt>
                <c:pt idx="14">
                  <c:v>22.740022535795902</c:v>
                </c:pt>
                <c:pt idx="15">
                  <c:v>23.371261460223799</c:v>
                </c:pt>
                <c:pt idx="16">
                  <c:v>23.969760965768799</c:v>
                </c:pt>
                <c:pt idx="17">
                  <c:v>24.5211367536685</c:v>
                </c:pt>
                <c:pt idx="18">
                  <c:v>25.258441861001</c:v>
                </c:pt>
                <c:pt idx="19">
                  <c:v>26.031976049155901</c:v>
                </c:pt>
                <c:pt idx="20">
                  <c:v>26.772797093593201</c:v>
                </c:pt>
                <c:pt idx="21">
                  <c:v>27.522841537496699</c:v>
                </c:pt>
                <c:pt idx="22">
                  <c:v>28.331807598336798</c:v>
                </c:pt>
                <c:pt idx="23">
                  <c:v>29.145455416339502</c:v>
                </c:pt>
                <c:pt idx="24">
                  <c:v>29.8523588808611</c:v>
                </c:pt>
                <c:pt idx="25">
                  <c:v>30.5532199811665</c:v>
                </c:pt>
                <c:pt idx="26">
                  <c:v>31.521950582834702</c:v>
                </c:pt>
                <c:pt idx="27">
                  <c:v>32.2762242594887</c:v>
                </c:pt>
                <c:pt idx="28">
                  <c:v>33.154267252673002</c:v>
                </c:pt>
                <c:pt idx="29">
                  <c:v>34.074594572834201</c:v>
                </c:pt>
                <c:pt idx="30">
                  <c:v>35.0361921267532</c:v>
                </c:pt>
                <c:pt idx="31">
                  <c:v>35.802696037974002</c:v>
                </c:pt>
                <c:pt idx="32">
                  <c:v>36.807622397803698</c:v>
                </c:pt>
                <c:pt idx="33">
                  <c:v>37.945572500938802</c:v>
                </c:pt>
                <c:pt idx="34">
                  <c:v>39.052979188628299</c:v>
                </c:pt>
                <c:pt idx="35">
                  <c:v>39.853302727865803</c:v>
                </c:pt>
                <c:pt idx="36">
                  <c:v>41.152018828042998</c:v>
                </c:pt>
                <c:pt idx="37">
                  <c:v>42.203726851350197</c:v>
                </c:pt>
                <c:pt idx="38">
                  <c:v>43.294885072800099</c:v>
                </c:pt>
                <c:pt idx="39">
                  <c:v>44.667139255881096</c:v>
                </c:pt>
                <c:pt idx="40">
                  <c:v>45.584510686528297</c:v>
                </c:pt>
                <c:pt idx="41">
                  <c:v>46.835674702070399</c:v>
                </c:pt>
                <c:pt idx="42">
                  <c:v>48.688692875486097</c:v>
                </c:pt>
                <c:pt idx="43">
                  <c:v>49.612878384710299</c:v>
                </c:pt>
                <c:pt idx="44">
                  <c:v>50.850792699335202</c:v>
                </c:pt>
                <c:pt idx="45">
                  <c:v>52.268039673463498</c:v>
                </c:pt>
                <c:pt idx="46">
                  <c:v>54.0805300207142</c:v>
                </c:pt>
                <c:pt idx="47">
                  <c:v>55.037234159814702</c:v>
                </c:pt>
                <c:pt idx="48">
                  <c:v>56.428865466262003</c:v>
                </c:pt>
                <c:pt idx="49">
                  <c:v>57.570910803667402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2D-1E48-9894-8BC7ECC5B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591808"/>
        <c:axId val="369593344"/>
      </c:scatterChart>
      <c:valAx>
        <c:axId val="369591808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9593344"/>
        <c:crosses val="autoZero"/>
        <c:crossBetween val="midCat"/>
      </c:valAx>
      <c:valAx>
        <c:axId val="369593344"/>
        <c:scaling>
          <c:logBase val="10"/>
          <c:orientation val="minMax"/>
          <c:min val="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9591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1792</c:v>
              </c:pt>
              <c:pt idx="1">
                <c:v>890.4</c:v>
              </c:pt>
              <c:pt idx="2">
                <c:v>547.1</c:v>
              </c:pt>
              <c:pt idx="3">
                <c:v>377.9</c:v>
              </c:pt>
              <c:pt idx="4">
                <c:v>12.27</c:v>
              </c:pt>
              <c:pt idx="5">
                <c:v>14.18</c:v>
              </c:pt>
              <c:pt idx="6">
                <c:v>16.18</c:v>
              </c:pt>
              <c:pt idx="7">
                <c:v>18.22</c:v>
              </c:pt>
              <c:pt idx="8">
                <c:v>20.29</c:v>
              </c:pt>
              <c:pt idx="9">
                <c:v>22.37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0725-4308-8E8E-57B4E4B59E71}"/>
            </c:ext>
          </c:extLst>
        </c:ser>
        <c:ser>
          <c:idx val="1"/>
          <c:order val="1"/>
          <c:tx>
            <c:v>5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1791</c:v>
              </c:pt>
              <c:pt idx="1">
                <c:v>890.4</c:v>
              </c:pt>
              <c:pt idx="2">
                <c:v>547.1</c:v>
              </c:pt>
              <c:pt idx="3">
                <c:v>378</c:v>
              </c:pt>
              <c:pt idx="4">
                <c:v>282</c:v>
              </c:pt>
              <c:pt idx="5">
                <c:v>182.5</c:v>
              </c:pt>
              <c:pt idx="6">
                <c:v>16.05</c:v>
              </c:pt>
              <c:pt idx="7">
                <c:v>18.14</c:v>
              </c:pt>
              <c:pt idx="8">
                <c:v>20.239999999999998</c:v>
              </c:pt>
              <c:pt idx="9">
                <c:v>22.34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725-4308-8E8E-57B4E4B59E71}"/>
            </c:ext>
          </c:extLst>
        </c:ser>
        <c:ser>
          <c:idx val="4"/>
          <c:order val="2"/>
          <c:tx>
            <c:v>10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1790</c:v>
              </c:pt>
              <c:pt idx="1">
                <c:v>890.2</c:v>
              </c:pt>
              <c:pt idx="2">
                <c:v>547.20000000000005</c:v>
              </c:pt>
              <c:pt idx="3">
                <c:v>378.1</c:v>
              </c:pt>
              <c:pt idx="4">
                <c:v>282.10000000000002</c:v>
              </c:pt>
              <c:pt idx="5">
                <c:v>182.7</c:v>
              </c:pt>
              <c:pt idx="6">
                <c:v>15.89</c:v>
              </c:pt>
              <c:pt idx="7">
                <c:v>18.04</c:v>
              </c:pt>
              <c:pt idx="8">
                <c:v>20.18</c:v>
              </c:pt>
              <c:pt idx="9">
                <c:v>22.31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0725-4308-8E8E-57B4E4B59E71}"/>
            </c:ext>
          </c:extLst>
        </c:ser>
        <c:ser>
          <c:idx val="2"/>
          <c:order val="3"/>
          <c:tx>
            <c:v>20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1788</c:v>
              </c:pt>
              <c:pt idx="1">
                <c:v>890</c:v>
              </c:pt>
              <c:pt idx="2">
                <c:v>547.4</c:v>
              </c:pt>
              <c:pt idx="3">
                <c:v>378.4</c:v>
              </c:pt>
              <c:pt idx="4">
                <c:v>282.39999999999998</c:v>
              </c:pt>
              <c:pt idx="5">
                <c:v>182.9</c:v>
              </c:pt>
              <c:pt idx="6">
                <c:v>134.5</c:v>
              </c:pt>
              <c:pt idx="7">
                <c:v>17.850000000000001</c:v>
              </c:pt>
              <c:pt idx="8">
                <c:v>20.07</c:v>
              </c:pt>
              <c:pt idx="9">
                <c:v>22.25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0725-4308-8E8E-57B4E4B59E71}"/>
            </c:ext>
          </c:extLst>
        </c:ser>
        <c:ser>
          <c:idx val="3"/>
          <c:order val="4"/>
          <c:tx>
            <c:v>30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1785</c:v>
              </c:pt>
              <c:pt idx="1">
                <c:v>889.8</c:v>
              </c:pt>
              <c:pt idx="2">
                <c:v>547.6</c:v>
              </c:pt>
              <c:pt idx="3">
                <c:v>378.7</c:v>
              </c:pt>
              <c:pt idx="4">
                <c:v>282.7</c:v>
              </c:pt>
              <c:pt idx="5">
                <c:v>183.2</c:v>
              </c:pt>
              <c:pt idx="6">
                <c:v>134.69999999999999</c:v>
              </c:pt>
              <c:pt idx="7">
                <c:v>17.670000000000002</c:v>
              </c:pt>
              <c:pt idx="8">
                <c:v>19.97</c:v>
              </c:pt>
              <c:pt idx="9">
                <c:v>22.2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0725-4308-8E8E-57B4E4B59E71}"/>
            </c:ext>
          </c:extLst>
        </c:ser>
        <c:ser>
          <c:idx val="5"/>
          <c:order val="5"/>
          <c:tx>
            <c:v>40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1783</c:v>
              </c:pt>
              <c:pt idx="1">
                <c:v>889.6</c:v>
              </c:pt>
              <c:pt idx="2">
                <c:v>547.79999999999995</c:v>
              </c:pt>
              <c:pt idx="3">
                <c:v>378.9</c:v>
              </c:pt>
              <c:pt idx="4">
                <c:v>282.89999999999998</c:v>
              </c:pt>
              <c:pt idx="5">
                <c:v>183.4</c:v>
              </c:pt>
              <c:pt idx="6">
                <c:v>135</c:v>
              </c:pt>
              <c:pt idx="7">
                <c:v>106.2</c:v>
              </c:pt>
              <c:pt idx="8">
                <c:v>19.88</c:v>
              </c:pt>
              <c:pt idx="9">
                <c:v>22.16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0725-4308-8E8E-57B4E4B59E71}"/>
            </c:ext>
          </c:extLst>
        </c:ser>
        <c:ser>
          <c:idx val="6"/>
          <c:order val="6"/>
          <c:tx>
            <c:v>50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1780</c:v>
              </c:pt>
              <c:pt idx="1">
                <c:v>889.4</c:v>
              </c:pt>
              <c:pt idx="2">
                <c:v>547.9</c:v>
              </c:pt>
              <c:pt idx="3">
                <c:v>379.2</c:v>
              </c:pt>
              <c:pt idx="4">
                <c:v>283.2</c:v>
              </c:pt>
              <c:pt idx="5">
                <c:v>183.7</c:v>
              </c:pt>
              <c:pt idx="6">
                <c:v>135.19999999999999</c:v>
              </c:pt>
              <c:pt idx="7">
                <c:v>106.5</c:v>
              </c:pt>
              <c:pt idx="8">
                <c:v>19.8</c:v>
              </c:pt>
              <c:pt idx="9">
                <c:v>22.12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0725-4308-8E8E-57B4E4B59E71}"/>
            </c:ext>
          </c:extLst>
        </c:ser>
        <c:ser>
          <c:idx val="7"/>
          <c:order val="7"/>
          <c:tx>
            <c:v>60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1778</c:v>
              </c:pt>
              <c:pt idx="1">
                <c:v>889.1</c:v>
              </c:pt>
              <c:pt idx="2">
                <c:v>548.1</c:v>
              </c:pt>
              <c:pt idx="3">
                <c:v>379.4</c:v>
              </c:pt>
              <c:pt idx="4">
                <c:v>283.5</c:v>
              </c:pt>
              <c:pt idx="5">
                <c:v>183.9</c:v>
              </c:pt>
              <c:pt idx="6">
                <c:v>135.5</c:v>
              </c:pt>
              <c:pt idx="7">
                <c:v>106.7</c:v>
              </c:pt>
              <c:pt idx="8">
                <c:v>19.73</c:v>
              </c:pt>
              <c:pt idx="9">
                <c:v>22.1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0725-4308-8E8E-57B4E4B59E71}"/>
            </c:ext>
          </c:extLst>
        </c:ser>
        <c:ser>
          <c:idx val="8"/>
          <c:order val="8"/>
          <c:tx>
            <c:v>70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1776</c:v>
              </c:pt>
              <c:pt idx="1">
                <c:v>888.9</c:v>
              </c:pt>
              <c:pt idx="2">
                <c:v>548.29999999999995</c:v>
              </c:pt>
              <c:pt idx="3">
                <c:v>379.7</c:v>
              </c:pt>
              <c:pt idx="4">
                <c:v>283.7</c:v>
              </c:pt>
              <c:pt idx="5">
                <c:v>184.2</c:v>
              </c:pt>
              <c:pt idx="6">
                <c:v>135.69999999999999</c:v>
              </c:pt>
              <c:pt idx="7">
                <c:v>107</c:v>
              </c:pt>
              <c:pt idx="8">
                <c:v>19.68</c:v>
              </c:pt>
              <c:pt idx="9">
                <c:v>22.09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0725-4308-8E8E-57B4E4B59E71}"/>
            </c:ext>
          </c:extLst>
        </c:ser>
        <c:ser>
          <c:idx val="9"/>
          <c:order val="9"/>
          <c:tx>
            <c:v>80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1773</c:v>
              </c:pt>
              <c:pt idx="1">
                <c:v>888.7</c:v>
              </c:pt>
              <c:pt idx="2">
                <c:v>548.5</c:v>
              </c:pt>
              <c:pt idx="3">
                <c:v>380</c:v>
              </c:pt>
              <c:pt idx="4">
                <c:v>284</c:v>
              </c:pt>
              <c:pt idx="5">
                <c:v>184.4</c:v>
              </c:pt>
              <c:pt idx="6">
                <c:v>136</c:v>
              </c:pt>
              <c:pt idx="7">
                <c:v>107.3</c:v>
              </c:pt>
              <c:pt idx="8">
                <c:v>19.649999999999999</c:v>
              </c:pt>
              <c:pt idx="9">
                <c:v>22.09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0725-4308-8E8E-57B4E4B59E71}"/>
            </c:ext>
          </c:extLst>
        </c:ser>
        <c:ser>
          <c:idx val="10"/>
          <c:order val="10"/>
          <c:tx>
            <c:v>90</c:v>
          </c:tx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1771</c:v>
              </c:pt>
              <c:pt idx="1">
                <c:v>888.6</c:v>
              </c:pt>
              <c:pt idx="2">
                <c:v>548.70000000000005</c:v>
              </c:pt>
              <c:pt idx="3">
                <c:v>380.2</c:v>
              </c:pt>
              <c:pt idx="4">
                <c:v>284.3</c:v>
              </c:pt>
              <c:pt idx="5">
                <c:v>184.7</c:v>
              </c:pt>
              <c:pt idx="6">
                <c:v>136.19999999999999</c:v>
              </c:pt>
              <c:pt idx="7">
                <c:v>107.6</c:v>
              </c:pt>
              <c:pt idx="8">
                <c:v>86.12</c:v>
              </c:pt>
              <c:pt idx="9">
                <c:v>22.11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0725-4308-8E8E-57B4E4B59E71}"/>
            </c:ext>
          </c:extLst>
        </c:ser>
        <c:ser>
          <c:idx val="11"/>
          <c:order val="11"/>
          <c:tx>
            <c:v>100</c:v>
          </c:tx>
          <c:trendline>
            <c:trendlineType val="power"/>
            <c:dispRSqr val="0"/>
            <c:dispEq val="1"/>
            <c:trendlineLbl>
              <c:layout>
                <c:manualLayout>
                  <c:x val="3.3303298427902694E-2"/>
                  <c:y val="-0.43855596213585546"/>
                </c:manualLayout>
              </c:layout>
              <c:numFmt formatCode="General" sourceLinked="0"/>
            </c:trendlineLbl>
          </c:trendline>
          <c:trendline>
            <c:trendlineType val="log"/>
            <c:dispRSqr val="0"/>
            <c:dispEq val="0"/>
          </c:trendline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5.0826270839482941E-2"/>
                  <c:y val="-0.18864473697156611"/>
                </c:manualLayout>
              </c:layout>
              <c:numFmt formatCode="General" sourceLinked="0"/>
            </c:trendlineLbl>
          </c:trendline>
          <c:xVal>
            <c:numLit>
              <c:formatCode>General</c:formatCode>
              <c:ptCount val="10"/>
              <c:pt idx="0">
                <c:v>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150</c:v>
              </c:pt>
              <c:pt idx="6">
                <c:v>200</c:v>
              </c:pt>
              <c:pt idx="7">
                <c:v>250</c:v>
              </c:pt>
              <c:pt idx="8">
                <c:v>300</c:v>
              </c:pt>
              <c:pt idx="9">
                <c:v>350</c:v>
              </c:pt>
            </c:numLit>
          </c:xVal>
          <c:yVal>
            <c:numLit>
              <c:formatCode>General</c:formatCode>
              <c:ptCount val="10"/>
              <c:pt idx="0">
                <c:v>1769</c:v>
              </c:pt>
              <c:pt idx="1">
                <c:v>888.4</c:v>
              </c:pt>
              <c:pt idx="2">
                <c:v>548.9</c:v>
              </c:pt>
              <c:pt idx="3">
                <c:v>380.5</c:v>
              </c:pt>
              <c:pt idx="4">
                <c:v>284.5</c:v>
              </c:pt>
              <c:pt idx="5">
                <c:v>184.9</c:v>
              </c:pt>
              <c:pt idx="6">
                <c:v>136.5</c:v>
              </c:pt>
              <c:pt idx="7">
                <c:v>107.8</c:v>
              </c:pt>
              <c:pt idx="8">
                <c:v>86.52</c:v>
              </c:pt>
              <c:pt idx="9">
                <c:v>22.15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0725-4308-8E8E-57B4E4B59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375168"/>
        <c:axId val="438377088"/>
      </c:scatterChart>
      <c:valAx>
        <c:axId val="43837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</a:t>
                </a:r>
                <a:r>
                  <a:rPr lang="en-US" baseline="0"/>
                  <a:t> in °C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377088"/>
        <c:crosses val="autoZero"/>
        <c:crossBetween val="midCat"/>
      </c:valAx>
      <c:valAx>
        <c:axId val="438377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dynamic</a:t>
                </a:r>
                <a:r>
                  <a:rPr lang="en-US" baseline="0"/>
                  <a:t> viscosity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375168"/>
        <c:crosses val="autoZero"/>
        <c:crossBetween val="midCat"/>
      </c:valAx>
    </c:plotArea>
    <c:legend>
      <c:legendPos val="r"/>
      <c:legendEntry>
        <c:idx val="12"/>
        <c:delete val="1"/>
      </c:legendEntry>
      <c:legendEntry>
        <c:idx val="13"/>
        <c:delete val="1"/>
      </c:legendEntry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'Input Hesam'!$B$1</c:f>
              <c:strCache>
                <c:ptCount val="1"/>
                <c:pt idx="0">
                  <c:v>Function from Smith et al for centrifugal compression</c:v>
                </c:pt>
              </c:strCache>
            </c:strRef>
          </c:tx>
          <c:marker>
            <c:symbol val="none"/>
          </c:marker>
          <c:xVal>
            <c:numRef>
              <c:f>'Input Hesam'!$A$3:$A$152</c:f>
              <c:numCache>
                <c:formatCode>General</c:formatCode>
                <c:ptCount val="1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'Input Hesam'!$B$3:$B$152</c:f>
              <c:numCache>
                <c:formatCode>General</c:formatCode>
                <c:ptCount val="150"/>
                <c:pt idx="0">
                  <c:v>69.378639334129403</c:v>
                </c:pt>
                <c:pt idx="1">
                  <c:v>73.396144518494793</c:v>
                </c:pt>
                <c:pt idx="2">
                  <c:v>77.164163232422098</c:v>
                </c:pt>
                <c:pt idx="3">
                  <c:v>80.717182593984404</c:v>
                </c:pt>
                <c:pt idx="4">
                  <c:v>84.082688092643806</c:v>
                </c:pt>
                <c:pt idx="5">
                  <c:v>87.282975740646805</c:v>
                </c:pt>
                <c:pt idx="6">
                  <c:v>90.336407227025205</c:v>
                </c:pt>
                <c:pt idx="7">
                  <c:v>93.258303018570899</c:v>
                </c:pt>
                <c:pt idx="8">
                  <c:v>96.061592770602402</c:v>
                </c:pt>
                <c:pt idx="9">
                  <c:v>98.757298672579196</c:v>
                </c:pt>
                <c:pt idx="10">
                  <c:v>101.354901083708</c:v>
                </c:pt>
                <c:pt idx="11">
                  <c:v>103.86261951633399</c:v>
                </c:pt>
                <c:pt idx="12">
                  <c:v>106.287631622875</c:v>
                </c:pt>
                <c:pt idx="13">
                  <c:v>108.63624603349599</c:v>
                </c:pt>
                <c:pt idx="14">
                  <c:v>110.91404033409999</c:v>
                </c:pt>
                <c:pt idx="15">
                  <c:v>113.125972361141</c:v>
                </c:pt>
                <c:pt idx="16">
                  <c:v>115.27647082435401</c:v>
                </c:pt>
                <c:pt idx="17">
                  <c:v>117.369509737196</c:v>
                </c:pt>
                <c:pt idx="18">
                  <c:v>119.408670035342</c:v>
                </c:pt>
                <c:pt idx="19">
                  <c:v>121.39719096339201</c:v>
                </c:pt>
                <c:pt idx="20">
                  <c:v>123.338013219977</c:v>
                </c:pt>
                <c:pt idx="21">
                  <c:v>125.233815411403</c:v>
                </c:pt>
                <c:pt idx="22">
                  <c:v>127.087045032239</c:v>
                </c:pt>
                <c:pt idx="23">
                  <c:v>128.89994493851</c:v>
                </c:pt>
                <c:pt idx="24">
                  <c:v>130.674576084921</c:v>
                </c:pt>
                <c:pt idx="25">
                  <c:v>132.412837146849</c:v>
                </c:pt>
                <c:pt idx="26">
                  <c:v>134.116481530069</c:v>
                </c:pt>
                <c:pt idx="27">
                  <c:v>135.78713217833101</c:v>
                </c:pt>
                <c:pt idx="28">
                  <c:v>137.42629451526199</c:v>
                </c:pt>
                <c:pt idx="29">
                  <c:v>139.035367798229</c:v>
                </c:pt>
                <c:pt idx="30">
                  <c:v>140.61565511443499</c:v>
                </c:pt>
                <c:pt idx="31">
                  <c:v>142.16837221129299</c:v>
                </c:pt>
                <c:pt idx="32">
                  <c:v>143.69465532192399</c:v>
                </c:pt>
                <c:pt idx="33">
                  <c:v>145.195568121185</c:v>
                </c:pt>
                <c:pt idx="34">
                  <c:v>146.67210792667299</c:v>
                </c:pt>
                <c:pt idx="35">
                  <c:v>148.125211241833</c:v>
                </c:pt>
                <c:pt idx="36">
                  <c:v>149.55575872396</c:v>
                </c:pt>
                <c:pt idx="37">
                  <c:v>150.96457964787399</c:v>
                </c:pt>
                <c:pt idx="38">
                  <c:v>152.35245592605901</c:v>
                </c:pt>
                <c:pt idx="39">
                  <c:v>153.72012573758499</c:v>
                </c:pt>
                <c:pt idx="40">
                  <c:v>155.06828681105799</c:v>
                </c:pt>
                <c:pt idx="41">
                  <c:v>156.39759940079301</c:v>
                </c:pt>
                <c:pt idx="42">
                  <c:v>157.70868899030299</c:v>
                </c:pt>
                <c:pt idx="43">
                  <c:v>159.00214875281</c:v>
                </c:pt>
                <c:pt idx="44">
                  <c:v>160.27854179477899</c:v>
                </c:pt>
                <c:pt idx="45">
                  <c:v>161.538403205235</c:v>
                </c:pt>
                <c:pt idx="46">
                  <c:v>162.782241930889</c:v>
                </c:pt>
                <c:pt idx="47">
                  <c:v>164.010542494714</c:v>
                </c:pt>
                <c:pt idx="48">
                  <c:v>165.22376657353101</c:v>
                </c:pt>
                <c:pt idx="49">
                  <c:v>166.42235444840301</c:v>
                </c:pt>
                <c:pt idx="50">
                  <c:v>167.60672634005601</c:v>
                </c:pt>
                <c:pt idx="51">
                  <c:v>168.777283640197</c:v>
                </c:pt>
                <c:pt idx="52">
                  <c:v>169.93441004840801</c:v>
                </c:pt>
                <c:pt idx="53">
                  <c:v>171.07847262326101</c:v>
                </c:pt>
                <c:pt idx="54">
                  <c:v>172.209822755369</c:v>
                </c:pt>
                <c:pt idx="55">
                  <c:v>173.328797069308</c:v>
                </c:pt>
                <c:pt idx="56">
                  <c:v>174.435718260599</c:v>
                </c:pt>
                <c:pt idx="57">
                  <c:v>175.530895873357</c:v>
                </c:pt>
                <c:pt idx="58">
                  <c:v>176.61462702361001</c:v>
                </c:pt>
                <c:pt idx="59">
                  <c:v>177.687197072841</c:v>
                </c:pt>
                <c:pt idx="60">
                  <c:v>178.74888025583601</c:v>
                </c:pt>
                <c:pt idx="61">
                  <c:v>179.79994026654799</c:v>
                </c:pt>
                <c:pt idx="62">
                  <c:v>180.84063080533099</c:v>
                </c:pt>
                <c:pt idx="63">
                  <c:v>181.87119609059499</c:v>
                </c:pt>
                <c:pt idx="64">
                  <c:v>182.89187133764599</c:v>
                </c:pt>
                <c:pt idx="65">
                  <c:v>183.902883207222</c:v>
                </c:pt>
                <c:pt idx="66">
                  <c:v>184.904450226032</c:v>
                </c:pt>
                <c:pt idx="67">
                  <c:v>185.896783181383</c:v>
                </c:pt>
                <c:pt idx="68">
                  <c:v>186.88008549180299</c:v>
                </c:pt>
                <c:pt idx="69">
                  <c:v>187.854553555412</c:v>
                </c:pt>
                <c:pt idx="70">
                  <c:v>188.82037707764599</c:v>
                </c:pt>
                <c:pt idx="71">
                  <c:v>189.77773937978401</c:v>
                </c:pt>
                <c:pt idx="72">
                  <c:v>190.72681768963699</c:v>
                </c:pt>
                <c:pt idx="73">
                  <c:v>191.66778341563901</c:v>
                </c:pt>
                <c:pt idx="74">
                  <c:v>192.60080240545599</c:v>
                </c:pt>
                <c:pt idx="75">
                  <c:v>193.52603519018101</c:v>
                </c:pt>
                <c:pt idx="76">
                  <c:v>194.44363721506701</c:v>
                </c:pt>
                <c:pt idx="77">
                  <c:v>195.353759057692</c:v>
                </c:pt>
                <c:pt idx="78">
                  <c:v>196.25654663436799</c:v>
                </c:pt>
                <c:pt idx="79">
                  <c:v>197.15214139557099</c:v>
                </c:pt>
                <c:pt idx="80">
                  <c:v>198.040680511071</c:v>
                </c:pt>
                <c:pt idx="81">
                  <c:v>198.92229704543001</c:v>
                </c:pt>
                <c:pt idx="82">
                  <c:v>199.79712012446001</c:v>
                </c:pt>
                <c:pt idx="83">
                  <c:v>200.665275093199</c:v>
                </c:pt>
                <c:pt idx="84">
                  <c:v>201.526883665936</c:v>
                </c:pt>
                <c:pt idx="85">
                  <c:v>202.38206406874201</c:v>
                </c:pt>
                <c:pt idx="86">
                  <c:v>203.23093117497999</c:v>
                </c:pt>
                <c:pt idx="87">
                  <c:v>204.07359663419501</c:v>
                </c:pt>
                <c:pt idx="88">
                  <c:v>204.910168994776</c:v>
                </c:pt>
                <c:pt idx="89">
                  <c:v>205.74075382075</c:v>
                </c:pt>
                <c:pt idx="90">
                  <c:v>206.565453803048</c:v>
                </c:pt>
                <c:pt idx="91">
                  <c:v>207.38436886555601</c:v>
                </c:pt>
                <c:pt idx="92">
                  <c:v>208.19759626623801</c:v>
                </c:pt>
                <c:pt idx="93">
                  <c:v>209.00523069361699</c:v>
                </c:pt>
                <c:pt idx="94">
                  <c:v>209.80736435886601</c:v>
                </c:pt>
                <c:pt idx="95">
                  <c:v>210.604087083737</c:v>
                </c:pt>
                <c:pt idx="96">
                  <c:v>211.39548638457799</c:v>
                </c:pt>
                <c:pt idx="97">
                  <c:v>212.18164755262401</c:v>
                </c:pt>
                <c:pt idx="98">
                  <c:v>212.96265373077199</c:v>
                </c:pt>
                <c:pt idx="99">
                  <c:v>213.73858598702401</c:v>
                </c:pt>
                <c:pt idx="100">
                  <c:v>214.50952338476901</c:v>
                </c:pt>
                <c:pt idx="101">
                  <c:v>215.275543050073</c:v>
                </c:pt>
                <c:pt idx="102">
                  <c:v>216.036720236116</c:v>
                </c:pt>
                <c:pt idx="103">
                  <c:v>216.79312838494801</c:v>
                </c:pt>
                <c:pt idx="104">
                  <c:v>217.54483918666099</c:v>
                </c:pt>
                <c:pt idx="105">
                  <c:v>218.29192263614999</c:v>
                </c:pt>
                <c:pt idx="106">
                  <c:v>219.034447087535</c:v>
                </c:pt>
                <c:pt idx="107">
                  <c:v>219.77247930640601</c:v>
                </c:pt>
                <c:pt idx="108">
                  <c:v>220.506084519956</c:v>
                </c:pt>
                <c:pt idx="109">
                  <c:v>221.23532646512899</c:v>
                </c:pt>
                <c:pt idx="110">
                  <c:v>221.96026743487201</c:v>
                </c:pt>
                <c:pt idx="111">
                  <c:v>222.68096832257299</c:v>
                </c:pt>
                <c:pt idx="112">
                  <c:v>223.397488664783</c:v>
                </c:pt>
                <c:pt idx="113">
                  <c:v>224.109886682292</c:v>
                </c:pt>
                <c:pt idx="114">
                  <c:v>224.818219319636</c:v>
                </c:pt>
                <c:pt idx="115">
                  <c:v>225.52254228311699</c:v>
                </c:pt>
                <c:pt idx="116">
                  <c:v>226.22291007738701</c:v>
                </c:pt>
                <c:pt idx="117">
                  <c:v>226.919376040678</c:v>
                </c:pt>
                <c:pt idx="118">
                  <c:v>227.611992378726</c:v>
                </c:pt>
                <c:pt idx="119">
                  <c:v>228.30081019745501</c:v>
                </c:pt>
                <c:pt idx="120">
                  <c:v>228.985879534464</c:v>
                </c:pt>
                <c:pt idx="121">
                  <c:v>229.66724938939399</c:v>
                </c:pt>
                <c:pt idx="122">
                  <c:v>230.344967753188</c:v>
                </c:pt>
                <c:pt idx="123">
                  <c:v>231.01908163632899</c:v>
                </c:pt>
                <c:pt idx="124">
                  <c:v>231.68963709606501</c:v>
                </c:pt>
                <c:pt idx="125">
                  <c:v>232.35667926269599</c:v>
                </c:pt>
                <c:pt idx="126">
                  <c:v>233.02025236494001</c:v>
                </c:pt>
                <c:pt idx="127">
                  <c:v>233.680399754418</c:v>
                </c:pt>
                <c:pt idx="128">
                  <c:v>234.337163929317</c:v>
                </c:pt>
                <c:pt idx="129">
                  <c:v>234.99058655723101</c:v>
                </c:pt>
                <c:pt idx="130">
                  <c:v>235.64070849724001</c:v>
                </c:pt>
                <c:pt idx="131">
                  <c:v>236.28756982124901</c:v>
                </c:pt>
                <c:pt idx="132">
                  <c:v>236.93120983461401</c:v>
                </c:pt>
                <c:pt idx="133">
                  <c:v>237.57166709609001</c:v>
                </c:pt>
                <c:pt idx="134">
                  <c:v>238.208979437116</c:v>
                </c:pt>
                <c:pt idx="135">
                  <c:v>238.843183980486</c:v>
                </c:pt>
                <c:pt idx="136">
                  <c:v>239.4743171584</c:v>
                </c:pt>
                <c:pt idx="137">
                  <c:v>240.10241472994699</c:v>
                </c:pt>
                <c:pt idx="138">
                  <c:v>240.72751179802199</c:v>
                </c:pt>
                <c:pt idx="139">
                  <c:v>241.34964282571201</c:v>
                </c:pt>
                <c:pt idx="140">
                  <c:v>241.96884165216301</c:v>
                </c:pt>
                <c:pt idx="141">
                  <c:v>236.93120983461401</c:v>
                </c:pt>
                <c:pt idx="142">
                  <c:v>237.57166709609001</c:v>
                </c:pt>
                <c:pt idx="143">
                  <c:v>238.208979437116</c:v>
                </c:pt>
                <c:pt idx="144">
                  <c:v>238.843183980486</c:v>
                </c:pt>
                <c:pt idx="145">
                  <c:v>239.4743171584</c:v>
                </c:pt>
                <c:pt idx="146">
                  <c:v>240.10241472994699</c:v>
                </c:pt>
                <c:pt idx="147">
                  <c:v>240.72751179802199</c:v>
                </c:pt>
                <c:pt idx="148">
                  <c:v>241.34964282571201</c:v>
                </c:pt>
                <c:pt idx="149">
                  <c:v>241.96884165216301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36-4088-ABB7-4B78691EF295}"/>
            </c:ext>
          </c:extLst>
        </c:ser>
        <c:ser>
          <c:idx val="1"/>
          <c:order val="1"/>
          <c:tx>
            <c:strRef>
              <c:f>'Input Hesam'!$C$1</c:f>
              <c:strCache>
                <c:ptCount val="1"/>
                <c:pt idx="0">
                  <c:v>Function from Hesam (Aspen simulation)</c:v>
                </c:pt>
              </c:strCache>
            </c:strRef>
          </c:tx>
          <c:marker>
            <c:symbol val="none"/>
          </c:marker>
          <c:trendline>
            <c:trendlineType val="log"/>
            <c:dispRSqr val="0"/>
            <c:dispEq val="1"/>
            <c:trendlineLbl>
              <c:layout>
                <c:manualLayout>
                  <c:x val="1.3755361372511363E-2"/>
                  <c:y val="-3.6750243801545061E-2"/>
                </c:manualLayout>
              </c:layout>
              <c:numFmt formatCode="General" sourceLinked="0"/>
            </c:trendlineLbl>
          </c:trendline>
          <c:xVal>
            <c:numRef>
              <c:f>'Input Hesam'!$A$3:$A$152</c:f>
              <c:numCache>
                <c:formatCode>General</c:formatCode>
                <c:ptCount val="1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'Input Hesam'!$C$3:$C$152</c:f>
              <c:numCache>
                <c:formatCode>General</c:formatCode>
                <c:ptCount val="150"/>
                <c:pt idx="0">
                  <c:v>53.18735722304676</c:v>
                </c:pt>
                <c:pt idx="1">
                  <c:v>54.855952540881077</c:v>
                </c:pt>
                <c:pt idx="2">
                  <c:v>56.379260717838527</c:v>
                </c:pt>
                <c:pt idx="3">
                  <c:v>57.780568401079123</c:v>
                </c:pt>
                <c:pt idx="4">
                  <c:v>59.077976669574333</c:v>
                </c:pt>
                <c:pt idx="5">
                  <c:v>60.285834870696391</c:v>
                </c:pt>
                <c:pt idx="6">
                  <c:v>61.415710760251848</c:v>
                </c:pt>
                <c:pt idx="7">
                  <c:v>62.477066014392179</c:v>
                </c:pt>
                <c:pt idx="8">
                  <c:v>63.477738365488158</c:v>
                </c:pt>
                <c:pt idx="9">
                  <c:v>64.424293208266874</c:v>
                </c:pt>
                <c:pt idx="10">
                  <c:v>65.322284913109726</c:v>
                </c:pt>
                <c:pt idx="11">
                  <c:v>66.176454317223971</c:v>
                </c:pt>
                <c:pt idx="12">
                  <c:v>66.990880230944043</c:v>
                </c:pt>
                <c:pt idx="13">
                  <c:v>67.769097238271627</c:v>
                </c:pt>
                <c:pt idx="14">
                  <c:v>68.514188407901486</c:v>
                </c:pt>
                <c:pt idx="15">
                  <c:v>69.228859065967598</c:v>
                </c:pt>
                <c:pt idx="16">
                  <c:v>69.915496091142089</c:v>
                </c:pt>
                <c:pt idx="17">
                  <c:v>70.576216013137795</c:v>
                </c:pt>
                <c:pt idx="18">
                  <c:v>71.212904359637292</c:v>
                </c:pt>
                <c:pt idx="19">
                  <c:v>71.827248095573211</c:v>
                </c:pt>
                <c:pt idx="20">
                  <c:v>72.420762560759357</c:v>
                </c:pt>
                <c:pt idx="21">
                  <c:v>72.994813988921464</c:v>
                </c:pt>
                <c:pt idx="22">
                  <c:v>73.550638450314821</c:v>
                </c:pt>
                <c:pt idx="23">
                  <c:v>74.089357878593674</c:v>
                </c:pt>
                <c:pt idx="24">
                  <c:v>74.611993704455145</c:v>
                </c:pt>
                <c:pt idx="25">
                  <c:v>75.119478512495164</c:v>
                </c:pt>
                <c:pt idx="26">
                  <c:v>75.612666055551117</c:v>
                </c:pt>
                <c:pt idx="27">
                  <c:v>76.092339896662438</c:v>
                </c:pt>
                <c:pt idx="28">
                  <c:v>76.559220898329841</c:v>
                </c:pt>
                <c:pt idx="29">
                  <c:v>77.013973738791734</c:v>
                </c:pt>
                <c:pt idx="30">
                  <c:v>77.457212603172692</c:v>
                </c:pt>
                <c:pt idx="31">
                  <c:v>77.889506171792334</c:v>
                </c:pt>
                <c:pt idx="32">
                  <c:v>78.311382007286937</c:v>
                </c:pt>
                <c:pt idx="33">
                  <c:v>78.723330425447202</c:v>
                </c:pt>
                <c:pt idx="34">
                  <c:v>79.125807921007009</c:v>
                </c:pt>
                <c:pt idx="35">
                  <c:v>79.519240208409002</c:v>
                </c:pt>
                <c:pt idx="36">
                  <c:v>79.904024928334593</c:v>
                </c:pt>
                <c:pt idx="37">
                  <c:v>80.280534063138006</c:v>
                </c:pt>
                <c:pt idx="38">
                  <c:v>80.649116097964466</c:v>
                </c:pt>
                <c:pt idx="39">
                  <c:v>81.010097959022744</c:v>
                </c:pt>
                <c:pt idx="40">
                  <c:v>81.363786756030564</c:v>
                </c:pt>
                <c:pt idx="41">
                  <c:v>81.710471352104776</c:v>
                </c:pt>
                <c:pt idx="42">
                  <c:v>82.050423781205069</c:v>
                </c:pt>
                <c:pt idx="43">
                  <c:v>82.383900530557014</c:v>
                </c:pt>
                <c:pt idx="44">
                  <c:v>82.711143703200761</c:v>
                </c:pt>
                <c:pt idx="45">
                  <c:v>83.032382073864881</c:v>
                </c:pt>
                <c:pt idx="46">
                  <c:v>83.347832049700273</c:v>
                </c:pt>
                <c:pt idx="47">
                  <c:v>83.657698545979486</c:v>
                </c:pt>
                <c:pt idx="48">
                  <c:v>83.962175785636177</c:v>
                </c:pt>
                <c:pt idx="49">
                  <c:v>84.261448030457444</c:v>
                </c:pt>
                <c:pt idx="50">
                  <c:v>84.555690250822323</c:v>
                </c:pt>
                <c:pt idx="51">
                  <c:v>84.845068740082169</c:v>
                </c:pt>
                <c:pt idx="52">
                  <c:v>85.129741678984431</c:v>
                </c:pt>
                <c:pt idx="53">
                  <c:v>85.409859654936568</c:v>
                </c:pt>
                <c:pt idx="54">
                  <c:v>85.685566140377773</c:v>
                </c:pt>
                <c:pt idx="55">
                  <c:v>85.956997934062926</c:v>
                </c:pt>
                <c:pt idx="56">
                  <c:v>86.22428556865664</c:v>
                </c:pt>
                <c:pt idx="57">
                  <c:v>86.487553687677647</c:v>
                </c:pt>
                <c:pt idx="58">
                  <c:v>86.746921394518111</c:v>
                </c:pt>
                <c:pt idx="59">
                  <c:v>87.002502575984238</c:v>
                </c:pt>
                <c:pt idx="60">
                  <c:v>87.254406202558144</c:v>
                </c:pt>
                <c:pt idx="61">
                  <c:v>87.502736607362323</c:v>
                </c:pt>
                <c:pt idx="62">
                  <c:v>87.747593745614097</c:v>
                </c:pt>
                <c:pt idx="63">
                  <c:v>87.989073436184896</c:v>
                </c:pt>
                <c:pt idx="64">
                  <c:v>88.227267586725418</c:v>
                </c:pt>
                <c:pt idx="65">
                  <c:v>88.462264403680194</c:v>
                </c:pt>
                <c:pt idx="66">
                  <c:v>88.694148588392807</c:v>
                </c:pt>
                <c:pt idx="67">
                  <c:v>88.923001520392461</c:v>
                </c:pt>
                <c:pt idx="68">
                  <c:v>89.1489014288547</c:v>
                </c:pt>
                <c:pt idx="69">
                  <c:v>89.371923553140149</c:v>
                </c:pt>
                <c:pt idx="70">
                  <c:v>89.592140293235644</c:v>
                </c:pt>
                <c:pt idx="71">
                  <c:v>89.809621350850406</c:v>
                </c:pt>
                <c:pt idx="72">
                  <c:v>90.0244338618553</c:v>
                </c:pt>
                <c:pt idx="73">
                  <c:v>90.236642520695057</c:v>
                </c:pt>
                <c:pt idx="74">
                  <c:v>90.446309697349903</c:v>
                </c:pt>
                <c:pt idx="75">
                  <c:v>90.653495547375982</c:v>
                </c:pt>
                <c:pt idx="76">
                  <c:v>90.858258115510168</c:v>
                </c:pt>
                <c:pt idx="77">
                  <c:v>91.060653433285808</c:v>
                </c:pt>
                <c:pt idx="78">
                  <c:v>91.260735611069975</c:v>
                </c:pt>
                <c:pt idx="79">
                  <c:v>91.458556924900577</c:v>
                </c:pt>
                <c:pt idx="80">
                  <c:v>91.654167898471968</c:v>
                </c:pt>
                <c:pt idx="81">
                  <c:v>91.847617380590506</c:v>
                </c:pt>
                <c:pt idx="82">
                  <c:v>92.038952618397559</c:v>
                </c:pt>
                <c:pt idx="83">
                  <c:v>92.228219326634076</c:v>
                </c:pt>
                <c:pt idx="84">
                  <c:v>92.415461753200972</c:v>
                </c:pt>
                <c:pt idx="85">
                  <c:v>92.600722741250678</c:v>
                </c:pt>
                <c:pt idx="86">
                  <c:v>92.784043788027418</c:v>
                </c:pt>
                <c:pt idx="87">
                  <c:v>92.965465100658733</c:v>
                </c:pt>
                <c:pt idx="88">
                  <c:v>93.145025649085724</c:v>
                </c:pt>
                <c:pt idx="89">
                  <c:v>93.322763216306271</c:v>
                </c:pt>
                <c:pt idx="90">
                  <c:v>93.49871444609353</c:v>
                </c:pt>
                <c:pt idx="91">
                  <c:v>93.672914888339946</c:v>
                </c:pt>
                <c:pt idx="92">
                  <c:v>93.845399042167742</c:v>
                </c:pt>
                <c:pt idx="93">
                  <c:v>94.016200396936242</c:v>
                </c:pt>
                <c:pt idx="94">
                  <c:v>94.185351471268021</c:v>
                </c:pt>
                <c:pt idx="95">
                  <c:v>94.352883850207775</c:v>
                </c:pt>
                <c:pt idx="96">
                  <c:v>94.518828220619966</c:v>
                </c:pt>
                <c:pt idx="97">
                  <c:v>94.683214404924598</c:v>
                </c:pt>
                <c:pt idx="98">
                  <c:v>94.846071393263728</c:v>
                </c:pt>
                <c:pt idx="99">
                  <c:v>95.007427374185625</c:v>
                </c:pt>
                <c:pt idx="100">
                  <c:v>95.167309763927847</c:v>
                </c:pt>
                <c:pt idx="101">
                  <c:v>95.325745234375034</c:v>
                </c:pt>
                <c:pt idx="102">
                  <c:v>95.482759739763225</c:v>
                </c:pt>
                <c:pt idx="103">
                  <c:v>95.638378542196961</c:v>
                </c:pt>
                <c:pt idx="104">
                  <c:v>95.792626236042452</c:v>
                </c:pt>
                <c:pt idx="105">
                  <c:v>95.94552677125543</c:v>
                </c:pt>
                <c:pt idx="106">
                  <c:v>96.097103475699129</c:v>
                </c:pt>
                <c:pt idx="107">
                  <c:v>96.24737907650433</c:v>
                </c:pt>
                <c:pt idx="108">
                  <c:v>96.39637572052041</c:v>
                </c:pt>
                <c:pt idx="109">
                  <c:v>96.544114993903563</c:v>
                </c:pt>
                <c:pt idx="110">
                  <c:v>96.690617940885289</c:v>
                </c:pt>
                <c:pt idx="111">
                  <c:v>96.835905081762164</c:v>
                </c:pt>
                <c:pt idx="112">
                  <c:v>96.979996430145135</c:v>
                </c:pt>
                <c:pt idx="113">
                  <c:v>97.122911509504917</c:v>
                </c:pt>
                <c:pt idx="114">
                  <c:v>97.264669369047397</c:v>
                </c:pt>
                <c:pt idx="115">
                  <c:v>97.405288598951401</c:v>
                </c:pt>
                <c:pt idx="116">
                  <c:v>97.544787344999534</c:v>
                </c:pt>
                <c:pt idx="117">
                  <c:v>97.683183322630569</c:v>
                </c:pt>
                <c:pt idx="118">
                  <c:v>97.820493830440739</c:v>
                </c:pt>
                <c:pt idx="119">
                  <c:v>97.956735763159799</c:v>
                </c:pt>
                <c:pt idx="120">
                  <c:v>98.091925624125892</c:v>
                </c:pt>
                <c:pt idx="121">
                  <c:v>98.226079537282573</c:v>
                </c:pt>
                <c:pt idx="122">
                  <c:v>98.359213258719606</c:v>
                </c:pt>
                <c:pt idx="123">
                  <c:v>98.491342187778258</c:v>
                </c:pt>
                <c:pt idx="124">
                  <c:v>98.622481377740613</c:v>
                </c:pt>
                <c:pt idx="125">
                  <c:v>98.752645546121599</c:v>
                </c:pt>
                <c:pt idx="126">
                  <c:v>98.881849084581077</c:v>
                </c:pt>
                <c:pt idx="127">
                  <c:v>99.010106068472993</c:v>
                </c:pt>
                <c:pt idx="128">
                  <c:v>99.137430266047204</c:v>
                </c:pt>
                <c:pt idx="129">
                  <c:v>99.263835147319028</c:v>
                </c:pt>
                <c:pt idx="130">
                  <c:v>99.389333892621096</c:v>
                </c:pt>
                <c:pt idx="131">
                  <c:v>99.513939400850603</c:v>
                </c:pt>
                <c:pt idx="132">
                  <c:v>99.637664297425289</c:v>
                </c:pt>
                <c:pt idx="133">
                  <c:v>99.760520941960209</c:v>
                </c:pt>
                <c:pt idx="134">
                  <c:v>99.882521435677063</c:v>
                </c:pt>
                <c:pt idx="135">
                  <c:v>100.003677628557</c:v>
                </c:pt>
                <c:pt idx="136">
                  <c:v>100.12400112624786</c:v>
                </c:pt>
                <c:pt idx="137">
                  <c:v>100.24350329673534</c:v>
                </c:pt>
                <c:pt idx="138">
                  <c:v>100.36219527678837</c:v>
                </c:pt>
                <c:pt idx="139">
                  <c:v>100.48008797818717</c:v>
                </c:pt>
                <c:pt idx="140">
                  <c:v>100.59719209374316</c:v>
                </c:pt>
                <c:pt idx="141">
                  <c:v>99.637664297425289</c:v>
                </c:pt>
                <c:pt idx="142">
                  <c:v>99.760520941960209</c:v>
                </c:pt>
                <c:pt idx="143">
                  <c:v>99.882521435677063</c:v>
                </c:pt>
                <c:pt idx="144">
                  <c:v>100.003677628557</c:v>
                </c:pt>
                <c:pt idx="145">
                  <c:v>100.12400112624786</c:v>
                </c:pt>
                <c:pt idx="146">
                  <c:v>100.24350329673534</c:v>
                </c:pt>
                <c:pt idx="147">
                  <c:v>100.36219527678837</c:v>
                </c:pt>
                <c:pt idx="148">
                  <c:v>100.48008797818717</c:v>
                </c:pt>
                <c:pt idx="149">
                  <c:v>100.59719209374316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36-4088-ABB7-4B78691EF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445568"/>
        <c:axId val="438447488"/>
      </c:scatterChart>
      <c:valAx>
        <c:axId val="438445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</a:t>
                </a:r>
                <a:r>
                  <a:rPr lang="en-US" baseline="0"/>
                  <a:t> in [bar]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447488"/>
        <c:crosses val="autoZero"/>
        <c:crossBetween val="midCat"/>
      </c:valAx>
      <c:valAx>
        <c:axId val="438447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Electricty</a:t>
                </a:r>
                <a:r>
                  <a:rPr lang="en-US" baseline="0"/>
                  <a:t> in [kWh/tonne]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445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CLOSING PRICE ETS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ETS!$C$1</c:f>
              <c:strCache>
                <c:ptCount val="1"/>
                <c:pt idx="0">
                  <c:v>CLOSING 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ETS!$A$2:$A$204</c:f>
              <c:numCache>
                <c:formatCode>General</c:formatCode>
                <c:ptCount val="203"/>
                <c:pt idx="0">
                  <c:v>203</c:v>
                </c:pt>
                <c:pt idx="1">
                  <c:v>202</c:v>
                </c:pt>
                <c:pt idx="2">
                  <c:v>201</c:v>
                </c:pt>
                <c:pt idx="3">
                  <c:v>200</c:v>
                </c:pt>
                <c:pt idx="4">
                  <c:v>199</c:v>
                </c:pt>
                <c:pt idx="5">
                  <c:v>198</c:v>
                </c:pt>
                <c:pt idx="6">
                  <c:v>197</c:v>
                </c:pt>
                <c:pt idx="7">
                  <c:v>196</c:v>
                </c:pt>
                <c:pt idx="8">
                  <c:v>195</c:v>
                </c:pt>
                <c:pt idx="9">
                  <c:v>194</c:v>
                </c:pt>
                <c:pt idx="10">
                  <c:v>193</c:v>
                </c:pt>
                <c:pt idx="11">
                  <c:v>192</c:v>
                </c:pt>
                <c:pt idx="12">
                  <c:v>191</c:v>
                </c:pt>
                <c:pt idx="13">
                  <c:v>190</c:v>
                </c:pt>
                <c:pt idx="14">
                  <c:v>189</c:v>
                </c:pt>
                <c:pt idx="15">
                  <c:v>188</c:v>
                </c:pt>
                <c:pt idx="16">
                  <c:v>187</c:v>
                </c:pt>
                <c:pt idx="17">
                  <c:v>186</c:v>
                </c:pt>
                <c:pt idx="18">
                  <c:v>185</c:v>
                </c:pt>
                <c:pt idx="19">
                  <c:v>184</c:v>
                </c:pt>
                <c:pt idx="20">
                  <c:v>183</c:v>
                </c:pt>
                <c:pt idx="21">
                  <c:v>182</c:v>
                </c:pt>
                <c:pt idx="22">
                  <c:v>181</c:v>
                </c:pt>
                <c:pt idx="23">
                  <c:v>180</c:v>
                </c:pt>
                <c:pt idx="24">
                  <c:v>179</c:v>
                </c:pt>
                <c:pt idx="25">
                  <c:v>178</c:v>
                </c:pt>
                <c:pt idx="26">
                  <c:v>177</c:v>
                </c:pt>
                <c:pt idx="27">
                  <c:v>176</c:v>
                </c:pt>
                <c:pt idx="28">
                  <c:v>175</c:v>
                </c:pt>
                <c:pt idx="29">
                  <c:v>174</c:v>
                </c:pt>
                <c:pt idx="30">
                  <c:v>173</c:v>
                </c:pt>
                <c:pt idx="31">
                  <c:v>172</c:v>
                </c:pt>
                <c:pt idx="32">
                  <c:v>171</c:v>
                </c:pt>
                <c:pt idx="33">
                  <c:v>170</c:v>
                </c:pt>
                <c:pt idx="34">
                  <c:v>169</c:v>
                </c:pt>
                <c:pt idx="35">
                  <c:v>168</c:v>
                </c:pt>
                <c:pt idx="36">
                  <c:v>167</c:v>
                </c:pt>
                <c:pt idx="37">
                  <c:v>166</c:v>
                </c:pt>
                <c:pt idx="38">
                  <c:v>165</c:v>
                </c:pt>
                <c:pt idx="39">
                  <c:v>164</c:v>
                </c:pt>
                <c:pt idx="40">
                  <c:v>163</c:v>
                </c:pt>
                <c:pt idx="41">
                  <c:v>162</c:v>
                </c:pt>
                <c:pt idx="42">
                  <c:v>161</c:v>
                </c:pt>
                <c:pt idx="43">
                  <c:v>160</c:v>
                </c:pt>
                <c:pt idx="44">
                  <c:v>159</c:v>
                </c:pt>
                <c:pt idx="45">
                  <c:v>158</c:v>
                </c:pt>
                <c:pt idx="46">
                  <c:v>157</c:v>
                </c:pt>
                <c:pt idx="47">
                  <c:v>156</c:v>
                </c:pt>
                <c:pt idx="48">
                  <c:v>155</c:v>
                </c:pt>
                <c:pt idx="49">
                  <c:v>154</c:v>
                </c:pt>
                <c:pt idx="50">
                  <c:v>153</c:v>
                </c:pt>
                <c:pt idx="51">
                  <c:v>152</c:v>
                </c:pt>
                <c:pt idx="52">
                  <c:v>151</c:v>
                </c:pt>
                <c:pt idx="53">
                  <c:v>150</c:v>
                </c:pt>
                <c:pt idx="54">
                  <c:v>149</c:v>
                </c:pt>
                <c:pt idx="55">
                  <c:v>148</c:v>
                </c:pt>
                <c:pt idx="56">
                  <c:v>147</c:v>
                </c:pt>
                <c:pt idx="57">
                  <c:v>146</c:v>
                </c:pt>
                <c:pt idx="58">
                  <c:v>145</c:v>
                </c:pt>
                <c:pt idx="59">
                  <c:v>144</c:v>
                </c:pt>
                <c:pt idx="60">
                  <c:v>143</c:v>
                </c:pt>
                <c:pt idx="61">
                  <c:v>142</c:v>
                </c:pt>
                <c:pt idx="62">
                  <c:v>141</c:v>
                </c:pt>
                <c:pt idx="63">
                  <c:v>140</c:v>
                </c:pt>
                <c:pt idx="64">
                  <c:v>139</c:v>
                </c:pt>
                <c:pt idx="65">
                  <c:v>138</c:v>
                </c:pt>
                <c:pt idx="66">
                  <c:v>137</c:v>
                </c:pt>
                <c:pt idx="67">
                  <c:v>136</c:v>
                </c:pt>
                <c:pt idx="68">
                  <c:v>135</c:v>
                </c:pt>
                <c:pt idx="69">
                  <c:v>134</c:v>
                </c:pt>
                <c:pt idx="70">
                  <c:v>133</c:v>
                </c:pt>
                <c:pt idx="71">
                  <c:v>132</c:v>
                </c:pt>
                <c:pt idx="72">
                  <c:v>131</c:v>
                </c:pt>
                <c:pt idx="73">
                  <c:v>130</c:v>
                </c:pt>
                <c:pt idx="74">
                  <c:v>129</c:v>
                </c:pt>
                <c:pt idx="75">
                  <c:v>128</c:v>
                </c:pt>
                <c:pt idx="76">
                  <c:v>127</c:v>
                </c:pt>
                <c:pt idx="77">
                  <c:v>126</c:v>
                </c:pt>
                <c:pt idx="78">
                  <c:v>125</c:v>
                </c:pt>
                <c:pt idx="79">
                  <c:v>124</c:v>
                </c:pt>
                <c:pt idx="80">
                  <c:v>123</c:v>
                </c:pt>
                <c:pt idx="81">
                  <c:v>122</c:v>
                </c:pt>
                <c:pt idx="82">
                  <c:v>121</c:v>
                </c:pt>
                <c:pt idx="83">
                  <c:v>120</c:v>
                </c:pt>
                <c:pt idx="84">
                  <c:v>119</c:v>
                </c:pt>
                <c:pt idx="85">
                  <c:v>118</c:v>
                </c:pt>
                <c:pt idx="86">
                  <c:v>117</c:v>
                </c:pt>
                <c:pt idx="87">
                  <c:v>116</c:v>
                </c:pt>
                <c:pt idx="88">
                  <c:v>115</c:v>
                </c:pt>
                <c:pt idx="89">
                  <c:v>114</c:v>
                </c:pt>
                <c:pt idx="90">
                  <c:v>113</c:v>
                </c:pt>
                <c:pt idx="91">
                  <c:v>112</c:v>
                </c:pt>
                <c:pt idx="92">
                  <c:v>111</c:v>
                </c:pt>
                <c:pt idx="93">
                  <c:v>110</c:v>
                </c:pt>
                <c:pt idx="94">
                  <c:v>109</c:v>
                </c:pt>
                <c:pt idx="95">
                  <c:v>108</c:v>
                </c:pt>
                <c:pt idx="96">
                  <c:v>107</c:v>
                </c:pt>
                <c:pt idx="97">
                  <c:v>106</c:v>
                </c:pt>
                <c:pt idx="98">
                  <c:v>105</c:v>
                </c:pt>
                <c:pt idx="99">
                  <c:v>104</c:v>
                </c:pt>
                <c:pt idx="100">
                  <c:v>103</c:v>
                </c:pt>
                <c:pt idx="101">
                  <c:v>102</c:v>
                </c:pt>
                <c:pt idx="102">
                  <c:v>101</c:v>
                </c:pt>
                <c:pt idx="103">
                  <c:v>100</c:v>
                </c:pt>
                <c:pt idx="104">
                  <c:v>99</c:v>
                </c:pt>
                <c:pt idx="105">
                  <c:v>98</c:v>
                </c:pt>
                <c:pt idx="106">
                  <c:v>97</c:v>
                </c:pt>
                <c:pt idx="107">
                  <c:v>96</c:v>
                </c:pt>
                <c:pt idx="108">
                  <c:v>95</c:v>
                </c:pt>
                <c:pt idx="109">
                  <c:v>94</c:v>
                </c:pt>
                <c:pt idx="110">
                  <c:v>93</c:v>
                </c:pt>
                <c:pt idx="111">
                  <c:v>92</c:v>
                </c:pt>
                <c:pt idx="112">
                  <c:v>91</c:v>
                </c:pt>
                <c:pt idx="113">
                  <c:v>90</c:v>
                </c:pt>
                <c:pt idx="114">
                  <c:v>89</c:v>
                </c:pt>
                <c:pt idx="115">
                  <c:v>88</c:v>
                </c:pt>
                <c:pt idx="116">
                  <c:v>87</c:v>
                </c:pt>
                <c:pt idx="117">
                  <c:v>86</c:v>
                </c:pt>
                <c:pt idx="118">
                  <c:v>85</c:v>
                </c:pt>
                <c:pt idx="119">
                  <c:v>84</c:v>
                </c:pt>
                <c:pt idx="120">
                  <c:v>83</c:v>
                </c:pt>
                <c:pt idx="121">
                  <c:v>82</c:v>
                </c:pt>
                <c:pt idx="122">
                  <c:v>81</c:v>
                </c:pt>
                <c:pt idx="123">
                  <c:v>80</c:v>
                </c:pt>
                <c:pt idx="124">
                  <c:v>79</c:v>
                </c:pt>
                <c:pt idx="125">
                  <c:v>78</c:v>
                </c:pt>
                <c:pt idx="126">
                  <c:v>77</c:v>
                </c:pt>
                <c:pt idx="127">
                  <c:v>76</c:v>
                </c:pt>
                <c:pt idx="128">
                  <c:v>75</c:v>
                </c:pt>
                <c:pt idx="129">
                  <c:v>74</c:v>
                </c:pt>
                <c:pt idx="130">
                  <c:v>73</c:v>
                </c:pt>
                <c:pt idx="131">
                  <c:v>72</c:v>
                </c:pt>
                <c:pt idx="132">
                  <c:v>71</c:v>
                </c:pt>
                <c:pt idx="133">
                  <c:v>70</c:v>
                </c:pt>
                <c:pt idx="134">
                  <c:v>69</c:v>
                </c:pt>
                <c:pt idx="135">
                  <c:v>68</c:v>
                </c:pt>
                <c:pt idx="136">
                  <c:v>67</c:v>
                </c:pt>
                <c:pt idx="137">
                  <c:v>66</c:v>
                </c:pt>
                <c:pt idx="138">
                  <c:v>65</c:v>
                </c:pt>
                <c:pt idx="139">
                  <c:v>64</c:v>
                </c:pt>
                <c:pt idx="140">
                  <c:v>63</c:v>
                </c:pt>
                <c:pt idx="141">
                  <c:v>62</c:v>
                </c:pt>
                <c:pt idx="142">
                  <c:v>61</c:v>
                </c:pt>
                <c:pt idx="143">
                  <c:v>60</c:v>
                </c:pt>
                <c:pt idx="144">
                  <c:v>59</c:v>
                </c:pt>
                <c:pt idx="145">
                  <c:v>58</c:v>
                </c:pt>
                <c:pt idx="146">
                  <c:v>57</c:v>
                </c:pt>
                <c:pt idx="147">
                  <c:v>56</c:v>
                </c:pt>
                <c:pt idx="148">
                  <c:v>55</c:v>
                </c:pt>
                <c:pt idx="149">
                  <c:v>54</c:v>
                </c:pt>
                <c:pt idx="150">
                  <c:v>53</c:v>
                </c:pt>
                <c:pt idx="151">
                  <c:v>52</c:v>
                </c:pt>
                <c:pt idx="152">
                  <c:v>51</c:v>
                </c:pt>
                <c:pt idx="153">
                  <c:v>50</c:v>
                </c:pt>
                <c:pt idx="154">
                  <c:v>49</c:v>
                </c:pt>
                <c:pt idx="155">
                  <c:v>48</c:v>
                </c:pt>
                <c:pt idx="156">
                  <c:v>47</c:v>
                </c:pt>
                <c:pt idx="157">
                  <c:v>46</c:v>
                </c:pt>
                <c:pt idx="158">
                  <c:v>45</c:v>
                </c:pt>
                <c:pt idx="159">
                  <c:v>44</c:v>
                </c:pt>
                <c:pt idx="160">
                  <c:v>43</c:v>
                </c:pt>
                <c:pt idx="161">
                  <c:v>42</c:v>
                </c:pt>
                <c:pt idx="162">
                  <c:v>41</c:v>
                </c:pt>
                <c:pt idx="163">
                  <c:v>40</c:v>
                </c:pt>
                <c:pt idx="164">
                  <c:v>39</c:v>
                </c:pt>
                <c:pt idx="165">
                  <c:v>38</c:v>
                </c:pt>
                <c:pt idx="166">
                  <c:v>37</c:v>
                </c:pt>
                <c:pt idx="167">
                  <c:v>36</c:v>
                </c:pt>
                <c:pt idx="168">
                  <c:v>35</c:v>
                </c:pt>
                <c:pt idx="169">
                  <c:v>34</c:v>
                </c:pt>
                <c:pt idx="170">
                  <c:v>33</c:v>
                </c:pt>
                <c:pt idx="171">
                  <c:v>32</c:v>
                </c:pt>
                <c:pt idx="172">
                  <c:v>31</c:v>
                </c:pt>
                <c:pt idx="173">
                  <c:v>30</c:v>
                </c:pt>
                <c:pt idx="174">
                  <c:v>29</c:v>
                </c:pt>
                <c:pt idx="175">
                  <c:v>28</c:v>
                </c:pt>
                <c:pt idx="176">
                  <c:v>27</c:v>
                </c:pt>
                <c:pt idx="177">
                  <c:v>26</c:v>
                </c:pt>
                <c:pt idx="178">
                  <c:v>25</c:v>
                </c:pt>
                <c:pt idx="179">
                  <c:v>24</c:v>
                </c:pt>
                <c:pt idx="180">
                  <c:v>23</c:v>
                </c:pt>
                <c:pt idx="181">
                  <c:v>22</c:v>
                </c:pt>
                <c:pt idx="182">
                  <c:v>21</c:v>
                </c:pt>
                <c:pt idx="183">
                  <c:v>20</c:v>
                </c:pt>
                <c:pt idx="184">
                  <c:v>19</c:v>
                </c:pt>
                <c:pt idx="185">
                  <c:v>18</c:v>
                </c:pt>
                <c:pt idx="186">
                  <c:v>17</c:v>
                </c:pt>
                <c:pt idx="187">
                  <c:v>16</c:v>
                </c:pt>
                <c:pt idx="188">
                  <c:v>15</c:v>
                </c:pt>
                <c:pt idx="189">
                  <c:v>14</c:v>
                </c:pt>
                <c:pt idx="190">
                  <c:v>13</c:v>
                </c:pt>
                <c:pt idx="191">
                  <c:v>12</c:v>
                </c:pt>
                <c:pt idx="192">
                  <c:v>11</c:v>
                </c:pt>
                <c:pt idx="193">
                  <c:v>10</c:v>
                </c:pt>
                <c:pt idx="194">
                  <c:v>9</c:v>
                </c:pt>
                <c:pt idx="195">
                  <c:v>8</c:v>
                </c:pt>
                <c:pt idx="196">
                  <c:v>7</c:v>
                </c:pt>
                <c:pt idx="197">
                  <c:v>6</c:v>
                </c:pt>
                <c:pt idx="198">
                  <c:v>5</c:v>
                </c:pt>
                <c:pt idx="199">
                  <c:v>4</c:v>
                </c:pt>
                <c:pt idx="200">
                  <c:v>3</c:v>
                </c:pt>
                <c:pt idx="201">
                  <c:v>2</c:v>
                </c:pt>
                <c:pt idx="202">
                  <c:v>1</c:v>
                </c:pt>
              </c:numCache>
            </c:numRef>
          </c:xVal>
          <c:yVal>
            <c:numRef>
              <c:f>ETS!$C$2:$C$204</c:f>
              <c:numCache>
                <c:formatCode>General</c:formatCode>
                <c:ptCount val="203"/>
                <c:pt idx="0">
                  <c:v>23.4</c:v>
                </c:pt>
                <c:pt idx="1">
                  <c:v>21.88</c:v>
                </c:pt>
                <c:pt idx="2">
                  <c:v>20.77</c:v>
                </c:pt>
                <c:pt idx="3">
                  <c:v>19.77</c:v>
                </c:pt>
                <c:pt idx="4">
                  <c:v>18.55</c:v>
                </c:pt>
                <c:pt idx="5">
                  <c:v>20.21</c:v>
                </c:pt>
                <c:pt idx="6">
                  <c:v>20.350000000000001</c:v>
                </c:pt>
                <c:pt idx="7">
                  <c:v>20.52</c:v>
                </c:pt>
                <c:pt idx="8">
                  <c:v>19.350000000000001</c:v>
                </c:pt>
                <c:pt idx="9">
                  <c:v>19.77</c:v>
                </c:pt>
                <c:pt idx="10">
                  <c:v>19.71</c:v>
                </c:pt>
                <c:pt idx="11">
                  <c:v>20.3</c:v>
                </c:pt>
                <c:pt idx="12">
                  <c:v>19.84</c:v>
                </c:pt>
                <c:pt idx="13">
                  <c:v>19.399999999999999</c:v>
                </c:pt>
                <c:pt idx="14">
                  <c:v>18.43</c:v>
                </c:pt>
                <c:pt idx="15">
                  <c:v>18.46</c:v>
                </c:pt>
                <c:pt idx="16">
                  <c:v>19.760000000000002</c:v>
                </c:pt>
                <c:pt idx="17">
                  <c:v>20.010000000000002</c:v>
                </c:pt>
                <c:pt idx="18">
                  <c:v>19.25</c:v>
                </c:pt>
                <c:pt idx="19">
                  <c:v>19.559999999999999</c:v>
                </c:pt>
                <c:pt idx="20">
                  <c:v>18.25</c:v>
                </c:pt>
                <c:pt idx="21">
                  <c:v>16.989999999999998</c:v>
                </c:pt>
                <c:pt idx="22">
                  <c:v>16.399999999999999</c:v>
                </c:pt>
                <c:pt idx="23">
                  <c:v>16.149999999999999</c:v>
                </c:pt>
                <c:pt idx="24">
                  <c:v>15.85</c:v>
                </c:pt>
                <c:pt idx="25">
                  <c:v>16.87</c:v>
                </c:pt>
                <c:pt idx="26">
                  <c:v>17.91</c:v>
                </c:pt>
                <c:pt idx="27">
                  <c:v>18.98</c:v>
                </c:pt>
                <c:pt idx="28">
                  <c:v>18.72</c:v>
                </c:pt>
                <c:pt idx="29">
                  <c:v>19.100000000000001</c:v>
                </c:pt>
                <c:pt idx="30">
                  <c:v>18.5</c:v>
                </c:pt>
                <c:pt idx="31">
                  <c:v>19.100000000000001</c:v>
                </c:pt>
                <c:pt idx="32">
                  <c:v>19.170000000000002</c:v>
                </c:pt>
                <c:pt idx="33">
                  <c:v>18.53</c:v>
                </c:pt>
                <c:pt idx="34">
                  <c:v>17.899999999999999</c:v>
                </c:pt>
                <c:pt idx="35">
                  <c:v>20.03</c:v>
                </c:pt>
                <c:pt idx="36">
                  <c:v>19.95</c:v>
                </c:pt>
                <c:pt idx="37">
                  <c:v>18.57</c:v>
                </c:pt>
                <c:pt idx="38">
                  <c:v>20.7</c:v>
                </c:pt>
                <c:pt idx="39">
                  <c:v>21.32</c:v>
                </c:pt>
                <c:pt idx="40">
                  <c:v>22.09</c:v>
                </c:pt>
                <c:pt idx="41">
                  <c:v>21.14</c:v>
                </c:pt>
                <c:pt idx="42">
                  <c:v>21.15</c:v>
                </c:pt>
                <c:pt idx="43">
                  <c:v>21.45</c:v>
                </c:pt>
                <c:pt idx="44">
                  <c:v>20.7</c:v>
                </c:pt>
                <c:pt idx="45">
                  <c:v>20.3</c:v>
                </c:pt>
                <c:pt idx="46">
                  <c:v>19.87</c:v>
                </c:pt>
                <c:pt idx="47">
                  <c:v>20.399999999999999</c:v>
                </c:pt>
                <c:pt idx="48">
                  <c:v>21.9</c:v>
                </c:pt>
                <c:pt idx="49">
                  <c:v>22.39</c:v>
                </c:pt>
                <c:pt idx="50">
                  <c:v>21.8</c:v>
                </c:pt>
                <c:pt idx="51">
                  <c:v>20.75</c:v>
                </c:pt>
                <c:pt idx="52">
                  <c:v>20.6</c:v>
                </c:pt>
                <c:pt idx="53">
                  <c:v>19.510000000000002</c:v>
                </c:pt>
                <c:pt idx="54">
                  <c:v>21.9</c:v>
                </c:pt>
                <c:pt idx="55">
                  <c:v>23.55</c:v>
                </c:pt>
                <c:pt idx="56">
                  <c:v>24.15</c:v>
                </c:pt>
                <c:pt idx="57">
                  <c:v>24.85</c:v>
                </c:pt>
                <c:pt idx="58">
                  <c:v>22.51</c:v>
                </c:pt>
                <c:pt idx="59">
                  <c:v>20.5</c:v>
                </c:pt>
                <c:pt idx="60">
                  <c:v>20.45</c:v>
                </c:pt>
                <c:pt idx="61">
                  <c:v>21.11</c:v>
                </c:pt>
                <c:pt idx="62">
                  <c:v>21.09</c:v>
                </c:pt>
                <c:pt idx="63">
                  <c:v>20.9</c:v>
                </c:pt>
                <c:pt idx="64">
                  <c:v>21.3</c:v>
                </c:pt>
                <c:pt idx="65">
                  <c:v>20.55</c:v>
                </c:pt>
                <c:pt idx="66">
                  <c:v>20.05</c:v>
                </c:pt>
                <c:pt idx="67">
                  <c:v>18.55</c:v>
                </c:pt>
                <c:pt idx="68">
                  <c:v>18.2</c:v>
                </c:pt>
                <c:pt idx="69">
                  <c:v>18.100000000000001</c:v>
                </c:pt>
                <c:pt idx="70">
                  <c:v>18</c:v>
                </c:pt>
                <c:pt idx="71">
                  <c:v>18.03</c:v>
                </c:pt>
                <c:pt idx="72">
                  <c:v>17.93</c:v>
                </c:pt>
                <c:pt idx="73">
                  <c:v>17.72</c:v>
                </c:pt>
                <c:pt idx="74">
                  <c:v>17.47</c:v>
                </c:pt>
                <c:pt idx="75">
                  <c:v>17.47</c:v>
                </c:pt>
                <c:pt idx="76">
                  <c:v>17.62</c:v>
                </c:pt>
                <c:pt idx="77">
                  <c:v>17.62</c:v>
                </c:pt>
                <c:pt idx="78">
                  <c:v>17.579999999999998</c:v>
                </c:pt>
                <c:pt idx="79">
                  <c:v>17.38</c:v>
                </c:pt>
                <c:pt idx="80">
                  <c:v>16.87</c:v>
                </c:pt>
                <c:pt idx="81">
                  <c:v>16.899999999999999</c:v>
                </c:pt>
                <c:pt idx="82">
                  <c:v>16.91</c:v>
                </c:pt>
                <c:pt idx="83">
                  <c:v>16.989999999999998</c:v>
                </c:pt>
                <c:pt idx="84">
                  <c:v>17.45</c:v>
                </c:pt>
                <c:pt idx="85">
                  <c:v>17.2</c:v>
                </c:pt>
                <c:pt idx="86">
                  <c:v>16.899999999999999</c:v>
                </c:pt>
                <c:pt idx="87">
                  <c:v>16.46</c:v>
                </c:pt>
                <c:pt idx="88">
                  <c:v>16.170000000000002</c:v>
                </c:pt>
                <c:pt idx="89">
                  <c:v>15.87</c:v>
                </c:pt>
                <c:pt idx="90">
                  <c:v>16.14</c:v>
                </c:pt>
                <c:pt idx="91">
                  <c:v>15.8</c:v>
                </c:pt>
                <c:pt idx="92">
                  <c:v>16.22</c:v>
                </c:pt>
                <c:pt idx="93">
                  <c:v>16.149999999999999</c:v>
                </c:pt>
                <c:pt idx="94">
                  <c:v>15.85</c:v>
                </c:pt>
                <c:pt idx="95">
                  <c:v>15.55</c:v>
                </c:pt>
                <c:pt idx="96">
                  <c:v>15.4</c:v>
                </c:pt>
                <c:pt idx="97">
                  <c:v>15.35</c:v>
                </c:pt>
                <c:pt idx="98">
                  <c:v>15.15</c:v>
                </c:pt>
                <c:pt idx="99">
                  <c:v>14.95</c:v>
                </c:pt>
                <c:pt idx="100">
                  <c:v>14.85</c:v>
                </c:pt>
                <c:pt idx="101">
                  <c:v>15.22</c:v>
                </c:pt>
                <c:pt idx="102">
                  <c:v>14.86</c:v>
                </c:pt>
                <c:pt idx="103">
                  <c:v>15.03</c:v>
                </c:pt>
                <c:pt idx="104">
                  <c:v>14.78</c:v>
                </c:pt>
                <c:pt idx="105">
                  <c:v>14.2</c:v>
                </c:pt>
                <c:pt idx="106">
                  <c:v>14.43</c:v>
                </c:pt>
                <c:pt idx="107">
                  <c:v>14.35</c:v>
                </c:pt>
                <c:pt idx="108">
                  <c:v>14.52</c:v>
                </c:pt>
                <c:pt idx="109">
                  <c:v>14.62</c:v>
                </c:pt>
                <c:pt idx="110">
                  <c:v>15.44</c:v>
                </c:pt>
                <c:pt idx="111">
                  <c:v>15.08</c:v>
                </c:pt>
                <c:pt idx="112">
                  <c:v>15.7</c:v>
                </c:pt>
                <c:pt idx="113">
                  <c:v>15.78</c:v>
                </c:pt>
                <c:pt idx="114">
                  <c:v>16.14</c:v>
                </c:pt>
                <c:pt idx="115">
                  <c:v>15.7</c:v>
                </c:pt>
                <c:pt idx="116">
                  <c:v>16.350000000000001</c:v>
                </c:pt>
                <c:pt idx="117">
                  <c:v>15.28</c:v>
                </c:pt>
                <c:pt idx="118">
                  <c:v>14.9</c:v>
                </c:pt>
                <c:pt idx="119">
                  <c:v>15.4</c:v>
                </c:pt>
                <c:pt idx="120">
                  <c:v>16.25</c:v>
                </c:pt>
                <c:pt idx="121">
                  <c:v>15.89</c:v>
                </c:pt>
                <c:pt idx="122">
                  <c:v>16.23</c:v>
                </c:pt>
                <c:pt idx="123">
                  <c:v>15.81</c:v>
                </c:pt>
                <c:pt idx="124">
                  <c:v>15.88</c:v>
                </c:pt>
                <c:pt idx="125">
                  <c:v>15.2</c:v>
                </c:pt>
                <c:pt idx="126">
                  <c:v>15.05</c:v>
                </c:pt>
                <c:pt idx="127">
                  <c:v>14.7</c:v>
                </c:pt>
                <c:pt idx="128">
                  <c:v>14.2</c:v>
                </c:pt>
                <c:pt idx="129">
                  <c:v>13.92</c:v>
                </c:pt>
                <c:pt idx="130">
                  <c:v>13.51</c:v>
                </c:pt>
                <c:pt idx="131">
                  <c:v>12.78</c:v>
                </c:pt>
                <c:pt idx="132">
                  <c:v>12.77</c:v>
                </c:pt>
                <c:pt idx="133">
                  <c:v>13.35</c:v>
                </c:pt>
                <c:pt idx="134">
                  <c:v>13.28</c:v>
                </c:pt>
                <c:pt idx="135">
                  <c:v>13.39</c:v>
                </c:pt>
                <c:pt idx="136">
                  <c:v>13.09</c:v>
                </c:pt>
                <c:pt idx="137">
                  <c:v>12.73</c:v>
                </c:pt>
                <c:pt idx="138">
                  <c:v>12.75</c:v>
                </c:pt>
                <c:pt idx="139">
                  <c:v>13.05</c:v>
                </c:pt>
                <c:pt idx="140">
                  <c:v>13.99</c:v>
                </c:pt>
                <c:pt idx="141">
                  <c:v>13.82</c:v>
                </c:pt>
                <c:pt idx="142">
                  <c:v>13.84</c:v>
                </c:pt>
                <c:pt idx="143">
                  <c:v>13.8</c:v>
                </c:pt>
                <c:pt idx="144">
                  <c:v>13.15</c:v>
                </c:pt>
                <c:pt idx="145">
                  <c:v>13.55</c:v>
                </c:pt>
                <c:pt idx="146">
                  <c:v>13.1</c:v>
                </c:pt>
                <c:pt idx="147">
                  <c:v>12.96</c:v>
                </c:pt>
                <c:pt idx="148">
                  <c:v>12.68</c:v>
                </c:pt>
                <c:pt idx="149">
                  <c:v>12.65</c:v>
                </c:pt>
                <c:pt idx="150">
                  <c:v>12.9</c:v>
                </c:pt>
                <c:pt idx="151">
                  <c:v>14.05</c:v>
                </c:pt>
                <c:pt idx="152">
                  <c:v>13.26</c:v>
                </c:pt>
                <c:pt idx="153">
                  <c:v>12.8</c:v>
                </c:pt>
                <c:pt idx="154">
                  <c:v>12.37</c:v>
                </c:pt>
                <c:pt idx="155">
                  <c:v>12.54</c:v>
                </c:pt>
                <c:pt idx="156">
                  <c:v>11.17</c:v>
                </c:pt>
                <c:pt idx="157">
                  <c:v>10.96</c:v>
                </c:pt>
                <c:pt idx="158">
                  <c:v>10.97</c:v>
                </c:pt>
                <c:pt idx="159">
                  <c:v>11.09</c:v>
                </c:pt>
                <c:pt idx="160">
                  <c:v>11.25</c:v>
                </c:pt>
                <c:pt idx="161">
                  <c:v>11.03</c:v>
                </c:pt>
                <c:pt idx="162">
                  <c:v>11.32</c:v>
                </c:pt>
                <c:pt idx="163">
                  <c:v>11.1</c:v>
                </c:pt>
                <c:pt idx="164">
                  <c:v>10.77</c:v>
                </c:pt>
                <c:pt idx="165">
                  <c:v>10.28</c:v>
                </c:pt>
                <c:pt idx="166">
                  <c:v>10.050000000000001</c:v>
                </c:pt>
                <c:pt idx="167">
                  <c:v>9.89</c:v>
                </c:pt>
                <c:pt idx="168">
                  <c:v>9.92</c:v>
                </c:pt>
                <c:pt idx="169">
                  <c:v>9.99</c:v>
                </c:pt>
                <c:pt idx="170">
                  <c:v>9.5399999999999991</c:v>
                </c:pt>
                <c:pt idx="171">
                  <c:v>9.56</c:v>
                </c:pt>
                <c:pt idx="172">
                  <c:v>9.68</c:v>
                </c:pt>
                <c:pt idx="173">
                  <c:v>9.56</c:v>
                </c:pt>
                <c:pt idx="174">
                  <c:v>9.6999999999999993</c:v>
                </c:pt>
                <c:pt idx="175">
                  <c:v>9.58</c:v>
                </c:pt>
                <c:pt idx="176">
                  <c:v>9.5299999999999994</c:v>
                </c:pt>
                <c:pt idx="177">
                  <c:v>9.64</c:v>
                </c:pt>
                <c:pt idx="178">
                  <c:v>9.8800000000000008</c:v>
                </c:pt>
                <c:pt idx="179">
                  <c:v>9.5299999999999994</c:v>
                </c:pt>
                <c:pt idx="180">
                  <c:v>9.08</c:v>
                </c:pt>
                <c:pt idx="181">
                  <c:v>8.9700000000000006</c:v>
                </c:pt>
                <c:pt idx="182">
                  <c:v>8.93</c:v>
                </c:pt>
                <c:pt idx="183">
                  <c:v>8.84</c:v>
                </c:pt>
                <c:pt idx="184">
                  <c:v>8.66</c:v>
                </c:pt>
                <c:pt idx="185">
                  <c:v>9.0399999999999991</c:v>
                </c:pt>
                <c:pt idx="186">
                  <c:v>9.3699999999999992</c:v>
                </c:pt>
                <c:pt idx="187">
                  <c:v>8.7799999999999994</c:v>
                </c:pt>
                <c:pt idx="188">
                  <c:v>8.86</c:v>
                </c:pt>
                <c:pt idx="189">
                  <c:v>9.06</c:v>
                </c:pt>
                <c:pt idx="190">
                  <c:v>9.02</c:v>
                </c:pt>
                <c:pt idx="191">
                  <c:v>9.34</c:v>
                </c:pt>
                <c:pt idx="192">
                  <c:v>8.8800000000000008</c:v>
                </c:pt>
                <c:pt idx="193">
                  <c:v>8.6999999999999993</c:v>
                </c:pt>
                <c:pt idx="194">
                  <c:v>8.6</c:v>
                </c:pt>
                <c:pt idx="195">
                  <c:v>8.26</c:v>
                </c:pt>
                <c:pt idx="196">
                  <c:v>7.99</c:v>
                </c:pt>
                <c:pt idx="197">
                  <c:v>7.77</c:v>
                </c:pt>
                <c:pt idx="198">
                  <c:v>7.72</c:v>
                </c:pt>
                <c:pt idx="199">
                  <c:v>7.79</c:v>
                </c:pt>
                <c:pt idx="200">
                  <c:v>7.89</c:v>
                </c:pt>
                <c:pt idx="201">
                  <c:v>7.68</c:v>
                </c:pt>
                <c:pt idx="202">
                  <c:v>7.83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B2-7A42-BADB-2DAC5CBE5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416512"/>
        <c:axId val="438418816"/>
      </c:scatterChart>
      <c:valAx>
        <c:axId val="4384165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438418816"/>
        <c:crosses val="autoZero"/>
        <c:crossBetween val="midCat"/>
      </c:valAx>
      <c:valAx>
        <c:axId val="43841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ETS</a:t>
                </a:r>
                <a:r>
                  <a:rPr lang="en-US" baseline="0"/>
                  <a:t> price in €/tonne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841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762000</xdr:colOff>
      <xdr:row>0</xdr:row>
      <xdr:rowOff>47625</xdr:rowOff>
    </xdr:from>
    <xdr:to>
      <xdr:col>19</xdr:col>
      <xdr:colOff>342114</xdr:colOff>
      <xdr:row>14</xdr:row>
      <xdr:rowOff>142413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10900" y="47625"/>
          <a:ext cx="6285714" cy="36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157162</xdr:rowOff>
    </xdr:from>
    <xdr:to>
      <xdr:col>11</xdr:col>
      <xdr:colOff>381000</xdr:colOff>
      <xdr:row>17</xdr:row>
      <xdr:rowOff>109537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38</xdr:row>
      <xdr:rowOff>4762</xdr:rowOff>
    </xdr:from>
    <xdr:to>
      <xdr:col>11</xdr:col>
      <xdr:colOff>619125</xdr:colOff>
      <xdr:row>51</xdr:row>
      <xdr:rowOff>147637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304800</xdr:colOff>
      <xdr:row>84</xdr:row>
      <xdr:rowOff>4762</xdr:rowOff>
    </xdr:from>
    <xdr:to>
      <xdr:col>11</xdr:col>
      <xdr:colOff>619125</xdr:colOff>
      <xdr:row>97</xdr:row>
      <xdr:rowOff>147637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828675</xdr:colOff>
      <xdr:row>4</xdr:row>
      <xdr:rowOff>38100</xdr:rowOff>
    </xdr:from>
    <xdr:to>
      <xdr:col>11</xdr:col>
      <xdr:colOff>103459</xdr:colOff>
      <xdr:row>13</xdr:row>
      <xdr:rowOff>51123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038225"/>
          <a:ext cx="5142184" cy="18132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385762</xdr:rowOff>
    </xdr:from>
    <xdr:to>
      <xdr:col>9</xdr:col>
      <xdr:colOff>0</xdr:colOff>
      <xdr:row>15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828675</xdr:colOff>
      <xdr:row>22</xdr:row>
      <xdr:rowOff>0</xdr:rowOff>
    </xdr:from>
    <xdr:to>
      <xdr:col>8</xdr:col>
      <xdr:colOff>809625</xdr:colOff>
      <xdr:row>34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47</xdr:row>
      <xdr:rowOff>0</xdr:rowOff>
    </xdr:from>
    <xdr:to>
      <xdr:col>8</xdr:col>
      <xdr:colOff>819150</xdr:colOff>
      <xdr:row>60</xdr:row>
      <xdr:rowOff>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10580</xdr:colOff>
      <xdr:row>1</xdr:row>
      <xdr:rowOff>338667</xdr:rowOff>
    </xdr:from>
    <xdr:to>
      <xdr:col>22</xdr:col>
      <xdr:colOff>10582</xdr:colOff>
      <xdr:row>17</xdr:row>
      <xdr:rowOff>158750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592668</xdr:colOff>
      <xdr:row>0</xdr:row>
      <xdr:rowOff>74083</xdr:rowOff>
    </xdr:from>
    <xdr:to>
      <xdr:col>20</xdr:col>
      <xdr:colOff>392410</xdr:colOff>
      <xdr:row>9</xdr:row>
      <xdr:rowOff>242895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1668" y="74083"/>
          <a:ext cx="10298409" cy="41904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</xdr:colOff>
      <xdr:row>1</xdr:row>
      <xdr:rowOff>250031</xdr:rowOff>
    </xdr:from>
    <xdr:to>
      <xdr:col>14</xdr:col>
      <xdr:colOff>51758</xdr:colOff>
      <xdr:row>27</xdr:row>
      <xdr:rowOff>34963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3437" y="845344"/>
          <a:ext cx="5028571" cy="60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7</xdr:row>
      <xdr:rowOff>119062</xdr:rowOff>
    </xdr:from>
    <xdr:to>
      <xdr:col>19</xdr:col>
      <xdr:colOff>666750</xdr:colOff>
      <xdr:row>31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0</xdr:row>
      <xdr:rowOff>495300</xdr:rowOff>
    </xdr:from>
    <xdr:to>
      <xdr:col>11</xdr:col>
      <xdr:colOff>200025</xdr:colOff>
      <xdr:row>20</xdr:row>
      <xdr:rowOff>4762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5</xdr:row>
      <xdr:rowOff>63500</xdr:rowOff>
    </xdr:from>
    <xdr:to>
      <xdr:col>13</xdr:col>
      <xdr:colOff>482600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 (2)_1" connectionId="8" xr16:uid="{00000000-0016-0000-0300-000004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 (3)" connectionId="9" xr16:uid="{00000000-0016-0000-0300-000005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 (1)" connectionId="3" xr16:uid="{00000000-0016-0000-0300-000000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 (1)_2" connectionId="5" xr16:uid="{00000000-0016-0000-0300-000001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 (1)_1" connectionId="4" xr16:uid="{00000000-0016-0000-0300-000002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 (2)" connectionId="7" xr16:uid="{00000000-0016-0000-0300-000003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 (1)" connectionId="6" xr16:uid="{00000000-0016-0000-0700-000008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rchased cost ball mill _ tonnes per day_timmerhaus" connectionId="11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e_crushers_purchased_cost" connectionId="2" xr16:uid="{00000000-0016-0000-0700-000006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w_crushers-purchased_cost_timmerhaus" connectionId="10" xr16:uid="{00000000-0016-0000-0700-00000A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1" connectionId="1" xr16:uid="{00000000-0016-0000-0700-000009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scosity_water" connectionId="12" xr16:uid="{00000000-0016-0000-0C00-00000B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gineeringtoolbox.com/overall-heat-transfer-coefficients-d_284.html" TargetMode="External"/><Relationship Id="rId2" Type="http://schemas.openxmlformats.org/officeDocument/2006/relationships/hyperlink" Target="http://webmineral.com/data/Lizardite.shtml" TargetMode="External"/><Relationship Id="rId1" Type="http://schemas.openxmlformats.org/officeDocument/2006/relationships/hyperlink" Target="http://webmineral.com/data/Forsterite.s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ngineeringtoolbox.com/specific-heat-fluids-d_15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7" Type="http://schemas.openxmlformats.org/officeDocument/2006/relationships/queryTable" Target="../queryTables/queryTable1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6" Type="http://schemas.openxmlformats.org/officeDocument/2006/relationships/queryTable" Target="../queryTables/queryTable10.xml"/><Relationship Id="rId5" Type="http://schemas.openxmlformats.org/officeDocument/2006/relationships/queryTable" Target="../queryTables/queryTable9.xml"/><Relationship Id="rId4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ebserver.dmt.upm.es/~isidoro/dat1/eGAS.pdf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0">
    <tabColor rgb="FFFFC000"/>
  </sheetPr>
  <dimension ref="A1:AK625"/>
  <sheetViews>
    <sheetView topLeftCell="F55" zoomScale="63" zoomScaleNormal="50" workbookViewId="0">
      <selection activeCell="M58" sqref="M58"/>
    </sheetView>
  </sheetViews>
  <sheetFormatPr baseColWidth="10" defaultColWidth="0" defaultRowHeight="15.75" zeroHeight="1"/>
  <cols>
    <col min="1" max="1" width="38.875" customWidth="1"/>
    <col min="2" max="2" width="10.875" customWidth="1"/>
    <col min="3" max="3" width="19.375" customWidth="1"/>
    <col min="4" max="4" width="19.875" customWidth="1"/>
    <col min="5" max="5" width="15.125" style="130" customWidth="1"/>
    <col min="6" max="6" width="10.875" style="130" customWidth="1"/>
    <col min="7" max="7" width="15.125" customWidth="1"/>
    <col min="8" max="8" width="35.75" customWidth="1"/>
    <col min="9" max="9" width="10.875" customWidth="1"/>
    <col min="10" max="10" width="21.375" customWidth="1"/>
    <col min="11" max="11" width="27" customWidth="1"/>
    <col min="12" max="12" width="14.875" customWidth="1"/>
    <col min="13" max="18" width="10.875" customWidth="1"/>
    <col min="19" max="19" width="13" customWidth="1"/>
    <col min="20" max="20" width="13" style="138" customWidth="1"/>
    <col min="21" max="21" width="19.625" style="131" bestFit="1" customWidth="1"/>
    <col min="22" max="37" width="0" style="131" hidden="1" customWidth="1"/>
    <col min="38" max="16384" width="10.875" hidden="1"/>
  </cols>
  <sheetData>
    <row r="1" spans="1:37" s="114" customFormat="1" ht="30">
      <c r="A1" s="315" t="s">
        <v>492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174"/>
      <c r="U1" s="134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</row>
    <row r="2" spans="1:37" s="114" customFormat="1" ht="15.75" customHeight="1">
      <c r="A2" s="296" t="s">
        <v>730</v>
      </c>
      <c r="B2" s="297"/>
      <c r="C2" s="297"/>
      <c r="D2" s="297"/>
      <c r="E2" s="297"/>
      <c r="F2" s="297"/>
      <c r="G2" s="297"/>
      <c r="H2" s="297"/>
      <c r="I2" s="297"/>
      <c r="J2" s="297"/>
      <c r="K2" s="297"/>
      <c r="L2" s="297"/>
      <c r="M2" s="297"/>
      <c r="N2" s="297"/>
      <c r="O2" s="297"/>
      <c r="P2" s="297"/>
      <c r="Q2" s="297"/>
      <c r="R2" s="297"/>
      <c r="S2" s="297"/>
      <c r="T2" s="173"/>
      <c r="U2" s="134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</row>
    <row r="3" spans="1:37" s="114" customFormat="1">
      <c r="A3" s="297"/>
      <c r="B3" s="297"/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7"/>
      <c r="T3" s="173"/>
      <c r="U3" s="134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</row>
    <row r="4" spans="1:37" s="114" customFormat="1">
      <c r="A4" s="297"/>
      <c r="B4" s="297"/>
      <c r="C4" s="297"/>
      <c r="D4" s="297"/>
      <c r="E4" s="297"/>
      <c r="F4" s="297"/>
      <c r="G4" s="297"/>
      <c r="H4" s="297"/>
      <c r="I4" s="297"/>
      <c r="J4" s="297"/>
      <c r="K4" s="297"/>
      <c r="L4" s="297"/>
      <c r="M4" s="297"/>
      <c r="N4" s="297"/>
      <c r="O4" s="297"/>
      <c r="P4" s="297"/>
      <c r="Q4" s="297"/>
      <c r="R4" s="297"/>
      <c r="S4" s="297"/>
      <c r="T4" s="173"/>
      <c r="U4" s="134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</row>
    <row r="5" spans="1:37" s="114" customFormat="1">
      <c r="A5" s="297"/>
      <c r="B5" s="297"/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7"/>
      <c r="T5" s="173"/>
      <c r="U5" s="134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</row>
    <row r="6" spans="1:37" s="114" customFormat="1">
      <c r="A6" s="297"/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173"/>
      <c r="U6" s="134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</row>
    <row r="7" spans="1:37" s="114" customFormat="1">
      <c r="A7" s="297"/>
      <c r="B7" s="297"/>
      <c r="C7" s="297"/>
      <c r="D7" s="297"/>
      <c r="E7" s="297"/>
      <c r="F7" s="297"/>
      <c r="G7" s="297"/>
      <c r="H7" s="297"/>
      <c r="I7" s="297"/>
      <c r="J7" s="297"/>
      <c r="K7" s="297"/>
      <c r="L7" s="297"/>
      <c r="M7" s="297"/>
      <c r="N7" s="297"/>
      <c r="O7" s="297"/>
      <c r="P7" s="297"/>
      <c r="Q7" s="297"/>
      <c r="R7" s="297"/>
      <c r="S7" s="297"/>
      <c r="T7" s="173"/>
      <c r="U7" s="134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</row>
    <row r="8" spans="1:37" s="114" customFormat="1">
      <c r="A8" s="297"/>
      <c r="B8" s="297"/>
      <c r="C8" s="297"/>
      <c r="D8" s="297"/>
      <c r="E8" s="297"/>
      <c r="F8" s="297"/>
      <c r="G8" s="297"/>
      <c r="H8" s="297"/>
      <c r="I8" s="297"/>
      <c r="J8" s="297"/>
      <c r="K8" s="297"/>
      <c r="L8" s="297"/>
      <c r="M8" s="297"/>
      <c r="N8" s="297"/>
      <c r="O8" s="297"/>
      <c r="P8" s="297"/>
      <c r="Q8" s="297"/>
      <c r="R8" s="297"/>
      <c r="S8" s="297"/>
      <c r="T8" s="173"/>
      <c r="U8" s="134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</row>
    <row r="9" spans="1:37" s="114" customFormat="1">
      <c r="A9" s="297"/>
      <c r="B9" s="297"/>
      <c r="C9" s="297"/>
      <c r="D9" s="297"/>
      <c r="E9" s="297"/>
      <c r="F9" s="297"/>
      <c r="G9" s="297"/>
      <c r="H9" s="297"/>
      <c r="I9" s="297"/>
      <c r="J9" s="297"/>
      <c r="K9" s="297"/>
      <c r="L9" s="297"/>
      <c r="M9" s="297"/>
      <c r="N9" s="297"/>
      <c r="O9" s="297"/>
      <c r="P9" s="297"/>
      <c r="Q9" s="297"/>
      <c r="R9" s="297"/>
      <c r="S9" s="297"/>
      <c r="T9" s="173"/>
      <c r="U9" s="134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</row>
    <row r="10" spans="1:37" s="114" customFormat="1">
      <c r="A10" s="134"/>
      <c r="B10" s="134"/>
      <c r="C10" s="134"/>
      <c r="D10" s="134"/>
      <c r="E10" s="130"/>
      <c r="F10" s="130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</row>
    <row r="11" spans="1:37" s="114" customFormat="1" ht="16.5" thickBot="1">
      <c r="A11" s="134"/>
      <c r="B11" s="134"/>
      <c r="C11" s="134"/>
      <c r="D11" s="134"/>
      <c r="E11" s="130"/>
      <c r="F11" s="130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</row>
    <row r="12" spans="1:37">
      <c r="A12" s="226" t="s">
        <v>140</v>
      </c>
      <c r="B12" s="227" t="s">
        <v>141</v>
      </c>
      <c r="C12" s="227" t="s">
        <v>142</v>
      </c>
      <c r="D12" s="228" t="s">
        <v>139</v>
      </c>
      <c r="G12" s="300" t="s">
        <v>340</v>
      </c>
      <c r="H12" s="301"/>
      <c r="I12" s="301"/>
      <c r="J12" s="301"/>
      <c r="K12" s="301"/>
      <c r="L12" s="301"/>
      <c r="M12" s="301"/>
      <c r="N12" s="301"/>
      <c r="O12" s="301"/>
      <c r="P12" s="301"/>
      <c r="Q12" s="301"/>
      <c r="R12" s="301"/>
      <c r="S12" s="302"/>
      <c r="T12" s="140"/>
      <c r="U12" s="134"/>
    </row>
    <row r="13" spans="1:37">
      <c r="A13" s="48" t="s">
        <v>143</v>
      </c>
      <c r="B13" s="153">
        <v>1360000</v>
      </c>
      <c r="C13" s="222" t="s">
        <v>729</v>
      </c>
      <c r="D13" s="229"/>
      <c r="G13" s="48"/>
      <c r="H13" s="298" t="s">
        <v>313</v>
      </c>
      <c r="I13" s="298"/>
      <c r="J13" s="298" t="s">
        <v>314</v>
      </c>
      <c r="K13" s="298"/>
      <c r="L13" s="298" t="s">
        <v>315</v>
      </c>
      <c r="M13" s="298"/>
      <c r="N13" s="298" t="s">
        <v>316</v>
      </c>
      <c r="O13" s="298"/>
      <c r="P13" s="167" t="s">
        <v>317</v>
      </c>
      <c r="Q13" s="167"/>
      <c r="R13" s="298" t="s">
        <v>324</v>
      </c>
      <c r="S13" s="299"/>
      <c r="T13" s="140"/>
      <c r="U13" s="134"/>
    </row>
    <row r="14" spans="1:37">
      <c r="A14" s="48" t="s">
        <v>342</v>
      </c>
      <c r="B14" s="220">
        <v>30</v>
      </c>
      <c r="C14" s="220" t="s">
        <v>343</v>
      </c>
      <c r="D14" s="229"/>
      <c r="G14" s="48"/>
      <c r="H14" s="49" t="s">
        <v>327</v>
      </c>
      <c r="I14" s="49" t="s">
        <v>328</v>
      </c>
      <c r="J14" s="49" t="s">
        <v>329</v>
      </c>
      <c r="K14" s="49" t="s">
        <v>330</v>
      </c>
      <c r="L14" s="49" t="s">
        <v>331</v>
      </c>
      <c r="M14" s="49" t="s">
        <v>332</v>
      </c>
      <c r="N14" s="49" t="s">
        <v>333</v>
      </c>
      <c r="O14" s="49" t="s">
        <v>334</v>
      </c>
      <c r="P14" s="49" t="s">
        <v>335</v>
      </c>
      <c r="Q14" s="49" t="s">
        <v>336</v>
      </c>
      <c r="R14" s="49" t="s">
        <v>337</v>
      </c>
      <c r="S14" s="110" t="s">
        <v>338</v>
      </c>
      <c r="T14" s="141"/>
      <c r="U14" s="134"/>
    </row>
    <row r="15" spans="1:37">
      <c r="A15" s="48" t="s">
        <v>344</v>
      </c>
      <c r="B15" s="220">
        <v>7.6899999999999996E-2</v>
      </c>
      <c r="C15" s="220"/>
      <c r="D15" s="229"/>
      <c r="G15" s="48" t="s">
        <v>339</v>
      </c>
      <c r="H15" s="10">
        <v>25</v>
      </c>
      <c r="I15" s="10">
        <v>25</v>
      </c>
      <c r="J15" s="10">
        <v>25</v>
      </c>
      <c r="K15" s="10">
        <v>25</v>
      </c>
      <c r="L15" s="10">
        <v>25</v>
      </c>
      <c r="M15" s="10">
        <v>25</v>
      </c>
      <c r="N15" s="10">
        <v>25</v>
      </c>
      <c r="O15" s="168">
        <v>190</v>
      </c>
      <c r="P15" s="10">
        <v>25</v>
      </c>
      <c r="Q15" s="10">
        <v>25</v>
      </c>
      <c r="R15" s="10">
        <v>25</v>
      </c>
      <c r="S15" s="50">
        <v>25</v>
      </c>
      <c r="T15" s="130"/>
      <c r="U15" s="134"/>
    </row>
    <row r="16" spans="1:37" ht="30">
      <c r="A16" s="32" t="s">
        <v>145</v>
      </c>
      <c r="B16" s="220">
        <v>23.5</v>
      </c>
      <c r="C16" s="220" t="s">
        <v>146</v>
      </c>
      <c r="D16" s="229" t="s">
        <v>147</v>
      </c>
      <c r="G16" s="48" t="s">
        <v>341</v>
      </c>
      <c r="H16" s="184">
        <v>1</v>
      </c>
      <c r="I16" s="184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69">
        <v>100</v>
      </c>
      <c r="P16" s="10">
        <v>1</v>
      </c>
      <c r="Q16" s="10">
        <v>1</v>
      </c>
      <c r="R16" s="10">
        <v>1</v>
      </c>
      <c r="S16" s="50">
        <v>1</v>
      </c>
      <c r="T16" s="130"/>
      <c r="U16" s="134"/>
    </row>
    <row r="17" spans="1:21">
      <c r="A17" s="48"/>
      <c r="B17" s="221"/>
      <c r="C17" s="220"/>
      <c r="D17" s="229"/>
      <c r="G17" s="48" t="s">
        <v>569</v>
      </c>
      <c r="H17" s="184">
        <v>10</v>
      </c>
      <c r="I17" s="184">
        <v>12</v>
      </c>
      <c r="J17" s="10"/>
      <c r="K17" s="10"/>
      <c r="L17" s="10"/>
      <c r="M17" s="10"/>
      <c r="N17" s="10"/>
      <c r="O17" s="10"/>
      <c r="P17" s="10"/>
      <c r="Q17" s="10"/>
      <c r="R17" s="10"/>
      <c r="S17" s="50"/>
      <c r="T17" s="130"/>
      <c r="U17" s="134"/>
    </row>
    <row r="18" spans="1:21">
      <c r="A18" s="48" t="s">
        <v>148</v>
      </c>
      <c r="B18" s="220">
        <v>8000</v>
      </c>
      <c r="C18" s="220" t="s">
        <v>119</v>
      </c>
      <c r="D18" s="229"/>
      <c r="G18" s="54"/>
      <c r="H18" s="298" t="s">
        <v>588</v>
      </c>
      <c r="I18" s="298"/>
      <c r="J18" s="298" t="s">
        <v>638</v>
      </c>
      <c r="K18" s="298"/>
      <c r="L18" s="298"/>
      <c r="M18" s="298"/>
      <c r="N18" s="298"/>
      <c r="O18" s="298"/>
      <c r="P18" s="298"/>
      <c r="Q18" s="298"/>
      <c r="R18" s="298"/>
      <c r="S18" s="299"/>
      <c r="T18" s="134"/>
      <c r="U18" s="134"/>
    </row>
    <row r="19" spans="1:21">
      <c r="A19" s="48" t="s">
        <v>149</v>
      </c>
      <c r="B19" s="220">
        <v>0.88</v>
      </c>
      <c r="C19" s="220"/>
      <c r="D19" s="229"/>
      <c r="G19" s="48"/>
      <c r="H19" s="49" t="s">
        <v>327</v>
      </c>
      <c r="I19" s="49" t="s">
        <v>328</v>
      </c>
      <c r="J19" s="49" t="s">
        <v>329</v>
      </c>
      <c r="K19" s="49" t="s">
        <v>330</v>
      </c>
      <c r="L19" s="49"/>
      <c r="M19" s="49"/>
      <c r="N19" s="49"/>
      <c r="O19" s="49"/>
      <c r="P19" s="49"/>
      <c r="Q19" s="49"/>
      <c r="R19" s="49"/>
      <c r="S19" s="110"/>
      <c r="T19" s="134"/>
      <c r="U19" s="134"/>
    </row>
    <row r="20" spans="1:21" ht="27.75" customHeight="1">
      <c r="A20" s="48" t="s">
        <v>639</v>
      </c>
      <c r="B20" s="222">
        <v>1.8</v>
      </c>
      <c r="C20" s="222"/>
      <c r="D20" s="229"/>
      <c r="G20" s="48" t="s">
        <v>590</v>
      </c>
      <c r="H20" s="10">
        <v>25</v>
      </c>
      <c r="I20" s="295" t="s">
        <v>636</v>
      </c>
      <c r="J20" s="295"/>
      <c r="K20" s="10" t="e">
        <f>#REF!</f>
        <v>#REF!</v>
      </c>
      <c r="L20" s="10"/>
      <c r="M20" s="10"/>
      <c r="N20" s="10"/>
      <c r="O20" s="10"/>
      <c r="P20" s="10"/>
      <c r="Q20" s="10"/>
      <c r="R20" s="10"/>
      <c r="S20" s="50"/>
      <c r="T20" s="140"/>
      <c r="U20" s="134"/>
    </row>
    <row r="21" spans="1:21" ht="16.5" thickBot="1">
      <c r="A21" s="48" t="s">
        <v>214</v>
      </c>
      <c r="B21" s="220">
        <v>3</v>
      </c>
      <c r="C21" s="220"/>
      <c r="D21" s="229"/>
      <c r="G21" s="1" t="s">
        <v>591</v>
      </c>
      <c r="H21" s="52" t="e">
        <f>#REF!</f>
        <v>#REF!</v>
      </c>
      <c r="I21" s="52">
        <f>H20+B48</f>
        <v>35</v>
      </c>
      <c r="J21" s="186" t="s">
        <v>637</v>
      </c>
      <c r="K21" s="186" t="s">
        <v>637</v>
      </c>
      <c r="L21" s="52"/>
      <c r="M21" s="52"/>
      <c r="N21" s="52"/>
      <c r="O21" s="52"/>
      <c r="P21" s="52"/>
      <c r="Q21" s="52"/>
      <c r="R21" s="52"/>
      <c r="S21" s="53"/>
      <c r="T21" s="140"/>
      <c r="U21" s="134"/>
    </row>
    <row r="22" spans="1:21" ht="25.5" customHeight="1" thickBot="1">
      <c r="A22" s="48" t="s">
        <v>1</v>
      </c>
      <c r="B22" s="220">
        <v>2017</v>
      </c>
      <c r="C22" s="220"/>
      <c r="D22" s="229"/>
      <c r="G22" s="134"/>
      <c r="H22" s="134"/>
      <c r="I22" s="134"/>
      <c r="J22" s="134"/>
      <c r="K22" s="134"/>
      <c r="L22" s="134"/>
      <c r="M22" s="134"/>
      <c r="N22" s="134"/>
      <c r="O22">
        <v>175</v>
      </c>
      <c r="P22" s="170">
        <v>190</v>
      </c>
      <c r="Q22" s="134"/>
      <c r="R22" s="134"/>
      <c r="S22" s="134"/>
      <c r="T22" s="140"/>
      <c r="U22" s="134"/>
    </row>
    <row r="23" spans="1:21" ht="20.25" customHeight="1">
      <c r="A23" s="48" t="s">
        <v>574</v>
      </c>
      <c r="B23" s="221">
        <v>0.3</v>
      </c>
      <c r="C23" s="220" t="s">
        <v>575</v>
      </c>
      <c r="D23" s="229" t="s">
        <v>576</v>
      </c>
      <c r="G23" s="120" t="s">
        <v>623</v>
      </c>
      <c r="H23" s="178" t="s">
        <v>625</v>
      </c>
      <c r="I23" s="178" t="s">
        <v>626</v>
      </c>
      <c r="J23" s="178" t="s">
        <v>627</v>
      </c>
      <c r="K23" s="179" t="s">
        <v>628</v>
      </c>
      <c r="L23" s="134"/>
      <c r="M23" s="134"/>
      <c r="N23" s="134"/>
      <c r="O23">
        <v>75</v>
      </c>
      <c r="P23" s="170">
        <v>100</v>
      </c>
      <c r="Q23" s="134"/>
      <c r="R23" s="134"/>
      <c r="S23" s="134"/>
      <c r="T23" s="142"/>
      <c r="U23" s="134"/>
    </row>
    <row r="24" spans="1:21" ht="32.25" thickBot="1">
      <c r="A24" s="48" t="s">
        <v>585</v>
      </c>
      <c r="B24" s="221">
        <v>500</v>
      </c>
      <c r="C24" s="220" t="s">
        <v>586</v>
      </c>
      <c r="D24" s="230"/>
      <c r="G24" s="177" t="s">
        <v>624</v>
      </c>
      <c r="H24" s="180">
        <v>1</v>
      </c>
      <c r="I24" s="180">
        <v>2</v>
      </c>
      <c r="J24" s="180">
        <v>2</v>
      </c>
      <c r="K24" s="181">
        <v>1</v>
      </c>
      <c r="L24" s="134"/>
      <c r="M24" s="134"/>
      <c r="N24" s="134"/>
      <c r="O24" s="134"/>
      <c r="P24" s="134"/>
      <c r="Q24" s="134"/>
      <c r="R24" s="134"/>
      <c r="S24" s="134"/>
      <c r="T24" s="143"/>
      <c r="U24" s="134"/>
    </row>
    <row r="25" spans="1:21" ht="45" customHeight="1" thickBot="1">
      <c r="A25" s="48" t="s">
        <v>325</v>
      </c>
      <c r="B25" s="220">
        <v>3.27</v>
      </c>
      <c r="C25" s="220" t="s">
        <v>740</v>
      </c>
      <c r="D25" s="229" t="s">
        <v>616</v>
      </c>
      <c r="G25" s="134"/>
      <c r="H25" s="134"/>
      <c r="I25" s="134"/>
      <c r="J25" s="134"/>
      <c r="K25" s="134"/>
      <c r="L25" s="168">
        <v>81</v>
      </c>
      <c r="M25" s="134"/>
      <c r="N25" s="134"/>
      <c r="O25" s="134"/>
      <c r="P25" s="134"/>
      <c r="Q25" s="134"/>
      <c r="R25" s="134"/>
      <c r="S25" s="134"/>
      <c r="T25" s="143"/>
      <c r="U25" s="134"/>
    </row>
    <row r="26" spans="1:21" ht="31.5" customHeight="1">
      <c r="A26" s="48" t="s">
        <v>252</v>
      </c>
      <c r="B26" s="220">
        <v>0.997</v>
      </c>
      <c r="C26" s="220" t="s">
        <v>740</v>
      </c>
      <c r="D26" s="229"/>
      <c r="G26" s="120"/>
      <c r="H26" s="322" t="s">
        <v>570</v>
      </c>
      <c r="I26" s="322"/>
      <c r="J26" s="322"/>
      <c r="K26" s="322"/>
      <c r="L26" s="322"/>
      <c r="M26" s="322"/>
      <c r="N26" s="322"/>
      <c r="O26" s="322"/>
      <c r="P26" s="322"/>
      <c r="Q26" s="322"/>
      <c r="R26" s="322"/>
      <c r="S26" s="323"/>
      <c r="T26" s="143"/>
      <c r="U26" s="134"/>
    </row>
    <row r="27" spans="1:21">
      <c r="A27" s="48" t="s">
        <v>577</v>
      </c>
      <c r="B27" s="153">
        <v>0.125</v>
      </c>
      <c r="C27" s="220" t="s">
        <v>594</v>
      </c>
      <c r="D27" s="229"/>
      <c r="G27" s="48"/>
      <c r="H27" s="310" t="s">
        <v>313</v>
      </c>
      <c r="I27" s="311"/>
      <c r="J27" s="310" t="s">
        <v>314</v>
      </c>
      <c r="K27" s="311"/>
      <c r="L27" s="308" t="s">
        <v>615</v>
      </c>
      <c r="M27" s="309"/>
      <c r="N27" s="310" t="s">
        <v>316</v>
      </c>
      <c r="O27" s="311"/>
      <c r="P27" s="310" t="s">
        <v>317</v>
      </c>
      <c r="Q27" s="311"/>
      <c r="R27" s="317" t="s">
        <v>324</v>
      </c>
      <c r="S27" s="318"/>
      <c r="T27" s="132"/>
      <c r="U27" s="134"/>
    </row>
    <row r="28" spans="1:21" ht="53.25" customHeight="1">
      <c r="A28" s="48" t="s">
        <v>253</v>
      </c>
      <c r="B28" s="153">
        <v>2</v>
      </c>
      <c r="C28" s="220" t="s">
        <v>119</v>
      </c>
      <c r="D28" s="229"/>
      <c r="E28" s="130">
        <v>2</v>
      </c>
      <c r="G28" s="32" t="s">
        <v>346</v>
      </c>
      <c r="H28" s="10"/>
      <c r="I28" s="121"/>
      <c r="J28" s="10">
        <f>2</f>
        <v>2</v>
      </c>
      <c r="K28" s="113" t="s">
        <v>347</v>
      </c>
      <c r="L28" s="168">
        <v>81</v>
      </c>
      <c r="M28" s="168">
        <v>0</v>
      </c>
      <c r="N28" s="303" t="s">
        <v>345</v>
      </c>
      <c r="O28" s="303"/>
      <c r="P28" s="45">
        <f>'Sanna et al. '!B7+'Sanna et al. '!B15</f>
        <v>17.49204665959703</v>
      </c>
      <c r="Q28" s="123" t="s">
        <v>607</v>
      </c>
      <c r="R28" s="10">
        <f>'Nazmul Hassan et.al., Romeo, '!M6</f>
        <v>13</v>
      </c>
      <c r="S28" s="306" t="str">
        <f>'Nazmul Hassan et.al., Romeo, '!O6</f>
        <v>Ref: S11 -Van der Assen 2016 " Selecting CO2 Sources for CO2 Utilization by Environmental-Merit-order Curves_Supporting info"</v>
      </c>
      <c r="T28" s="132"/>
      <c r="U28" s="134"/>
    </row>
    <row r="29" spans="1:21" ht="47.25">
      <c r="A29" s="48" t="s">
        <v>257</v>
      </c>
      <c r="B29" s="220">
        <v>1</v>
      </c>
      <c r="C29" s="220"/>
      <c r="D29" s="229"/>
      <c r="G29" s="122" t="s">
        <v>699</v>
      </c>
      <c r="H29" s="10"/>
      <c r="I29" s="10"/>
      <c r="J29" s="10"/>
      <c r="K29" s="123"/>
      <c r="L29" s="10"/>
      <c r="M29" s="123"/>
      <c r="N29" s="304"/>
      <c r="O29" s="304"/>
      <c r="P29" s="10"/>
      <c r="Q29" s="10"/>
      <c r="R29" s="10">
        <f>'Nazmul Hassan et.al., Romeo, '!M7</f>
        <v>3.6</v>
      </c>
      <c r="S29" s="307"/>
      <c r="T29" s="132"/>
      <c r="U29" s="134"/>
    </row>
    <row r="30" spans="1:21" ht="59.25">
      <c r="A30" s="48" t="s">
        <v>259</v>
      </c>
      <c r="B30" s="223">
        <v>0.1</v>
      </c>
      <c r="C30" s="220"/>
      <c r="D30" s="229" t="s">
        <v>260</v>
      </c>
      <c r="G30" s="122" t="s">
        <v>489</v>
      </c>
      <c r="H30" s="10"/>
      <c r="I30" s="10"/>
      <c r="J30" s="10"/>
      <c r="K30" s="123"/>
      <c r="L30" s="10"/>
      <c r="M30" s="123"/>
      <c r="N30" s="304"/>
      <c r="O30" s="304"/>
      <c r="P30" s="10"/>
      <c r="Q30" s="10"/>
      <c r="R30" s="10">
        <f>'Nazmul Hassan et.al., Romeo, '!M8</f>
        <v>3.3917000000000002</v>
      </c>
      <c r="S30" s="207" t="str">
        <f>'Nazmul Hassan et.al., Romeo, '!O8</f>
        <v>"Fuel production from CO2 using solar-thermal energy: system level analysis
Kim J Johnson T Miller J Stechel E Maravelias C"</v>
      </c>
      <c r="T30" s="132"/>
      <c r="U30" s="134"/>
    </row>
    <row r="31" spans="1:21">
      <c r="A31" s="48" t="s">
        <v>261</v>
      </c>
      <c r="B31" s="220">
        <v>190</v>
      </c>
      <c r="C31" s="220" t="s">
        <v>120</v>
      </c>
      <c r="D31" s="229"/>
      <c r="E31" s="130" t="s">
        <v>819</v>
      </c>
      <c r="G31" s="48" t="s">
        <v>565</v>
      </c>
      <c r="H31" s="10"/>
      <c r="I31" s="10"/>
      <c r="J31" s="10"/>
      <c r="K31" s="123"/>
      <c r="L31" s="10"/>
      <c r="M31" s="123"/>
      <c r="N31" s="168">
        <v>0.5</v>
      </c>
      <c r="O31" s="10" t="s">
        <v>581</v>
      </c>
      <c r="P31" s="10"/>
      <c r="Q31" s="10"/>
      <c r="R31" s="10"/>
      <c r="S31" s="204"/>
      <c r="T31" s="132">
        <v>0.64</v>
      </c>
      <c r="U31" s="134"/>
    </row>
    <row r="32" spans="1:21" ht="30">
      <c r="A32" s="48" t="s">
        <v>265</v>
      </c>
      <c r="B32" s="221">
        <v>1</v>
      </c>
      <c r="C32" s="220"/>
      <c r="D32" s="229" t="s">
        <v>266</v>
      </c>
      <c r="G32" s="48" t="s">
        <v>292</v>
      </c>
      <c r="H32" s="10"/>
      <c r="I32" s="10"/>
      <c r="J32" s="10"/>
      <c r="K32" s="123"/>
      <c r="L32" s="10"/>
      <c r="M32" s="123"/>
      <c r="N32" s="168">
        <v>0.75</v>
      </c>
      <c r="O32" s="10" t="s">
        <v>581</v>
      </c>
      <c r="P32" s="10"/>
      <c r="Q32" s="10"/>
      <c r="R32" s="10"/>
      <c r="S32" s="204"/>
      <c r="T32" s="132">
        <v>0</v>
      </c>
      <c r="U32" s="134"/>
    </row>
    <row r="33" spans="1:21" ht="13.5" customHeight="1">
      <c r="A33" s="48" t="s">
        <v>269</v>
      </c>
      <c r="B33" s="220">
        <v>8000</v>
      </c>
      <c r="C33" s="220" t="s">
        <v>270</v>
      </c>
      <c r="D33" s="229" t="s">
        <v>260</v>
      </c>
      <c r="G33" s="48" t="s">
        <v>620</v>
      </c>
      <c r="H33" s="10"/>
      <c r="I33" s="10"/>
      <c r="J33" s="10"/>
      <c r="K33" s="123"/>
      <c r="L33" s="10"/>
      <c r="M33" s="123"/>
      <c r="N33" s="182">
        <v>0</v>
      </c>
      <c r="O33" s="10" t="s">
        <v>581</v>
      </c>
      <c r="P33" s="10"/>
      <c r="Q33" s="10"/>
      <c r="R33" s="10"/>
      <c r="S33" s="204"/>
      <c r="T33" s="132">
        <v>0.04</v>
      </c>
      <c r="U33" s="134"/>
    </row>
    <row r="34" spans="1:21" ht="42" customHeight="1">
      <c r="A34" s="48" t="s">
        <v>282</v>
      </c>
      <c r="B34" s="220">
        <f>$B$52*0.5729</f>
        <v>0.48696499999999998</v>
      </c>
      <c r="C34" s="220"/>
      <c r="D34" s="305" t="s">
        <v>635</v>
      </c>
      <c r="G34" s="48" t="s">
        <v>621</v>
      </c>
      <c r="H34" s="10"/>
      <c r="I34" s="10"/>
      <c r="J34" s="10"/>
      <c r="K34" s="123"/>
      <c r="L34" s="10"/>
      <c r="M34" s="123"/>
      <c r="N34" s="182">
        <v>0</v>
      </c>
      <c r="O34" s="10" t="s">
        <v>581</v>
      </c>
      <c r="P34" s="10"/>
      <c r="Q34" s="10"/>
      <c r="R34" s="10"/>
      <c r="S34" s="204"/>
      <c r="T34" s="132">
        <v>1.0999999999999999E-2</v>
      </c>
      <c r="U34" s="134"/>
    </row>
    <row r="35" spans="1:21" ht="33">
      <c r="A35" s="48" t="s">
        <v>283</v>
      </c>
      <c r="B35" s="220">
        <f>$B$52*0.4271</f>
        <v>0.363035</v>
      </c>
      <c r="C35" s="220"/>
      <c r="D35" s="305"/>
      <c r="G35" s="32" t="s">
        <v>643</v>
      </c>
      <c r="H35" s="10"/>
      <c r="I35" s="10"/>
      <c r="J35" s="10"/>
      <c r="K35" s="123"/>
      <c r="L35" s="10"/>
      <c r="M35" s="123"/>
      <c r="N35" s="159"/>
      <c r="O35" s="159"/>
      <c r="P35" s="10"/>
      <c r="Q35" s="10"/>
      <c r="R35" s="208">
        <f>'Nazmul Hassan et.al., Romeo, '!M9/1000</f>
        <v>1.5E-3</v>
      </c>
      <c r="S35" s="206" t="str">
        <f>'Nazmul Hassan et.al., Romeo, '!O9</f>
        <v>Ref Rubin from Martin Pehnt -" LCA of CCS from lignite power plants"</v>
      </c>
      <c r="T35" s="132"/>
      <c r="U35" s="134"/>
    </row>
    <row r="36" spans="1:21" ht="50.25" thickBot="1">
      <c r="A36" s="48" t="s">
        <v>284</v>
      </c>
      <c r="B36" s="220">
        <f>1-$B$52</f>
        <v>0.15000000000000002</v>
      </c>
      <c r="C36" s="220"/>
      <c r="D36" s="229" t="s">
        <v>285</v>
      </c>
      <c r="G36" s="177" t="s">
        <v>687</v>
      </c>
      <c r="H36" s="52"/>
      <c r="I36" s="52"/>
      <c r="J36" s="52"/>
      <c r="K36" s="124"/>
      <c r="L36" s="52"/>
      <c r="M36" s="124"/>
      <c r="N36" s="160"/>
      <c r="O36" s="160"/>
      <c r="P36" s="52"/>
      <c r="Q36" s="52"/>
      <c r="R36" s="209">
        <f>'Nazmul Hassan et.al., Romeo, '!F17*0.88</f>
        <v>3.0234897854580072</v>
      </c>
      <c r="S36" s="205" t="str">
        <f>'Nazmul Hassan et.al., Romeo, '!E6</f>
        <v>"Techno-Economic Study of CO2 Capture from Existing Cement Plant Using MEA Scrubbing" - Hassan, S.M.; Douglas, Peter L.; Croiset, Eric</v>
      </c>
      <c r="T36" s="132"/>
      <c r="U36" s="168">
        <v>0.5</v>
      </c>
    </row>
    <row r="37" spans="1:21" ht="31.5" customHeight="1">
      <c r="A37" s="48" t="s">
        <v>348</v>
      </c>
      <c r="B37" s="220">
        <v>0.9</v>
      </c>
      <c r="C37" s="220"/>
      <c r="D37" s="229"/>
      <c r="G37" s="141"/>
      <c r="H37" s="130"/>
      <c r="I37" s="130"/>
      <c r="J37" s="130"/>
      <c r="K37" s="176"/>
      <c r="L37" s="168">
        <v>81</v>
      </c>
      <c r="M37" s="168">
        <v>293</v>
      </c>
      <c r="N37" s="132">
        <v>0.5</v>
      </c>
      <c r="O37" s="132" t="s">
        <v>565</v>
      </c>
      <c r="P37" s="130"/>
      <c r="Q37" s="130"/>
      <c r="R37" s="130"/>
      <c r="S37" s="132"/>
      <c r="T37" s="132"/>
      <c r="U37" s="168">
        <v>0.75</v>
      </c>
    </row>
    <row r="38" spans="1:21">
      <c r="A38" s="48" t="s">
        <v>310</v>
      </c>
      <c r="B38" s="220">
        <v>25</v>
      </c>
      <c r="C38" s="220" t="s">
        <v>120</v>
      </c>
      <c r="D38" s="229"/>
      <c r="G38" s="141"/>
      <c r="H38" s="130"/>
      <c r="I38" s="130"/>
      <c r="J38" s="130"/>
      <c r="K38" s="176"/>
      <c r="L38" s="130">
        <v>50</v>
      </c>
      <c r="M38" s="176"/>
      <c r="N38" s="132">
        <v>0.75</v>
      </c>
      <c r="O38" s="132" t="s">
        <v>292</v>
      </c>
      <c r="P38" s="130"/>
      <c r="Q38" s="130"/>
      <c r="R38" s="130"/>
      <c r="S38" s="132"/>
      <c r="T38" s="132"/>
      <c r="U38" s="172"/>
    </row>
    <row r="39" spans="1:21">
      <c r="A39" s="48" t="s">
        <v>311</v>
      </c>
      <c r="B39" s="130">
        <v>0.67768229340000008</v>
      </c>
      <c r="C39" s="220"/>
      <c r="D39" s="229"/>
      <c r="E39" s="130">
        <v>0.42</v>
      </c>
      <c r="F39" s="130">
        <v>0.7</v>
      </c>
      <c r="G39" s="130">
        <f>B39*1.00157</f>
        <v>0.67874625460063809</v>
      </c>
      <c r="H39" s="281">
        <f>G39</f>
        <v>0.67874625460063809</v>
      </c>
      <c r="I39" s="130"/>
      <c r="J39" s="130">
        <v>0.67768229340000008</v>
      </c>
      <c r="K39" s="176"/>
      <c r="L39" s="130"/>
      <c r="M39" s="176"/>
      <c r="N39" s="132"/>
      <c r="O39" s="132"/>
      <c r="P39" s="130"/>
      <c r="Q39" s="130"/>
      <c r="R39" s="130"/>
      <c r="S39" s="132"/>
      <c r="T39" s="134"/>
      <c r="U39" s="144"/>
    </row>
    <row r="40" spans="1:21" ht="54.75" customHeight="1" thickBot="1">
      <c r="A40" s="48" t="s">
        <v>571</v>
      </c>
      <c r="B40" s="153">
        <v>0.6</v>
      </c>
      <c r="C40" s="220"/>
      <c r="D40" s="229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2"/>
      <c r="T40" s="134"/>
      <c r="U40" s="144"/>
    </row>
    <row r="41" spans="1:21" ht="31.5" customHeight="1">
      <c r="A41" s="48" t="s">
        <v>312</v>
      </c>
      <c r="B41" s="220">
        <v>40.32</v>
      </c>
      <c r="C41" s="220" t="s">
        <v>144</v>
      </c>
      <c r="D41" s="229"/>
      <c r="G41" s="120"/>
      <c r="H41" s="319" t="s">
        <v>358</v>
      </c>
      <c r="I41" s="320"/>
      <c r="J41" s="321"/>
      <c r="K41" s="134"/>
      <c r="L41" s="120"/>
      <c r="M41" s="319" t="s">
        <v>496</v>
      </c>
      <c r="N41" s="320"/>
      <c r="O41" s="321"/>
      <c r="P41" s="134"/>
      <c r="Q41" s="120"/>
      <c r="R41" s="196" t="s">
        <v>493</v>
      </c>
      <c r="S41" s="197"/>
      <c r="T41" s="109"/>
      <c r="U41" s="144"/>
    </row>
    <row r="42" spans="1:21">
      <c r="A42" s="48" t="s">
        <v>350</v>
      </c>
      <c r="B42" s="220">
        <v>0.8</v>
      </c>
      <c r="C42" s="220" t="s">
        <v>351</v>
      </c>
      <c r="D42" s="230"/>
      <c r="G42" s="48"/>
      <c r="H42" s="126" t="s">
        <v>357</v>
      </c>
      <c r="I42" s="126" t="s">
        <v>142</v>
      </c>
      <c r="J42" s="166" t="s">
        <v>139</v>
      </c>
      <c r="K42" s="133"/>
      <c r="L42" s="48"/>
      <c r="M42" s="126" t="s">
        <v>357</v>
      </c>
      <c r="N42" s="126" t="s">
        <v>142</v>
      </c>
      <c r="O42" s="166" t="s">
        <v>139</v>
      </c>
      <c r="P42" s="134"/>
      <c r="Q42" s="48"/>
      <c r="R42" s="126" t="s">
        <v>357</v>
      </c>
      <c r="S42" s="126" t="s">
        <v>142</v>
      </c>
      <c r="T42" s="166" t="s">
        <v>139</v>
      </c>
      <c r="U42" s="144"/>
    </row>
    <row r="43" spans="1:21" ht="75">
      <c r="A43" s="48" t="s">
        <v>356</v>
      </c>
      <c r="B43" s="222">
        <v>0.6</v>
      </c>
      <c r="C43" s="220"/>
      <c r="D43" s="229" t="s">
        <v>355</v>
      </c>
      <c r="G43" s="48" t="s">
        <v>320</v>
      </c>
      <c r="H43" s="10">
        <v>0</v>
      </c>
      <c r="I43" s="121" t="s">
        <v>359</v>
      </c>
      <c r="J43" s="50"/>
      <c r="K43" s="135"/>
      <c r="L43" s="48" t="s">
        <v>320</v>
      </c>
      <c r="M43" s="10">
        <v>0</v>
      </c>
      <c r="N43" s="121" t="s">
        <v>359</v>
      </c>
      <c r="O43" s="50"/>
      <c r="P43" s="134"/>
      <c r="Q43" s="48" t="s">
        <v>488</v>
      </c>
      <c r="R43" s="10">
        <v>62</v>
      </c>
      <c r="S43" s="10" t="s">
        <v>490</v>
      </c>
      <c r="T43" s="125" t="s">
        <v>691</v>
      </c>
      <c r="U43" s="144">
        <v>37.6</v>
      </c>
    </row>
    <row r="44" spans="1:21" ht="75">
      <c r="A44" s="48" t="s">
        <v>529</v>
      </c>
      <c r="B44" s="221">
        <v>25</v>
      </c>
      <c r="C44" s="220" t="s">
        <v>530</v>
      </c>
      <c r="D44" s="230"/>
      <c r="G44" s="48" t="s">
        <v>321</v>
      </c>
      <c r="H44" s="10">
        <v>12</v>
      </c>
      <c r="I44" s="10" t="s">
        <v>359</v>
      </c>
      <c r="J44" s="125" t="s">
        <v>580</v>
      </c>
      <c r="K44" s="136">
        <v>3.96</v>
      </c>
      <c r="L44" s="48" t="s">
        <v>321</v>
      </c>
      <c r="M44" s="10">
        <v>0</v>
      </c>
      <c r="N44" s="10" t="s">
        <v>359</v>
      </c>
      <c r="O44" s="125"/>
      <c r="P44" s="134"/>
      <c r="Q44" s="32" t="s">
        <v>689</v>
      </c>
      <c r="R44" s="128">
        <v>32</v>
      </c>
      <c r="S44" s="12" t="s">
        <v>688</v>
      </c>
      <c r="T44" s="125" t="s">
        <v>690</v>
      </c>
      <c r="U44" s="144">
        <v>20.399999999999999</v>
      </c>
    </row>
    <row r="45" spans="1:21" ht="75">
      <c r="A45" s="48" t="s">
        <v>532</v>
      </c>
      <c r="B45" s="221">
        <v>1</v>
      </c>
      <c r="C45" s="220"/>
      <c r="D45" s="229" t="s">
        <v>533</v>
      </c>
      <c r="G45" s="48" t="s">
        <v>291</v>
      </c>
      <c r="H45" s="10">
        <v>0</v>
      </c>
      <c r="I45" s="10" t="s">
        <v>359</v>
      </c>
      <c r="J45" s="50"/>
      <c r="K45" s="136"/>
      <c r="L45" s="48" t="s">
        <v>291</v>
      </c>
      <c r="M45" s="128">
        <v>15.478620689655173</v>
      </c>
      <c r="N45" s="10" t="s">
        <v>359</v>
      </c>
      <c r="O45" s="125" t="s">
        <v>499</v>
      </c>
      <c r="P45" s="134"/>
      <c r="Q45" s="32" t="s">
        <v>491</v>
      </c>
      <c r="R45" s="10">
        <v>8.9099999999999999E-2</v>
      </c>
      <c r="S45" s="10" t="s">
        <v>36</v>
      </c>
      <c r="T45" s="125" t="s">
        <v>37</v>
      </c>
      <c r="U45" s="144"/>
    </row>
    <row r="46" spans="1:21">
      <c r="A46" s="48" t="s">
        <v>572</v>
      </c>
      <c r="B46" s="221">
        <v>0.2</v>
      </c>
      <c r="C46" s="221" t="s">
        <v>495</v>
      </c>
      <c r="D46" s="230" t="s">
        <v>573</v>
      </c>
      <c r="G46" s="48" t="s">
        <v>290</v>
      </c>
      <c r="H46" s="10">
        <v>0</v>
      </c>
      <c r="I46" s="10" t="s">
        <v>359</v>
      </c>
      <c r="J46" s="125"/>
      <c r="K46" s="136"/>
      <c r="L46" s="48" t="s">
        <v>290</v>
      </c>
      <c r="M46" s="10">
        <v>0</v>
      </c>
      <c r="N46" s="10" t="s">
        <v>359</v>
      </c>
      <c r="O46" s="125"/>
      <c r="P46" s="134"/>
      <c r="Q46" s="48"/>
      <c r="R46" s="10"/>
      <c r="S46" s="10"/>
      <c r="T46" s="50"/>
      <c r="U46" s="144"/>
    </row>
    <row r="47" spans="1:21" ht="30">
      <c r="A47" s="48" t="s">
        <v>584</v>
      </c>
      <c r="B47" s="153">
        <v>0.95</v>
      </c>
      <c r="C47" s="220"/>
      <c r="D47" s="230"/>
      <c r="E47" s="130">
        <v>0.9</v>
      </c>
      <c r="G47" s="48" t="s">
        <v>323</v>
      </c>
      <c r="H47" s="10">
        <v>0</v>
      </c>
      <c r="I47" s="10" t="s">
        <v>359</v>
      </c>
      <c r="J47" s="125"/>
      <c r="K47" s="136"/>
      <c r="L47" s="48" t="s">
        <v>323</v>
      </c>
      <c r="M47" s="127">
        <v>100</v>
      </c>
      <c r="N47" s="10" t="s">
        <v>359</v>
      </c>
      <c r="O47" s="125" t="s">
        <v>497</v>
      </c>
      <c r="P47" s="134"/>
      <c r="Q47" s="48"/>
      <c r="R47" s="10"/>
      <c r="S47" s="10"/>
      <c r="T47" s="125"/>
      <c r="U47" s="145"/>
    </row>
    <row r="48" spans="1:21" ht="31.5">
      <c r="A48" s="32" t="s">
        <v>589</v>
      </c>
      <c r="B48" s="221">
        <v>10</v>
      </c>
      <c r="C48" s="220" t="s">
        <v>587</v>
      </c>
      <c r="D48" s="230"/>
      <c r="G48" s="48" t="s">
        <v>318</v>
      </c>
      <c r="H48" s="10">
        <v>0</v>
      </c>
      <c r="I48" s="10" t="s">
        <v>359</v>
      </c>
      <c r="J48" s="125"/>
      <c r="K48" s="136"/>
      <c r="L48" s="48" t="s">
        <v>318</v>
      </c>
      <c r="M48" s="10">
        <v>0</v>
      </c>
      <c r="N48" s="10" t="s">
        <v>359</v>
      </c>
      <c r="O48" s="125"/>
      <c r="P48" s="134"/>
      <c r="Q48" s="48"/>
      <c r="R48" s="10"/>
      <c r="S48" s="10"/>
      <c r="T48" s="125"/>
      <c r="U48" s="145"/>
    </row>
    <row r="49" spans="1:37" ht="135">
      <c r="A49" s="48" t="s">
        <v>601</v>
      </c>
      <c r="B49" s="221">
        <v>4</v>
      </c>
      <c r="C49" s="220"/>
      <c r="D49" s="230" t="s">
        <v>602</v>
      </c>
      <c r="G49" s="48" t="s">
        <v>618</v>
      </c>
      <c r="H49" s="10">
        <v>0.2</v>
      </c>
      <c r="I49" s="10" t="s">
        <v>36</v>
      </c>
      <c r="J49" s="125" t="s">
        <v>617</v>
      </c>
      <c r="K49" s="136"/>
      <c r="L49" s="48" t="s">
        <v>293</v>
      </c>
      <c r="M49" s="31">
        <v>0</v>
      </c>
      <c r="N49" s="10" t="s">
        <v>36</v>
      </c>
      <c r="O49" s="125"/>
      <c r="P49" s="134"/>
      <c r="Q49" s="48"/>
      <c r="R49" s="10"/>
      <c r="S49" s="10"/>
      <c r="T49" s="50"/>
      <c r="U49" s="145"/>
    </row>
    <row r="50" spans="1:37" ht="30">
      <c r="A50" s="48" t="s">
        <v>613</v>
      </c>
      <c r="B50" s="153">
        <v>0</v>
      </c>
      <c r="C50" s="220" t="s">
        <v>614</v>
      </c>
      <c r="D50" s="230"/>
      <c r="G50" s="48" t="s">
        <v>294</v>
      </c>
      <c r="H50" s="10">
        <v>0</v>
      </c>
      <c r="I50" s="10" t="s">
        <v>359</v>
      </c>
      <c r="J50" s="125"/>
      <c r="K50" s="136"/>
      <c r="L50" s="48" t="s">
        <v>294</v>
      </c>
      <c r="M50" s="127">
        <v>25</v>
      </c>
      <c r="N50" s="10" t="s">
        <v>359</v>
      </c>
      <c r="O50" s="125" t="s">
        <v>497</v>
      </c>
      <c r="P50" s="134"/>
      <c r="Q50" s="48"/>
      <c r="R50" s="10"/>
      <c r="S50" s="10"/>
      <c r="T50" s="50"/>
      <c r="U50" s="145"/>
    </row>
    <row r="51" spans="1:37" ht="105">
      <c r="A51" s="48" t="s">
        <v>731</v>
      </c>
      <c r="B51" s="221">
        <v>1</v>
      </c>
      <c r="C51" s="220"/>
      <c r="D51" s="230"/>
      <c r="G51" s="48" t="s">
        <v>565</v>
      </c>
      <c r="H51" s="10">
        <f>237.5*0.88</f>
        <v>209</v>
      </c>
      <c r="I51" s="10" t="s">
        <v>359</v>
      </c>
      <c r="J51" s="125" t="s">
        <v>566</v>
      </c>
      <c r="K51" s="136">
        <v>149.6</v>
      </c>
      <c r="L51" s="48" t="s">
        <v>302</v>
      </c>
      <c r="M51" s="10">
        <v>0</v>
      </c>
      <c r="N51" s="10" t="s">
        <v>359</v>
      </c>
      <c r="O51" s="125"/>
      <c r="P51" s="134"/>
      <c r="Q51" s="48"/>
      <c r="R51" s="10"/>
      <c r="S51" s="10"/>
      <c r="T51" s="50"/>
      <c r="U51" s="172"/>
    </row>
    <row r="52" spans="1:37" ht="86.25" customHeight="1">
      <c r="A52" s="48" t="s">
        <v>630</v>
      </c>
      <c r="B52" s="153">
        <v>0.85</v>
      </c>
      <c r="C52" s="220"/>
      <c r="D52" s="230"/>
      <c r="E52" s="130">
        <v>0.85</v>
      </c>
      <c r="G52" s="48" t="s">
        <v>292</v>
      </c>
      <c r="H52" s="10">
        <f>70*0.88</f>
        <v>61.6</v>
      </c>
      <c r="I52" s="10" t="s">
        <v>359</v>
      </c>
      <c r="J52" s="189" t="s">
        <v>583</v>
      </c>
      <c r="K52" s="136">
        <v>44</v>
      </c>
      <c r="L52" s="48" t="s">
        <v>292</v>
      </c>
      <c r="M52" s="10">
        <v>0</v>
      </c>
      <c r="N52" s="10" t="s">
        <v>359</v>
      </c>
      <c r="O52" s="125"/>
      <c r="P52" s="134"/>
      <c r="Q52" s="48"/>
      <c r="R52" s="10"/>
      <c r="S52" s="10"/>
      <c r="T52" s="50"/>
      <c r="U52" s="134"/>
    </row>
    <row r="53" spans="1:37" ht="135">
      <c r="A53" s="48" t="s">
        <v>654</v>
      </c>
      <c r="B53" s="221">
        <v>0.85</v>
      </c>
      <c r="C53" s="220"/>
      <c r="D53" s="233" t="s">
        <v>655</v>
      </c>
      <c r="G53" s="48" t="s">
        <v>641</v>
      </c>
      <c r="H53" s="10">
        <f>1500*0.88</f>
        <v>1320</v>
      </c>
      <c r="I53" s="10" t="s">
        <v>359</v>
      </c>
      <c r="J53" s="125" t="s">
        <v>642</v>
      </c>
      <c r="K53" s="136">
        <v>1320</v>
      </c>
      <c r="L53" s="48" t="s">
        <v>319</v>
      </c>
      <c r="M53" s="10">
        <v>0</v>
      </c>
      <c r="N53" s="10" t="s">
        <v>359</v>
      </c>
      <c r="O53" s="125"/>
      <c r="P53" s="134"/>
      <c r="Q53" s="48"/>
      <c r="R53" s="10"/>
      <c r="S53" s="10"/>
      <c r="T53" s="157"/>
      <c r="U53" s="134"/>
    </row>
    <row r="54" spans="1:37" ht="56.25" customHeight="1">
      <c r="A54" s="48" t="s">
        <v>659</v>
      </c>
      <c r="B54" s="220">
        <v>10</v>
      </c>
      <c r="C54" s="220" t="s">
        <v>663</v>
      </c>
      <c r="D54" s="230" t="s">
        <v>602</v>
      </c>
      <c r="G54" s="48" t="s">
        <v>620</v>
      </c>
      <c r="H54" s="31">
        <v>403</v>
      </c>
      <c r="I54" s="10" t="s">
        <v>359</v>
      </c>
      <c r="J54" s="125" t="s">
        <v>619</v>
      </c>
      <c r="K54" s="136"/>
      <c r="L54" s="48"/>
      <c r="M54" s="10"/>
      <c r="N54" s="10"/>
      <c r="O54" s="125"/>
      <c r="P54" s="134"/>
      <c r="Q54" s="48"/>
      <c r="R54" s="10"/>
      <c r="S54" s="10"/>
      <c r="T54" s="157"/>
      <c r="U54" s="134"/>
    </row>
    <row r="55" spans="1:37" ht="96" customHeight="1" thickBot="1">
      <c r="A55" s="48" t="s">
        <v>662</v>
      </c>
      <c r="B55" s="224">
        <v>9.8127770000000005</v>
      </c>
      <c r="C55" s="220" t="s">
        <v>660</v>
      </c>
      <c r="D55" s="229" t="s">
        <v>661</v>
      </c>
      <c r="G55" s="1" t="s">
        <v>621</v>
      </c>
      <c r="H55" s="52">
        <v>1226</v>
      </c>
      <c r="I55" s="52" t="s">
        <v>359</v>
      </c>
      <c r="J55" s="129" t="s">
        <v>622</v>
      </c>
      <c r="K55" s="136"/>
      <c r="L55" s="1"/>
      <c r="M55" s="52"/>
      <c r="N55" s="52"/>
      <c r="O55" s="129"/>
      <c r="P55" s="134"/>
      <c r="Q55" s="1"/>
      <c r="R55" s="52"/>
      <c r="S55" s="52"/>
      <c r="T55" s="165"/>
      <c r="U55" s="134"/>
    </row>
    <row r="56" spans="1:37">
      <c r="A56" s="48" t="s">
        <v>700</v>
      </c>
      <c r="B56" s="225">
        <v>95</v>
      </c>
      <c r="C56" s="225" t="s">
        <v>701</v>
      </c>
      <c r="D56" s="231"/>
      <c r="G56" s="134"/>
      <c r="H56" s="134"/>
      <c r="I56" s="134"/>
      <c r="J56" s="134"/>
      <c r="K56" s="136"/>
      <c r="L56" s="134"/>
      <c r="M56" s="136"/>
      <c r="N56" s="137"/>
      <c r="O56" s="137"/>
      <c r="P56" s="134"/>
      <c r="Q56" s="134"/>
      <c r="R56" s="134"/>
      <c r="S56" s="132"/>
      <c r="T56" s="134"/>
      <c r="U56" s="134"/>
    </row>
    <row r="57" spans="1:37">
      <c r="A57" s="48" t="s">
        <v>702</v>
      </c>
      <c r="B57" s="220">
        <v>0.04</v>
      </c>
      <c r="C57" s="220" t="s">
        <v>705</v>
      </c>
      <c r="D57" s="313" t="s">
        <v>704</v>
      </c>
      <c r="E57" s="130">
        <f>0.12*0.88</f>
        <v>0.1056</v>
      </c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</row>
    <row r="58" spans="1:37" s="213" customFormat="1" ht="41.25" customHeight="1">
      <c r="A58" s="48" t="s">
        <v>703</v>
      </c>
      <c r="B58" s="220">
        <v>3.2000000000000001E-2</v>
      </c>
      <c r="C58" s="220" t="s">
        <v>705</v>
      </c>
      <c r="D58" s="314"/>
      <c r="E58" s="130">
        <f>0.07*0.88</f>
        <v>6.1600000000000009E-2</v>
      </c>
      <c r="F58" s="130"/>
      <c r="G58" s="134"/>
      <c r="H58" s="134"/>
      <c r="I58" s="134"/>
      <c r="J58" s="273">
        <v>0.15</v>
      </c>
      <c r="K58" s="273">
        <v>0.15</v>
      </c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</row>
    <row r="59" spans="1:37" s="214" customFormat="1" ht="41.25" customHeight="1">
      <c r="A59" s="48" t="s">
        <v>818</v>
      </c>
      <c r="B59" s="220">
        <f>B58/10</f>
        <v>3.2000000000000002E-3</v>
      </c>
      <c r="C59" s="220" t="s">
        <v>706</v>
      </c>
      <c r="D59" s="232" t="s">
        <v>817</v>
      </c>
      <c r="E59" s="130">
        <f>E58/E57</f>
        <v>0.58333333333333337</v>
      </c>
      <c r="F59" s="130"/>
      <c r="G59" s="294" t="s">
        <v>769</v>
      </c>
      <c r="H59" s="294"/>
      <c r="I59" s="294"/>
      <c r="J59" s="294"/>
      <c r="K59" s="294"/>
      <c r="L59" s="294"/>
      <c r="M59" s="294"/>
      <c r="N59" s="294"/>
      <c r="O59" s="29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</row>
    <row r="60" spans="1:37" s="214" customFormat="1" ht="41.25" customHeight="1">
      <c r="A60" s="48" t="s">
        <v>816</v>
      </c>
      <c r="B60" s="220">
        <v>1200</v>
      </c>
      <c r="C60" s="220" t="s">
        <v>706</v>
      </c>
      <c r="D60" s="232"/>
      <c r="E60" s="130"/>
      <c r="F60" s="130"/>
      <c r="G60" s="21" t="s">
        <v>204</v>
      </c>
      <c r="H60" s="250" t="s">
        <v>755</v>
      </c>
      <c r="I60" s="250" t="s">
        <v>756</v>
      </c>
      <c r="J60" s="250" t="s">
        <v>844</v>
      </c>
      <c r="K60" s="251" t="s">
        <v>845</v>
      </c>
      <c r="L60" s="251" t="s">
        <v>757</v>
      </c>
      <c r="M60" s="251" t="s">
        <v>758</v>
      </c>
      <c r="N60" s="251" t="s">
        <v>759</v>
      </c>
      <c r="O60" s="251" t="s">
        <v>760</v>
      </c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</row>
    <row r="61" spans="1:37" s="217" customFormat="1" ht="41.25" customHeight="1">
      <c r="A61" s="242" t="s">
        <v>768</v>
      </c>
      <c r="B61" s="153">
        <v>372000</v>
      </c>
      <c r="C61" s="225" t="s">
        <v>767</v>
      </c>
      <c r="D61" s="312"/>
      <c r="E61" s="130"/>
      <c r="F61" s="130"/>
      <c r="G61" s="21">
        <v>1</v>
      </c>
      <c r="H61" s="246" t="s">
        <v>857</v>
      </c>
      <c r="I61" s="220">
        <f>B47</f>
        <v>0.95</v>
      </c>
      <c r="J61" s="220">
        <f>I61*(1-$J$58)</f>
        <v>0.8075</v>
      </c>
      <c r="K61" s="220">
        <v>1</v>
      </c>
      <c r="L61" s="220">
        <v>1</v>
      </c>
      <c r="M61" s="220">
        <v>35</v>
      </c>
      <c r="N61" s="220">
        <v>1</v>
      </c>
      <c r="O61" s="252" t="s">
        <v>764</v>
      </c>
      <c r="P61" s="134"/>
      <c r="Q61" s="282" t="s">
        <v>848</v>
      </c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</row>
    <row r="62" spans="1:37" s="217" customFormat="1" ht="54.75" customHeight="1">
      <c r="A62" s="48" t="s">
        <v>813</v>
      </c>
      <c r="B62" s="220">
        <v>1</v>
      </c>
      <c r="C62" s="220" t="s">
        <v>46</v>
      </c>
      <c r="D62" s="312"/>
      <c r="E62" s="130"/>
      <c r="F62" s="130"/>
      <c r="G62" s="21">
        <f t="shared" ref="G62:G82" si="0">G61+1</f>
        <v>2</v>
      </c>
      <c r="H62" s="22" t="s">
        <v>823</v>
      </c>
      <c r="I62" s="220">
        <f>B80</f>
        <v>1.4717</v>
      </c>
      <c r="J62" s="220">
        <f t="shared" ref="J62:J64" si="1">I62*(1-$J$58)</f>
        <v>1.250945</v>
      </c>
      <c r="K62" s="220">
        <f>I62*(1+$K$58)</f>
        <v>1.6924549999999998</v>
      </c>
      <c r="L62" s="220">
        <v>1</v>
      </c>
      <c r="M62" s="220">
        <v>68</v>
      </c>
      <c r="N62" s="220">
        <v>1</v>
      </c>
      <c r="O62" s="253" t="s">
        <v>761</v>
      </c>
      <c r="P62" s="134"/>
      <c r="Q62" s="283" t="s">
        <v>823</v>
      </c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</row>
    <row r="63" spans="1:37" s="217" customFormat="1" ht="41.25" customHeight="1">
      <c r="A63" s="48" t="s">
        <v>814</v>
      </c>
      <c r="B63" s="220">
        <v>0.1055</v>
      </c>
      <c r="C63" s="220"/>
      <c r="D63" s="312"/>
      <c r="E63" s="130"/>
      <c r="F63" s="130"/>
      <c r="G63" s="21">
        <f t="shared" si="0"/>
        <v>3</v>
      </c>
      <c r="H63" s="247" t="s">
        <v>834</v>
      </c>
      <c r="I63" s="248">
        <f>O16</f>
        <v>100</v>
      </c>
      <c r="J63" s="220">
        <f t="shared" si="1"/>
        <v>85</v>
      </c>
      <c r="K63" s="220">
        <f t="shared" ref="K63" si="2">I63*(1+$K$58)</f>
        <v>114.99999999999999</v>
      </c>
      <c r="L63" s="222">
        <v>4</v>
      </c>
      <c r="M63" s="222">
        <v>2</v>
      </c>
      <c r="N63" s="222">
        <v>8</v>
      </c>
      <c r="O63" s="153">
        <v>22</v>
      </c>
      <c r="P63" s="134"/>
      <c r="Q63" s="284" t="s">
        <v>834</v>
      </c>
      <c r="R63" s="134"/>
      <c r="S63" s="134"/>
      <c r="T63" s="134" t="s">
        <v>766</v>
      </c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</row>
    <row r="64" spans="1:37" s="217" customFormat="1" ht="41.25" customHeight="1">
      <c r="A64" s="48" t="s">
        <v>815</v>
      </c>
      <c r="B64" s="220">
        <v>20</v>
      </c>
      <c r="C64" s="220"/>
      <c r="D64" s="312"/>
      <c r="E64" s="130"/>
      <c r="F64" s="130"/>
      <c r="G64" s="21">
        <f t="shared" si="0"/>
        <v>4</v>
      </c>
      <c r="H64" s="247" t="s">
        <v>835</v>
      </c>
      <c r="I64" s="220">
        <f>O15</f>
        <v>190</v>
      </c>
      <c r="J64" s="220">
        <f t="shared" si="1"/>
        <v>161.5</v>
      </c>
      <c r="K64" s="220">
        <f t="shared" ref="K64:K65" si="3">I64*(1+$K$58)</f>
        <v>218.49999999999997</v>
      </c>
      <c r="L64" s="220">
        <v>4</v>
      </c>
      <c r="M64" s="220">
        <v>1</v>
      </c>
      <c r="N64" s="221">
        <v>8</v>
      </c>
      <c r="O64" s="220"/>
      <c r="P64" s="134"/>
      <c r="Q64" s="284" t="s">
        <v>835</v>
      </c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</row>
    <row r="65" spans="1:37" s="217" customFormat="1" ht="41.25" customHeight="1">
      <c r="A65" s="48" t="s">
        <v>821</v>
      </c>
      <c r="B65" s="220">
        <v>0.8</v>
      </c>
      <c r="C65" s="220"/>
      <c r="D65" s="312"/>
      <c r="E65" s="130"/>
      <c r="F65" s="130"/>
      <c r="G65" s="21">
        <f t="shared" si="0"/>
        <v>5</v>
      </c>
      <c r="H65" s="247" t="s">
        <v>763</v>
      </c>
      <c r="I65" s="220">
        <f>B39</f>
        <v>0.67768229340000008</v>
      </c>
      <c r="J65" s="220">
        <f t="shared" ref="J65:J82" si="4">I65*(1-$J$58)</f>
        <v>0.57602994939000007</v>
      </c>
      <c r="K65" s="220">
        <f t="shared" si="3"/>
        <v>0.77933463741000009</v>
      </c>
      <c r="L65" s="220">
        <v>1</v>
      </c>
      <c r="M65" s="221">
        <v>27</v>
      </c>
      <c r="N65" s="221">
        <v>1</v>
      </c>
      <c r="O65" s="220"/>
      <c r="P65" s="134"/>
      <c r="Q65" s="284" t="s">
        <v>763</v>
      </c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</row>
    <row r="66" spans="1:37" s="217" customFormat="1" ht="41.25" customHeight="1">
      <c r="A66" s="48"/>
      <c r="B66" s="220"/>
      <c r="C66" s="220"/>
      <c r="D66" s="312"/>
      <c r="E66" s="130"/>
      <c r="F66" s="130"/>
      <c r="G66" s="21">
        <f t="shared" si="0"/>
        <v>6</v>
      </c>
      <c r="H66" s="279" t="s">
        <v>824</v>
      </c>
      <c r="I66" s="220">
        <f>B27</f>
        <v>0.125</v>
      </c>
      <c r="J66" s="220">
        <f t="shared" si="4"/>
        <v>0.10625</v>
      </c>
      <c r="K66" s="220">
        <f t="shared" ref="K66:K74" si="5">I66*(1+$K$58)</f>
        <v>0.14374999999999999</v>
      </c>
      <c r="L66" s="220">
        <v>1</v>
      </c>
      <c r="M66" s="221">
        <v>15</v>
      </c>
      <c r="N66" s="221">
        <v>1</v>
      </c>
      <c r="O66" s="220"/>
      <c r="P66" s="134"/>
      <c r="Q66" s="285" t="s">
        <v>824</v>
      </c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</row>
    <row r="67" spans="1:37" s="217" customFormat="1" ht="41.25" customHeight="1">
      <c r="A67" s="48"/>
      <c r="B67" s="220"/>
      <c r="C67" s="220"/>
      <c r="D67" s="312"/>
      <c r="E67" s="130"/>
      <c r="F67" s="130"/>
      <c r="G67" s="21">
        <f t="shared" si="0"/>
        <v>7</v>
      </c>
      <c r="H67" s="38" t="s">
        <v>849</v>
      </c>
      <c r="I67" s="225">
        <f>B71</f>
        <v>0.08</v>
      </c>
      <c r="J67" s="277">
        <f t="shared" si="4"/>
        <v>6.8000000000000005E-2</v>
      </c>
      <c r="K67" s="277">
        <f t="shared" si="5"/>
        <v>9.1999999999999998E-2</v>
      </c>
      <c r="L67" s="278">
        <v>1</v>
      </c>
      <c r="M67" s="278">
        <v>59</v>
      </c>
      <c r="N67" s="278">
        <v>1</v>
      </c>
      <c r="O67" s="220"/>
      <c r="P67" s="134"/>
      <c r="Q67" s="286" t="s">
        <v>825</v>
      </c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</row>
    <row r="68" spans="1:37" s="217" customFormat="1" ht="41.25" customHeight="1">
      <c r="A68" s="48" t="s">
        <v>732</v>
      </c>
      <c r="B68" s="153">
        <v>102</v>
      </c>
      <c r="C68" s="220" t="s">
        <v>359</v>
      </c>
      <c r="D68" s="230"/>
      <c r="E68" s="130"/>
      <c r="F68" s="130"/>
      <c r="G68" s="21">
        <f t="shared" si="0"/>
        <v>8</v>
      </c>
      <c r="H68" s="38" t="s">
        <v>853</v>
      </c>
      <c r="I68" s="220">
        <f>B40</f>
        <v>0.6</v>
      </c>
      <c r="J68" s="234">
        <f t="shared" si="4"/>
        <v>0.51</v>
      </c>
      <c r="K68" s="234">
        <f t="shared" si="5"/>
        <v>0.69</v>
      </c>
      <c r="L68" s="220">
        <v>1</v>
      </c>
      <c r="M68" s="220">
        <v>28</v>
      </c>
      <c r="N68" s="220">
        <v>1</v>
      </c>
      <c r="O68" s="220"/>
      <c r="P68" s="134"/>
      <c r="Q68" s="286" t="s">
        <v>826</v>
      </c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</row>
    <row r="69" spans="1:37" s="217" customFormat="1" ht="41.25" customHeight="1">
      <c r="A69" s="240" t="s">
        <v>733</v>
      </c>
      <c r="B69" s="153">
        <v>32</v>
      </c>
      <c r="C69" s="220" t="s">
        <v>359</v>
      </c>
      <c r="D69" s="230"/>
      <c r="E69" s="130"/>
      <c r="F69" s="130"/>
      <c r="G69" s="21">
        <f t="shared" si="0"/>
        <v>9</v>
      </c>
      <c r="H69" s="38" t="s">
        <v>855</v>
      </c>
      <c r="I69" s="220">
        <f>B52</f>
        <v>0.85</v>
      </c>
      <c r="J69" s="234">
        <f t="shared" si="4"/>
        <v>0.72249999999999992</v>
      </c>
      <c r="K69" s="234">
        <f t="shared" si="5"/>
        <v>0.97749999999999992</v>
      </c>
      <c r="L69" s="220">
        <v>1</v>
      </c>
      <c r="M69" s="220">
        <v>40</v>
      </c>
      <c r="N69" s="220">
        <v>1</v>
      </c>
      <c r="P69" s="134"/>
      <c r="Q69" s="286" t="s">
        <v>827</v>
      </c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</row>
    <row r="70" spans="1:37" s="217" customFormat="1" ht="51" customHeight="1">
      <c r="A70" s="241" t="s">
        <v>734</v>
      </c>
      <c r="B70" s="220">
        <v>1.5</v>
      </c>
      <c r="C70" s="234"/>
      <c r="D70" s="263" t="s">
        <v>735</v>
      </c>
      <c r="E70" s="130"/>
      <c r="F70" s="130"/>
      <c r="G70" s="21">
        <f t="shared" si="0"/>
        <v>10</v>
      </c>
      <c r="H70" s="38" t="s">
        <v>854</v>
      </c>
      <c r="I70" s="225">
        <f>B14</f>
        <v>30</v>
      </c>
      <c r="J70" s="234">
        <f t="shared" si="4"/>
        <v>25.5</v>
      </c>
      <c r="K70" s="234">
        <f t="shared" si="5"/>
        <v>34.5</v>
      </c>
      <c r="L70" s="225">
        <v>1</v>
      </c>
      <c r="M70" s="225">
        <v>2</v>
      </c>
      <c r="N70" s="225">
        <v>1</v>
      </c>
      <c r="O70" s="220"/>
      <c r="P70" s="134"/>
      <c r="Q70" s="287" t="s">
        <v>770</v>
      </c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</row>
    <row r="71" spans="1:37" s="217" customFormat="1" ht="41.25" customHeight="1">
      <c r="A71" s="242" t="s">
        <v>737</v>
      </c>
      <c r="B71" s="153">
        <v>0.08</v>
      </c>
      <c r="C71" s="234"/>
      <c r="D71" s="230"/>
      <c r="E71" s="130"/>
      <c r="F71" s="130"/>
      <c r="G71" s="21">
        <f t="shared" si="0"/>
        <v>11</v>
      </c>
      <c r="H71" s="21" t="s">
        <v>825</v>
      </c>
      <c r="I71" s="220">
        <f>B64</f>
        <v>20</v>
      </c>
      <c r="J71" s="220">
        <f t="shared" si="4"/>
        <v>17</v>
      </c>
      <c r="K71" s="220">
        <f t="shared" si="5"/>
        <v>23</v>
      </c>
      <c r="L71" s="220">
        <v>1</v>
      </c>
      <c r="M71" s="220">
        <v>52</v>
      </c>
      <c r="N71" s="220">
        <v>1</v>
      </c>
      <c r="O71" s="225"/>
      <c r="P71" s="134"/>
      <c r="Q71" s="284" t="s">
        <v>846</v>
      </c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</row>
    <row r="72" spans="1:37" s="214" customFormat="1" ht="41.25" customHeight="1">
      <c r="A72" s="242" t="s">
        <v>738</v>
      </c>
      <c r="B72" s="153">
        <v>0.12</v>
      </c>
      <c r="C72" s="220"/>
      <c r="D72" s="243"/>
      <c r="E72" s="130"/>
      <c r="F72" s="130"/>
      <c r="G72" s="21">
        <f t="shared" si="0"/>
        <v>12</v>
      </c>
      <c r="H72" s="21" t="s">
        <v>826</v>
      </c>
      <c r="I72" s="220">
        <f>B63</f>
        <v>0.1055</v>
      </c>
      <c r="J72" s="220">
        <f t="shared" si="4"/>
        <v>8.9674999999999991E-2</v>
      </c>
      <c r="K72" s="220">
        <f t="shared" si="5"/>
        <v>0.12132499999999999</v>
      </c>
      <c r="L72" s="220">
        <v>1</v>
      </c>
      <c r="M72" s="220">
        <v>51</v>
      </c>
      <c r="N72" s="220">
        <v>1</v>
      </c>
      <c r="O72" s="220"/>
      <c r="P72" s="249"/>
      <c r="Q72" s="283" t="s">
        <v>828</v>
      </c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</row>
    <row r="73" spans="1:37" s="237" customFormat="1" ht="41.25" customHeight="1">
      <c r="A73" s="242" t="s">
        <v>739</v>
      </c>
      <c r="B73" s="220">
        <v>10</v>
      </c>
      <c r="C73" s="225" t="s">
        <v>706</v>
      </c>
      <c r="D73" s="243"/>
      <c r="E73" s="130"/>
      <c r="F73" s="130"/>
      <c r="G73" s="21">
        <f t="shared" si="0"/>
        <v>13</v>
      </c>
      <c r="H73" s="21" t="s">
        <v>827</v>
      </c>
      <c r="I73" s="220">
        <f>Matlab_input!H102</f>
        <v>0.85</v>
      </c>
      <c r="J73" s="220">
        <f t="shared" si="4"/>
        <v>0.72249999999999992</v>
      </c>
      <c r="K73" s="220">
        <f t="shared" si="5"/>
        <v>0.97749999999999992</v>
      </c>
      <c r="L73" s="220">
        <v>2</v>
      </c>
      <c r="M73" s="220">
        <v>100</v>
      </c>
      <c r="N73" s="220">
        <v>1</v>
      </c>
      <c r="O73" s="220"/>
      <c r="P73" s="134"/>
      <c r="Q73" s="283" t="s">
        <v>829</v>
      </c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</row>
    <row r="74" spans="1:37" s="237" customFormat="1" ht="41.25" customHeight="1">
      <c r="A74" s="242" t="s">
        <v>741</v>
      </c>
      <c r="B74" s="220">
        <v>455</v>
      </c>
      <c r="C74" s="225" t="s">
        <v>743</v>
      </c>
      <c r="D74" s="244" t="s">
        <v>742</v>
      </c>
      <c r="E74" s="130"/>
      <c r="F74" s="130"/>
      <c r="G74" s="21">
        <f t="shared" si="0"/>
        <v>14</v>
      </c>
      <c r="H74" s="24" t="s">
        <v>856</v>
      </c>
      <c r="I74" s="254">
        <f>B15</f>
        <v>7.6899999999999996E-2</v>
      </c>
      <c r="J74" s="220">
        <f t="shared" si="4"/>
        <v>6.5364999999999993E-2</v>
      </c>
      <c r="K74" s="220">
        <f t="shared" si="5"/>
        <v>8.8434999999999986E-2</v>
      </c>
      <c r="L74" s="225">
        <v>1</v>
      </c>
      <c r="M74" s="225">
        <v>3</v>
      </c>
      <c r="N74" s="225">
        <v>1</v>
      </c>
      <c r="O74" s="220"/>
      <c r="P74" s="134"/>
      <c r="Q74" s="275" t="s">
        <v>830</v>
      </c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</row>
    <row r="75" spans="1:37" s="237" customFormat="1" ht="55.5" customHeight="1">
      <c r="A75" s="242" t="s">
        <v>744</v>
      </c>
      <c r="B75" s="153">
        <v>3000</v>
      </c>
      <c r="C75" s="225" t="s">
        <v>746</v>
      </c>
      <c r="D75" s="243" t="s">
        <v>747</v>
      </c>
      <c r="E75" s="130"/>
      <c r="F75" s="130"/>
      <c r="G75" s="21">
        <f t="shared" si="0"/>
        <v>15</v>
      </c>
      <c r="H75" s="247" t="s">
        <v>846</v>
      </c>
      <c r="I75" s="220">
        <f>B18</f>
        <v>8000</v>
      </c>
      <c r="J75" s="220">
        <f t="shared" si="4"/>
        <v>6800</v>
      </c>
      <c r="K75" s="220">
        <f>365*24</f>
        <v>8760</v>
      </c>
      <c r="L75" s="220">
        <v>1</v>
      </c>
      <c r="M75" s="221">
        <v>6</v>
      </c>
      <c r="N75" s="221">
        <v>1</v>
      </c>
      <c r="O75" s="254"/>
      <c r="P75" s="134"/>
      <c r="Q75" s="283" t="s">
        <v>831</v>
      </c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</row>
    <row r="76" spans="1:37" s="237" customFormat="1" ht="41.25" customHeight="1">
      <c r="A76" s="242" t="s">
        <v>745</v>
      </c>
      <c r="B76" s="220">
        <v>0.02</v>
      </c>
      <c r="C76" s="225" t="s">
        <v>495</v>
      </c>
      <c r="D76" s="243"/>
      <c r="E76" s="130"/>
      <c r="F76" s="130"/>
      <c r="G76" s="21">
        <f t="shared" si="0"/>
        <v>16</v>
      </c>
      <c r="H76" s="22" t="s">
        <v>828</v>
      </c>
      <c r="I76" s="220">
        <f>R43</f>
        <v>62</v>
      </c>
      <c r="J76" s="220">
        <f t="shared" si="4"/>
        <v>52.699999999999996</v>
      </c>
      <c r="K76" s="220">
        <f t="shared" ref="K76:K82" si="6">I76*(1+$K$58)</f>
        <v>71.3</v>
      </c>
      <c r="L76" s="220">
        <v>4</v>
      </c>
      <c r="M76" s="221">
        <v>27</v>
      </c>
      <c r="N76" s="221">
        <v>1</v>
      </c>
      <c r="O76" s="220"/>
      <c r="P76" s="134"/>
      <c r="Q76" s="283" t="s">
        <v>832</v>
      </c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</row>
    <row r="77" spans="1:37" s="237" customFormat="1" ht="41.25" customHeight="1">
      <c r="A77" s="242" t="s">
        <v>748</v>
      </c>
      <c r="B77" s="220">
        <v>0.2</v>
      </c>
      <c r="C77" s="225" t="s">
        <v>749</v>
      </c>
      <c r="D77" s="243"/>
      <c r="E77" s="130"/>
      <c r="F77" s="130"/>
      <c r="G77" s="21">
        <f t="shared" si="0"/>
        <v>17</v>
      </c>
      <c r="H77" s="22" t="s">
        <v>829</v>
      </c>
      <c r="I77" s="276">
        <f>R44</f>
        <v>32</v>
      </c>
      <c r="J77" s="220">
        <f t="shared" si="4"/>
        <v>27.2</v>
      </c>
      <c r="K77" s="220">
        <f t="shared" si="6"/>
        <v>36.799999999999997</v>
      </c>
      <c r="L77" s="220">
        <v>4</v>
      </c>
      <c r="M77" s="220">
        <v>28</v>
      </c>
      <c r="N77" s="220">
        <v>1</v>
      </c>
      <c r="O77" s="225"/>
      <c r="P77" s="134"/>
      <c r="Q77" s="283" t="s">
        <v>833</v>
      </c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</row>
    <row r="78" spans="1:37" s="237" customFormat="1" ht="41.25" customHeight="1">
      <c r="A78" s="241" t="s">
        <v>750</v>
      </c>
      <c r="B78" s="220">
        <v>2.0499999999999998</v>
      </c>
      <c r="C78" s="225" t="s">
        <v>751</v>
      </c>
      <c r="D78" s="244" t="s">
        <v>752</v>
      </c>
      <c r="E78" s="130"/>
      <c r="F78" s="130"/>
      <c r="G78" s="21">
        <f t="shared" si="0"/>
        <v>18</v>
      </c>
      <c r="H78" s="275" t="s">
        <v>830</v>
      </c>
      <c r="I78" s="237">
        <f>H44</f>
        <v>12</v>
      </c>
      <c r="J78" s="220">
        <f t="shared" si="4"/>
        <v>10.199999999999999</v>
      </c>
      <c r="K78" s="220">
        <f t="shared" si="6"/>
        <v>13.799999999999999</v>
      </c>
      <c r="L78" s="220">
        <v>4</v>
      </c>
      <c r="M78" s="220">
        <v>12</v>
      </c>
      <c r="N78" s="220">
        <v>1</v>
      </c>
      <c r="O78" s="278"/>
      <c r="P78" s="134"/>
      <c r="Q78" s="288" t="s">
        <v>849</v>
      </c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</row>
    <row r="79" spans="1:37" s="237" customFormat="1" ht="41.25" customHeight="1">
      <c r="A79" s="242" t="s">
        <v>753</v>
      </c>
      <c r="B79" s="220">
        <v>80</v>
      </c>
      <c r="C79" s="225" t="s">
        <v>120</v>
      </c>
      <c r="D79" s="243" t="s">
        <v>754</v>
      </c>
      <c r="E79" s="130"/>
      <c r="F79" s="130"/>
      <c r="G79" s="21">
        <f t="shared" si="0"/>
        <v>19</v>
      </c>
      <c r="H79" s="22" t="s">
        <v>831</v>
      </c>
      <c r="I79" s="254">
        <f>H51</f>
        <v>209</v>
      </c>
      <c r="J79" s="220">
        <f t="shared" si="4"/>
        <v>177.65</v>
      </c>
      <c r="K79" s="220">
        <f t="shared" si="6"/>
        <v>240.35</v>
      </c>
      <c r="L79" s="254">
        <v>4</v>
      </c>
      <c r="M79" s="254">
        <v>19</v>
      </c>
      <c r="N79" s="254">
        <v>1</v>
      </c>
      <c r="O79" s="274"/>
      <c r="P79" s="134"/>
      <c r="Q79" s="288" t="s">
        <v>822</v>
      </c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</row>
    <row r="80" spans="1:37" s="237" customFormat="1" ht="41.25" customHeight="1">
      <c r="A80" s="257" t="s">
        <v>777</v>
      </c>
      <c r="B80" s="220">
        <v>1.4717</v>
      </c>
      <c r="C80" s="10"/>
      <c r="D80" s="243"/>
      <c r="E80" s="220">
        <v>0.18</v>
      </c>
      <c r="F80" s="130"/>
      <c r="G80" s="21">
        <f t="shared" si="0"/>
        <v>20</v>
      </c>
      <c r="H80" s="22" t="s">
        <v>832</v>
      </c>
      <c r="I80" s="237">
        <f>H52</f>
        <v>61.6</v>
      </c>
      <c r="J80" s="220">
        <f t="shared" si="4"/>
        <v>52.36</v>
      </c>
      <c r="K80" s="220">
        <f t="shared" si="6"/>
        <v>70.839999999999989</v>
      </c>
      <c r="L80" s="220">
        <v>4</v>
      </c>
      <c r="M80" s="220">
        <v>20</v>
      </c>
      <c r="N80" s="220">
        <v>1</v>
      </c>
      <c r="O80" s="220"/>
      <c r="P80" s="134"/>
      <c r="Q80" s="28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</row>
    <row r="81" spans="1:37" s="237" customFormat="1" ht="41.25" customHeight="1">
      <c r="A81" s="242" t="s">
        <v>778</v>
      </c>
      <c r="B81" s="220">
        <v>10</v>
      </c>
      <c r="C81" s="225" t="s">
        <v>117</v>
      </c>
      <c r="D81" s="243"/>
      <c r="E81" s="220">
        <v>25</v>
      </c>
      <c r="F81" s="130"/>
      <c r="G81" s="21">
        <f t="shared" si="0"/>
        <v>21</v>
      </c>
      <c r="H81" s="22" t="s">
        <v>833</v>
      </c>
      <c r="I81" s="225">
        <f>H53</f>
        <v>1320</v>
      </c>
      <c r="J81" s="220">
        <f t="shared" si="4"/>
        <v>1122</v>
      </c>
      <c r="K81" s="220">
        <f t="shared" si="6"/>
        <v>1517.9999999999998</v>
      </c>
      <c r="L81" s="225">
        <v>4</v>
      </c>
      <c r="M81" s="225">
        <v>21</v>
      </c>
      <c r="N81" s="225">
        <v>1</v>
      </c>
      <c r="O81" s="220"/>
      <c r="P81" s="134"/>
      <c r="Q81" s="28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</row>
    <row r="82" spans="1:37" s="237" customFormat="1" ht="41.25" customHeight="1">
      <c r="A82" s="270" t="s">
        <v>791</v>
      </c>
      <c r="B82" s="258">
        <v>417</v>
      </c>
      <c r="C82" s="265" t="s">
        <v>792</v>
      </c>
      <c r="D82" s="269"/>
      <c r="E82" s="130"/>
      <c r="F82" s="130"/>
      <c r="G82" s="21">
        <f t="shared" si="0"/>
        <v>22</v>
      </c>
      <c r="H82" s="38" t="s">
        <v>822</v>
      </c>
      <c r="I82" s="274">
        <f>B60</f>
        <v>1200</v>
      </c>
      <c r="J82" s="234">
        <f t="shared" si="4"/>
        <v>1020</v>
      </c>
      <c r="K82" s="234">
        <f t="shared" si="6"/>
        <v>1380</v>
      </c>
      <c r="L82" s="274">
        <v>1</v>
      </c>
      <c r="M82" s="274">
        <v>48</v>
      </c>
      <c r="N82" s="274">
        <v>1</v>
      </c>
      <c r="O82" s="220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</row>
    <row r="83" spans="1:37" s="237" customFormat="1" ht="41.25" customHeight="1">
      <c r="A83" s="270" t="s">
        <v>793</v>
      </c>
      <c r="B83" s="266">
        <v>241</v>
      </c>
      <c r="C83" s="268" t="s">
        <v>792</v>
      </c>
      <c r="D83" s="269"/>
      <c r="E83" s="130"/>
      <c r="F83" s="130"/>
      <c r="O83" s="225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</row>
    <row r="84" spans="1:37" s="237" customFormat="1" ht="41.25" customHeight="1">
      <c r="A84" s="270" t="s">
        <v>794</v>
      </c>
      <c r="B84" s="258">
        <f>25.8/1000</f>
        <v>2.58E-2</v>
      </c>
      <c r="C84" s="265" t="s">
        <v>795</v>
      </c>
      <c r="D84" s="269"/>
      <c r="E84" s="130"/>
      <c r="F84" s="130"/>
      <c r="O84" s="220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</row>
    <row r="85" spans="1:37" s="237" customFormat="1" ht="41.25" customHeight="1">
      <c r="A85" s="270" t="s">
        <v>796</v>
      </c>
      <c r="B85" s="258">
        <f>79.1/1000</f>
        <v>7.909999999999999E-2</v>
      </c>
      <c r="C85" s="265" t="s">
        <v>795</v>
      </c>
      <c r="D85" s="269"/>
      <c r="E85" s="130"/>
      <c r="F85" s="130"/>
      <c r="G85" s="21">
        <f>G82+1</f>
        <v>23</v>
      </c>
      <c r="H85" s="247" t="s">
        <v>836</v>
      </c>
      <c r="I85" s="220">
        <v>102</v>
      </c>
      <c r="J85" s="220">
        <f t="shared" ref="J85:J86" si="7">I85*(1-$J$58)</f>
        <v>86.7</v>
      </c>
      <c r="K85" s="220">
        <f t="shared" ref="K85:K86" si="8">I85*(1+$K$58)</f>
        <v>117.3</v>
      </c>
      <c r="L85" s="220">
        <v>1</v>
      </c>
      <c r="M85" s="221">
        <v>56</v>
      </c>
      <c r="N85" s="221">
        <v>1</v>
      </c>
      <c r="O85" s="220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</row>
    <row r="86" spans="1:37" s="237" customFormat="1" ht="41.25" customHeight="1">
      <c r="A86" s="270" t="s">
        <v>797</v>
      </c>
      <c r="B86" s="258">
        <v>5.23</v>
      </c>
      <c r="C86" s="265" t="s">
        <v>798</v>
      </c>
      <c r="D86" s="269"/>
      <c r="E86" s="130"/>
      <c r="F86" s="130"/>
      <c r="G86" s="21">
        <f>G85+1</f>
        <v>24</v>
      </c>
      <c r="H86" s="247" t="s">
        <v>837</v>
      </c>
      <c r="I86" s="225">
        <v>32</v>
      </c>
      <c r="J86" s="220">
        <f t="shared" si="7"/>
        <v>27.2</v>
      </c>
      <c r="K86" s="220">
        <f t="shared" si="8"/>
        <v>36.799999999999997</v>
      </c>
      <c r="L86" s="220">
        <v>1</v>
      </c>
      <c r="M86" s="221">
        <v>57</v>
      </c>
      <c r="N86" s="221">
        <v>1</v>
      </c>
      <c r="O86" s="220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</row>
    <row r="87" spans="1:37" s="264" customFormat="1" ht="41.25" customHeight="1">
      <c r="A87" s="270" t="s">
        <v>799</v>
      </c>
      <c r="B87" s="258">
        <v>2.6</v>
      </c>
      <c r="C87" s="265" t="s">
        <v>800</v>
      </c>
      <c r="D87" s="269"/>
      <c r="E87" s="130"/>
      <c r="F87" s="130"/>
      <c r="O87" s="130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</row>
    <row r="88" spans="1:37" s="264" customFormat="1" ht="41.25" customHeight="1">
      <c r="A88" s="270" t="s">
        <v>801</v>
      </c>
      <c r="B88" s="258">
        <v>4.4340114762649971E-2</v>
      </c>
      <c r="C88" s="267" t="s">
        <v>802</v>
      </c>
      <c r="D88" s="269"/>
      <c r="E88" s="130"/>
      <c r="F88" s="130"/>
      <c r="O88" s="130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</row>
    <row r="89" spans="1:37" s="264" customFormat="1" ht="41.25" customHeight="1">
      <c r="A89" s="270" t="s">
        <v>803</v>
      </c>
      <c r="B89" s="258">
        <v>852</v>
      </c>
      <c r="C89" s="258" t="s">
        <v>804</v>
      </c>
      <c r="D89" s="269"/>
      <c r="E89" s="130"/>
      <c r="F89" s="130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</row>
    <row r="90" spans="1:37" s="264" customFormat="1" ht="41.25" customHeight="1">
      <c r="A90" s="270" t="s">
        <v>805</v>
      </c>
      <c r="B90" s="258">
        <v>1020</v>
      </c>
      <c r="C90" s="258" t="s">
        <v>800</v>
      </c>
      <c r="D90" s="269"/>
      <c r="E90" s="130"/>
      <c r="F90" s="130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</row>
    <row r="91" spans="1:37" s="264" customFormat="1" ht="41.25" customHeight="1">
      <c r="A91" s="270" t="s">
        <v>806</v>
      </c>
      <c r="B91" s="258">
        <v>86.2</v>
      </c>
      <c r="C91" s="258" t="s">
        <v>800</v>
      </c>
      <c r="D91" s="269"/>
      <c r="E91" s="130"/>
      <c r="F91" s="130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</row>
    <row r="92" spans="1:37" s="264" customFormat="1" ht="41.25" customHeight="1" thickBot="1">
      <c r="A92" s="271" t="s">
        <v>807</v>
      </c>
      <c r="B92" s="272">
        <v>3130</v>
      </c>
      <c r="C92" s="272" t="s">
        <v>800</v>
      </c>
      <c r="D92" s="269"/>
      <c r="E92" s="130"/>
      <c r="F92" s="130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</row>
    <row r="93" spans="1:37" s="264" customFormat="1" ht="41.25" customHeight="1" thickBot="1">
      <c r="A93" s="270" t="s">
        <v>820</v>
      </c>
      <c r="B93" s="258">
        <f>33/1000</f>
        <v>3.3000000000000002E-2</v>
      </c>
      <c r="C93" s="265" t="s">
        <v>795</v>
      </c>
      <c r="D93" s="245"/>
      <c r="E93" s="130"/>
      <c r="F93" s="130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</row>
    <row r="94" spans="1:37" s="264" customFormat="1" ht="41.25" customHeight="1">
      <c r="A94" s="62"/>
      <c r="B94" s="134"/>
      <c r="C94" s="130"/>
      <c r="D94" s="239"/>
      <c r="E94" s="130"/>
      <c r="F94" s="130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</row>
    <row r="95" spans="1:37" s="264" customFormat="1" ht="41.25" customHeight="1">
      <c r="A95" s="62"/>
      <c r="B95" s="134"/>
      <c r="C95" s="130"/>
      <c r="D95" s="239"/>
      <c r="E95" s="130"/>
      <c r="F95" s="130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</row>
    <row r="96" spans="1:37" s="264" customFormat="1" ht="41.25" customHeight="1">
      <c r="A96" s="62"/>
      <c r="B96" s="134"/>
      <c r="C96" s="130"/>
      <c r="D96" s="239"/>
      <c r="E96" s="130"/>
      <c r="F96" s="130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</row>
    <row r="97" spans="1:37" s="264" customFormat="1" ht="41.25" customHeight="1">
      <c r="A97" s="62"/>
      <c r="B97" s="134"/>
      <c r="C97" s="130"/>
      <c r="D97" s="239"/>
      <c r="E97" s="130"/>
      <c r="F97" s="130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</row>
    <row r="98" spans="1:37" s="264" customFormat="1" ht="41.25" customHeight="1">
      <c r="A98" s="62"/>
      <c r="B98" s="134"/>
      <c r="C98" s="130"/>
      <c r="D98" s="239"/>
      <c r="E98" s="130"/>
      <c r="F98" s="130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</row>
    <row r="99" spans="1:37" s="264" customFormat="1" ht="41.25" customHeight="1">
      <c r="A99" s="62"/>
      <c r="B99" s="134"/>
      <c r="C99" s="130"/>
      <c r="D99" s="239"/>
      <c r="E99" s="130"/>
      <c r="F99" s="130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</row>
    <row r="100" spans="1:37" s="264" customFormat="1" ht="41.25" customHeight="1">
      <c r="A100" s="62"/>
      <c r="B100" s="134"/>
      <c r="C100" s="130"/>
      <c r="D100" s="239"/>
      <c r="E100" s="130"/>
      <c r="F100" s="130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</row>
    <row r="101" spans="1:37" s="264" customFormat="1" ht="41.25" customHeight="1">
      <c r="A101" s="62"/>
      <c r="B101" s="134"/>
      <c r="C101" s="130"/>
      <c r="D101" s="239"/>
      <c r="E101" s="130"/>
      <c r="F101" s="130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  <c r="AB101" s="134"/>
      <c r="AC101" s="134"/>
      <c r="AD101" s="134"/>
      <c r="AE101" s="134"/>
      <c r="AF101" s="134"/>
      <c r="AG101" s="134"/>
      <c r="AH101" s="134"/>
      <c r="AI101" s="134"/>
      <c r="AJ101" s="134"/>
      <c r="AK101" s="134"/>
    </row>
    <row r="102" spans="1:37" s="264" customFormat="1" ht="41.25" customHeight="1">
      <c r="A102" s="62"/>
      <c r="B102" s="134"/>
      <c r="C102" s="130"/>
      <c r="D102" s="239"/>
      <c r="E102" s="130"/>
      <c r="F102" s="130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</row>
    <row r="103" spans="1:37" s="264" customFormat="1" ht="41.25" customHeight="1">
      <c r="A103" s="62"/>
      <c r="B103" s="134"/>
      <c r="C103" s="130"/>
      <c r="D103" s="239"/>
      <c r="E103" s="130"/>
      <c r="F103" s="130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</row>
    <row r="104" spans="1:37" s="264" customFormat="1" ht="41.25" customHeight="1">
      <c r="A104" s="62"/>
      <c r="B104" s="134"/>
      <c r="C104" s="130"/>
      <c r="D104" s="239"/>
      <c r="E104" s="130"/>
      <c r="F104" s="130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</row>
    <row r="105" spans="1:37">
      <c r="A105" s="62"/>
      <c r="B105" s="134"/>
      <c r="D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</row>
    <row r="106" spans="1:37" ht="15.75" hidden="1" customHeight="1">
      <c r="A106" s="62"/>
      <c r="B106" s="131"/>
      <c r="C106" s="131"/>
      <c r="D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4"/>
    </row>
    <row r="107" spans="1:37" ht="15.75" hidden="1" customHeight="1">
      <c r="A107" s="62"/>
      <c r="B107" s="131"/>
      <c r="C107" s="131"/>
      <c r="D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4"/>
    </row>
    <row r="108" spans="1:37" ht="15.75" hidden="1" customHeight="1">
      <c r="A108" s="62"/>
      <c r="B108" s="131"/>
      <c r="C108" s="131"/>
      <c r="D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4"/>
    </row>
    <row r="109" spans="1:37" ht="15.75" hidden="1" customHeight="1">
      <c r="A109" s="62"/>
      <c r="B109" s="131"/>
      <c r="C109" s="131"/>
      <c r="D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4"/>
    </row>
    <row r="110" spans="1:37" ht="15.75" hidden="1" customHeight="1">
      <c r="B110" s="131"/>
      <c r="C110" s="131"/>
      <c r="D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4"/>
    </row>
    <row r="111" spans="1:37" ht="15.75" hidden="1" customHeight="1">
      <c r="A111" s="134"/>
      <c r="B111" s="131"/>
      <c r="C111" s="131"/>
      <c r="D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4"/>
    </row>
    <row r="112" spans="1:37" ht="15.75" hidden="1" customHeight="1">
      <c r="A112" s="131"/>
      <c r="B112" s="131"/>
      <c r="C112" s="131"/>
      <c r="D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4"/>
    </row>
    <row r="113" spans="1:20" ht="15.75" hidden="1" customHeight="1">
      <c r="A113" s="131"/>
      <c r="B113" s="131"/>
      <c r="C113" s="131"/>
      <c r="D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4"/>
    </row>
    <row r="114" spans="1:20" ht="15.75" hidden="1" customHeight="1">
      <c r="A114" s="131"/>
      <c r="B114" s="131"/>
      <c r="C114" s="131"/>
      <c r="D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4"/>
    </row>
    <row r="115" spans="1:20" ht="15.75" hidden="1" customHeight="1">
      <c r="A115" s="131"/>
      <c r="B115" s="131"/>
      <c r="C115" s="131"/>
      <c r="D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4"/>
    </row>
    <row r="116" spans="1:20" hidden="1">
      <c r="A116" s="131"/>
      <c r="B116" s="131"/>
      <c r="C116" s="131"/>
      <c r="D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4"/>
    </row>
    <row r="117" spans="1:20" hidden="1">
      <c r="A117" s="131"/>
      <c r="B117" s="131"/>
      <c r="C117" s="131"/>
      <c r="D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4"/>
    </row>
    <row r="118" spans="1:20" hidden="1">
      <c r="A118" s="131"/>
      <c r="B118" s="131"/>
      <c r="C118" s="131"/>
      <c r="D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4"/>
    </row>
    <row r="119" spans="1:20" hidden="1">
      <c r="A119" s="131"/>
      <c r="B119" s="131"/>
      <c r="C119" s="131"/>
      <c r="D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4"/>
    </row>
    <row r="120" spans="1:20" hidden="1">
      <c r="A120" s="131"/>
      <c r="B120" s="131"/>
      <c r="C120" s="131"/>
      <c r="D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4"/>
    </row>
    <row r="121" spans="1:20" hidden="1">
      <c r="A121" s="131"/>
      <c r="B121" s="131"/>
      <c r="C121" s="131"/>
      <c r="D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4"/>
    </row>
    <row r="122" spans="1:20" hidden="1">
      <c r="A122" s="131"/>
      <c r="B122" s="131"/>
      <c r="C122" s="131"/>
      <c r="D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4"/>
    </row>
    <row r="123" spans="1:20" hidden="1">
      <c r="A123" s="131"/>
      <c r="B123" s="131"/>
      <c r="C123" s="131"/>
      <c r="D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4"/>
    </row>
    <row r="124" spans="1:20" hidden="1">
      <c r="A124" s="131"/>
      <c r="B124" s="131"/>
      <c r="C124" s="131"/>
      <c r="D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4"/>
    </row>
    <row r="125" spans="1:20" hidden="1">
      <c r="A125" s="131"/>
      <c r="B125" s="131"/>
      <c r="C125" s="131"/>
      <c r="D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4"/>
    </row>
    <row r="126" spans="1:20" hidden="1">
      <c r="A126" s="131"/>
      <c r="B126" s="131"/>
      <c r="C126" s="131"/>
      <c r="D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4"/>
    </row>
    <row r="127" spans="1:20" hidden="1">
      <c r="A127" s="131"/>
      <c r="B127" s="131"/>
      <c r="C127" s="131"/>
      <c r="D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4"/>
    </row>
    <row r="128" spans="1:20" hidden="1">
      <c r="A128" s="131"/>
      <c r="B128" s="131"/>
      <c r="C128" s="131"/>
      <c r="D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4"/>
    </row>
    <row r="129" spans="1:20" hidden="1">
      <c r="A129" s="131"/>
      <c r="B129" s="131"/>
      <c r="C129" s="131"/>
      <c r="D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4"/>
    </row>
    <row r="130" spans="1:20" hidden="1">
      <c r="A130" s="131"/>
      <c r="B130" s="131"/>
      <c r="C130" s="131"/>
      <c r="D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4"/>
    </row>
    <row r="131" spans="1:20" hidden="1">
      <c r="A131" s="131"/>
      <c r="B131" s="131"/>
      <c r="C131" s="131"/>
      <c r="D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4"/>
    </row>
    <row r="132" spans="1:20" hidden="1">
      <c r="A132" s="131"/>
      <c r="B132" s="131"/>
      <c r="C132" s="131"/>
      <c r="D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4"/>
    </row>
    <row r="133" spans="1:20" hidden="1">
      <c r="A133" s="131"/>
      <c r="B133" s="131"/>
      <c r="C133" s="131"/>
      <c r="D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4"/>
    </row>
    <row r="134" spans="1:20" hidden="1">
      <c r="A134" s="131"/>
      <c r="B134" s="131"/>
      <c r="C134" s="131"/>
      <c r="D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4"/>
    </row>
    <row r="135" spans="1:20" hidden="1">
      <c r="A135" s="131"/>
      <c r="B135" s="131"/>
      <c r="C135" s="131"/>
      <c r="D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4"/>
    </row>
    <row r="136" spans="1:20" hidden="1">
      <c r="A136" s="131"/>
      <c r="B136" s="131"/>
      <c r="C136" s="131"/>
      <c r="D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4"/>
    </row>
    <row r="137" spans="1:20" hidden="1">
      <c r="A137" s="131"/>
      <c r="B137" s="131"/>
      <c r="C137" s="131"/>
      <c r="D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4"/>
    </row>
    <row r="138" spans="1:20" hidden="1">
      <c r="A138" s="131"/>
      <c r="B138" s="131"/>
      <c r="C138" s="131"/>
      <c r="D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4"/>
    </row>
    <row r="139" spans="1:20" hidden="1">
      <c r="A139" s="131"/>
      <c r="B139" s="131"/>
      <c r="C139" s="131"/>
      <c r="D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4"/>
    </row>
    <row r="140" spans="1:20" hidden="1">
      <c r="A140" s="131"/>
      <c r="B140" s="131"/>
      <c r="C140" s="131"/>
      <c r="D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4"/>
    </row>
    <row r="141" spans="1:20" hidden="1">
      <c r="A141" s="131"/>
      <c r="B141" s="131"/>
      <c r="C141" s="131"/>
      <c r="D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4"/>
    </row>
    <row r="142" spans="1:20" hidden="1">
      <c r="A142" s="131"/>
      <c r="B142" s="131"/>
      <c r="C142" s="131"/>
      <c r="D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4"/>
    </row>
    <row r="143" spans="1:20" hidden="1">
      <c r="A143" s="131"/>
      <c r="B143" s="131"/>
      <c r="C143" s="131"/>
      <c r="D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4"/>
    </row>
    <row r="144" spans="1:20" hidden="1">
      <c r="A144" s="131"/>
      <c r="B144" s="131"/>
      <c r="C144" s="131"/>
      <c r="D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4"/>
    </row>
    <row r="145" spans="1:20" hidden="1">
      <c r="A145" s="131"/>
      <c r="B145" s="131"/>
      <c r="C145" s="131"/>
      <c r="D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4"/>
    </row>
    <row r="146" spans="1:20" hidden="1">
      <c r="A146" s="131"/>
      <c r="B146" s="131"/>
      <c r="C146" s="131"/>
      <c r="D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4"/>
    </row>
    <row r="147" spans="1:20" hidden="1">
      <c r="A147" s="131"/>
      <c r="B147" s="131"/>
      <c r="C147" s="131"/>
      <c r="D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4"/>
    </row>
    <row r="148" spans="1:20" hidden="1">
      <c r="A148" s="131"/>
      <c r="B148" s="131"/>
      <c r="C148" s="131"/>
      <c r="D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4"/>
    </row>
    <row r="149" spans="1:20" hidden="1">
      <c r="A149" s="131"/>
      <c r="B149" s="131"/>
      <c r="C149" s="131"/>
      <c r="D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4"/>
    </row>
    <row r="150" spans="1:20" hidden="1">
      <c r="A150" s="131"/>
      <c r="B150" s="131"/>
      <c r="C150" s="131"/>
      <c r="D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4"/>
    </row>
    <row r="151" spans="1:20" hidden="1">
      <c r="A151" s="131"/>
      <c r="B151" s="131"/>
      <c r="C151" s="131"/>
      <c r="D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4"/>
    </row>
    <row r="152" spans="1:20" hidden="1">
      <c r="A152" s="131"/>
      <c r="B152" s="131"/>
      <c r="C152" s="131"/>
      <c r="D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4"/>
    </row>
    <row r="153" spans="1:20" hidden="1">
      <c r="A153" s="131"/>
      <c r="B153" s="131"/>
      <c r="C153" s="131"/>
      <c r="D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4"/>
    </row>
    <row r="154" spans="1:20" hidden="1">
      <c r="A154" s="131"/>
      <c r="B154" s="131"/>
      <c r="C154" s="131"/>
      <c r="D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4"/>
    </row>
    <row r="155" spans="1:20" hidden="1">
      <c r="A155" s="131"/>
      <c r="B155" s="131"/>
      <c r="C155" s="131"/>
      <c r="D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4"/>
    </row>
    <row r="156" spans="1:20" hidden="1">
      <c r="A156" s="131"/>
      <c r="B156" s="131"/>
      <c r="C156" s="131"/>
      <c r="D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4"/>
    </row>
    <row r="157" spans="1:20" hidden="1">
      <c r="A157" s="131"/>
      <c r="B157" s="131"/>
      <c r="C157" s="131"/>
      <c r="D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4"/>
    </row>
    <row r="158" spans="1:20" hidden="1">
      <c r="A158" s="131"/>
      <c r="B158" s="131"/>
      <c r="C158" s="131"/>
      <c r="D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4"/>
    </row>
    <row r="159" spans="1:20" hidden="1">
      <c r="A159" s="131"/>
      <c r="B159" s="131"/>
      <c r="C159" s="131"/>
      <c r="D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4"/>
    </row>
    <row r="160" spans="1:20" hidden="1">
      <c r="A160" s="131"/>
      <c r="B160" s="131"/>
      <c r="C160" s="131"/>
      <c r="D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4"/>
    </row>
    <row r="161" spans="1:20" hidden="1">
      <c r="A161" s="131"/>
      <c r="B161" s="131"/>
      <c r="C161" s="131"/>
      <c r="D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4"/>
    </row>
    <row r="162" spans="1:20" hidden="1">
      <c r="A162" s="131"/>
      <c r="B162" s="131"/>
      <c r="C162" s="131"/>
      <c r="D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4"/>
    </row>
    <row r="163" spans="1:20" hidden="1">
      <c r="A163" s="131"/>
      <c r="B163" s="131"/>
      <c r="C163" s="131"/>
      <c r="D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4"/>
    </row>
    <row r="164" spans="1:20" hidden="1">
      <c r="A164" s="131"/>
      <c r="B164" s="131"/>
      <c r="C164" s="131"/>
      <c r="D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4"/>
    </row>
    <row r="165" spans="1:20" hidden="1">
      <c r="A165" s="131"/>
      <c r="B165" s="131"/>
      <c r="C165" s="131"/>
      <c r="D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4"/>
    </row>
    <row r="166" spans="1:20" hidden="1">
      <c r="A166" s="131"/>
      <c r="B166" s="131"/>
      <c r="C166" s="131"/>
      <c r="D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4"/>
    </row>
    <row r="167" spans="1:20" hidden="1">
      <c r="A167" s="131"/>
      <c r="B167" s="131"/>
      <c r="C167" s="131"/>
      <c r="D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4"/>
    </row>
    <row r="168" spans="1:20" hidden="1">
      <c r="A168" s="131"/>
      <c r="B168" s="131"/>
      <c r="C168" s="131"/>
      <c r="D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4"/>
    </row>
    <row r="169" spans="1:20" hidden="1">
      <c r="A169" s="131"/>
      <c r="B169" s="131"/>
      <c r="C169" s="131"/>
      <c r="D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4"/>
    </row>
    <row r="170" spans="1:20" hidden="1">
      <c r="A170" s="131"/>
      <c r="B170" s="131"/>
      <c r="C170" s="131"/>
      <c r="D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4"/>
    </row>
    <row r="171" spans="1:20" hidden="1">
      <c r="A171" s="131"/>
      <c r="B171" s="131"/>
      <c r="C171" s="131"/>
      <c r="D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4"/>
    </row>
    <row r="172" spans="1:20" hidden="1">
      <c r="A172" s="131"/>
      <c r="B172" s="131"/>
      <c r="C172" s="131"/>
      <c r="D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4"/>
    </row>
    <row r="173" spans="1:20" hidden="1">
      <c r="A173" s="131"/>
      <c r="B173" s="131"/>
      <c r="C173" s="131"/>
      <c r="D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4"/>
    </row>
    <row r="174" spans="1:20" hidden="1">
      <c r="A174" s="131"/>
      <c r="B174" s="131"/>
      <c r="C174" s="131"/>
      <c r="D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4"/>
    </row>
    <row r="175" spans="1:20" hidden="1">
      <c r="A175" s="131"/>
      <c r="B175" s="131"/>
      <c r="C175" s="131"/>
      <c r="D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4"/>
    </row>
    <row r="176" spans="1:20" hidden="1">
      <c r="A176" s="131"/>
      <c r="B176" s="131"/>
      <c r="C176" s="131"/>
      <c r="D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4"/>
    </row>
    <row r="177" spans="1:20" hidden="1">
      <c r="A177" s="131"/>
      <c r="B177" s="131"/>
      <c r="C177" s="131"/>
      <c r="D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4"/>
    </row>
    <row r="178" spans="1:20" hidden="1">
      <c r="A178" s="131"/>
      <c r="B178" s="131"/>
      <c r="C178" s="131"/>
      <c r="D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4"/>
    </row>
    <row r="179" spans="1:20" hidden="1">
      <c r="A179" s="131"/>
      <c r="B179" s="131"/>
      <c r="C179" s="131"/>
      <c r="D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4"/>
    </row>
    <row r="180" spans="1:20" hidden="1">
      <c r="A180" s="131"/>
      <c r="B180" s="131"/>
      <c r="C180" s="131"/>
      <c r="D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4"/>
    </row>
    <row r="181" spans="1:20" hidden="1">
      <c r="A181" s="131"/>
      <c r="B181" s="131"/>
      <c r="C181" s="131"/>
      <c r="D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4"/>
    </row>
    <row r="182" spans="1:20" hidden="1">
      <c r="A182" s="131"/>
      <c r="B182" s="131"/>
      <c r="C182" s="131"/>
      <c r="D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4"/>
    </row>
    <row r="183" spans="1:20" hidden="1">
      <c r="A183" s="131"/>
      <c r="B183" s="131"/>
      <c r="C183" s="131"/>
      <c r="D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4"/>
    </row>
    <row r="184" spans="1:20" hidden="1">
      <c r="A184" s="131"/>
      <c r="B184" s="131"/>
      <c r="C184" s="131"/>
      <c r="D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4"/>
    </row>
    <row r="185" spans="1:20" hidden="1">
      <c r="A185" s="131"/>
      <c r="B185" s="131"/>
      <c r="C185" s="131"/>
      <c r="D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4"/>
    </row>
    <row r="186" spans="1:20" hidden="1">
      <c r="A186" s="131"/>
      <c r="B186" s="131"/>
      <c r="C186" s="131"/>
      <c r="D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4"/>
    </row>
    <row r="187" spans="1:20" hidden="1">
      <c r="A187" s="131"/>
      <c r="B187" s="131"/>
      <c r="C187" s="131"/>
      <c r="D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4"/>
    </row>
    <row r="188" spans="1:20" hidden="1">
      <c r="A188" s="131"/>
      <c r="B188" s="131"/>
      <c r="C188" s="131"/>
      <c r="D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4"/>
    </row>
    <row r="189" spans="1:20" hidden="1">
      <c r="A189" s="131"/>
      <c r="B189" s="131"/>
      <c r="C189" s="131"/>
      <c r="D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4"/>
    </row>
    <row r="190" spans="1:20" hidden="1">
      <c r="A190" s="131"/>
      <c r="B190" s="131"/>
      <c r="C190" s="131"/>
      <c r="D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4"/>
    </row>
    <row r="191" spans="1:20" hidden="1">
      <c r="A191" s="131"/>
      <c r="B191" s="131"/>
      <c r="C191" s="131"/>
      <c r="D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4"/>
    </row>
    <row r="192" spans="1:20" hidden="1">
      <c r="A192" s="131"/>
      <c r="B192" s="131"/>
      <c r="C192" s="131"/>
      <c r="D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4"/>
    </row>
    <row r="193" spans="1:20" hidden="1">
      <c r="A193" s="131"/>
      <c r="B193" s="131"/>
      <c r="C193" s="131"/>
      <c r="D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4"/>
    </row>
    <row r="194" spans="1:20" hidden="1">
      <c r="A194" s="131"/>
      <c r="B194" s="131"/>
      <c r="C194" s="131"/>
      <c r="D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4"/>
    </row>
    <row r="195" spans="1:20" hidden="1">
      <c r="A195" s="131"/>
      <c r="B195" s="131"/>
      <c r="C195" s="131"/>
      <c r="D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4"/>
    </row>
    <row r="196" spans="1:20" hidden="1">
      <c r="A196" s="131"/>
      <c r="B196" s="131"/>
      <c r="C196" s="131"/>
      <c r="D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4"/>
    </row>
    <row r="197" spans="1:20" hidden="1">
      <c r="A197" s="131"/>
      <c r="B197" s="131"/>
      <c r="C197" s="131"/>
      <c r="D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4"/>
    </row>
    <row r="198" spans="1:20" hidden="1">
      <c r="A198" s="131"/>
      <c r="B198" s="131"/>
      <c r="C198" s="131"/>
      <c r="D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4"/>
    </row>
    <row r="199" spans="1:20" hidden="1">
      <c r="A199" s="131"/>
      <c r="B199" s="131"/>
      <c r="C199" s="131"/>
      <c r="D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4"/>
    </row>
    <row r="200" spans="1:20" hidden="1">
      <c r="A200" s="131"/>
      <c r="B200" s="131"/>
      <c r="C200" s="131"/>
      <c r="D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4"/>
    </row>
    <row r="201" spans="1:20" hidden="1">
      <c r="A201" s="131"/>
      <c r="B201" s="131"/>
      <c r="C201" s="131"/>
      <c r="D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4"/>
    </row>
    <row r="202" spans="1:20" hidden="1">
      <c r="A202" s="131"/>
      <c r="B202" s="131"/>
      <c r="C202" s="131"/>
      <c r="D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4"/>
    </row>
    <row r="203" spans="1:20" hidden="1">
      <c r="A203" s="131"/>
      <c r="B203" s="131"/>
      <c r="C203" s="131"/>
      <c r="D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4"/>
    </row>
    <row r="204" spans="1:20" hidden="1">
      <c r="A204" s="131"/>
      <c r="B204" s="131"/>
      <c r="C204" s="131"/>
      <c r="D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4"/>
    </row>
    <row r="205" spans="1:20" hidden="1">
      <c r="A205" s="131"/>
      <c r="B205" s="131"/>
      <c r="C205" s="131"/>
      <c r="D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4"/>
    </row>
    <row r="206" spans="1:20" hidden="1">
      <c r="A206" s="131"/>
      <c r="B206" s="131"/>
      <c r="C206" s="131"/>
      <c r="D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4"/>
    </row>
    <row r="207" spans="1:20" hidden="1">
      <c r="A207" s="131"/>
      <c r="B207" s="131"/>
      <c r="C207" s="131"/>
      <c r="D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4"/>
    </row>
    <row r="208" spans="1:20" hidden="1">
      <c r="A208" s="131"/>
      <c r="B208" s="131"/>
      <c r="C208" s="131"/>
      <c r="D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4"/>
    </row>
    <row r="209" spans="1:20" hidden="1">
      <c r="A209" s="131"/>
      <c r="B209" s="131"/>
      <c r="C209" s="131"/>
      <c r="D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4"/>
    </row>
    <row r="210" spans="1:20" hidden="1">
      <c r="A210" s="131"/>
      <c r="B210" s="131"/>
      <c r="C210" s="131"/>
      <c r="D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4"/>
    </row>
    <row r="211" spans="1:20" hidden="1">
      <c r="A211" s="131"/>
      <c r="B211" s="131"/>
      <c r="C211" s="131"/>
      <c r="D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4"/>
    </row>
    <row r="212" spans="1:20" hidden="1">
      <c r="A212" s="131"/>
      <c r="B212" s="131"/>
      <c r="C212" s="131"/>
      <c r="D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4"/>
    </row>
    <row r="213" spans="1:20" hidden="1">
      <c r="A213" s="131"/>
      <c r="B213" s="131"/>
      <c r="C213" s="131"/>
      <c r="D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4"/>
    </row>
    <row r="214" spans="1:20" hidden="1">
      <c r="A214" s="131"/>
      <c r="B214" s="131"/>
      <c r="C214" s="131"/>
      <c r="D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4"/>
    </row>
    <row r="215" spans="1:20" hidden="1">
      <c r="A215" s="131"/>
      <c r="B215" s="131"/>
      <c r="C215" s="131"/>
      <c r="D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4"/>
    </row>
    <row r="216" spans="1:20" hidden="1">
      <c r="A216" s="131"/>
      <c r="B216" s="131"/>
      <c r="C216" s="131"/>
      <c r="D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4"/>
    </row>
    <row r="217" spans="1:20" hidden="1">
      <c r="A217" s="131"/>
      <c r="B217" s="131"/>
      <c r="C217" s="131"/>
      <c r="D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4"/>
    </row>
    <row r="218" spans="1:20" hidden="1">
      <c r="A218" s="131"/>
      <c r="B218" s="131"/>
      <c r="C218" s="131"/>
      <c r="D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4"/>
    </row>
    <row r="219" spans="1:20" hidden="1">
      <c r="A219" s="131"/>
      <c r="B219" s="131"/>
      <c r="C219" s="131"/>
      <c r="D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4"/>
    </row>
    <row r="220" spans="1:20" hidden="1">
      <c r="A220" s="131"/>
      <c r="B220" s="131"/>
      <c r="C220" s="131"/>
      <c r="D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4"/>
    </row>
    <row r="221" spans="1:20" hidden="1">
      <c r="A221" s="131"/>
      <c r="B221" s="131"/>
      <c r="C221" s="131"/>
      <c r="D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4"/>
    </row>
    <row r="222" spans="1:20" hidden="1">
      <c r="A222" s="131"/>
      <c r="B222" s="131"/>
      <c r="C222" s="131"/>
      <c r="D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4"/>
    </row>
    <row r="223" spans="1:20" hidden="1">
      <c r="A223" s="131"/>
      <c r="B223" s="131"/>
      <c r="C223" s="131"/>
      <c r="D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4"/>
    </row>
    <row r="224" spans="1:20" hidden="1">
      <c r="A224" s="131"/>
      <c r="B224" s="131"/>
      <c r="C224" s="131"/>
      <c r="D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4"/>
    </row>
    <row r="225" spans="1:20" hidden="1">
      <c r="A225" s="131"/>
      <c r="B225" s="131"/>
      <c r="C225" s="131"/>
      <c r="D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4"/>
    </row>
    <row r="226" spans="1:20" hidden="1">
      <c r="A226" s="131"/>
      <c r="B226" s="131"/>
      <c r="C226" s="131"/>
      <c r="D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4"/>
    </row>
    <row r="227" spans="1:20" hidden="1">
      <c r="A227" s="131"/>
      <c r="B227" s="131"/>
      <c r="C227" s="131"/>
      <c r="D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4"/>
    </row>
    <row r="228" spans="1:20" hidden="1">
      <c r="A228" s="131"/>
      <c r="B228" s="131"/>
      <c r="C228" s="131"/>
      <c r="D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4"/>
    </row>
    <row r="229" spans="1:20" hidden="1">
      <c r="A229" s="131"/>
      <c r="B229" s="131"/>
      <c r="C229" s="131"/>
      <c r="D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4"/>
    </row>
    <row r="230" spans="1:20" hidden="1">
      <c r="A230" s="131"/>
      <c r="B230" s="131"/>
      <c r="C230" s="131"/>
      <c r="D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4"/>
    </row>
    <row r="231" spans="1:20" hidden="1">
      <c r="A231" s="131"/>
      <c r="B231" s="131"/>
      <c r="C231" s="131"/>
      <c r="D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4"/>
    </row>
    <row r="232" spans="1:20" hidden="1">
      <c r="A232" s="131"/>
      <c r="B232" s="131"/>
      <c r="C232" s="131"/>
      <c r="D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4"/>
    </row>
    <row r="233" spans="1:20" hidden="1">
      <c r="A233" s="131"/>
      <c r="B233" s="131"/>
      <c r="C233" s="131"/>
      <c r="D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4"/>
    </row>
    <row r="234" spans="1:20" hidden="1">
      <c r="A234" s="131"/>
      <c r="B234" s="131"/>
      <c r="C234" s="131"/>
      <c r="D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4"/>
    </row>
    <row r="235" spans="1:20" hidden="1">
      <c r="A235" s="131"/>
      <c r="B235" s="131"/>
      <c r="C235" s="131"/>
      <c r="D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4"/>
    </row>
    <row r="236" spans="1:20" hidden="1">
      <c r="A236" s="131"/>
      <c r="B236" s="131"/>
      <c r="C236" s="131"/>
      <c r="D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4"/>
    </row>
    <row r="237" spans="1:20" hidden="1">
      <c r="A237" s="131"/>
      <c r="B237" s="131"/>
      <c r="C237" s="131"/>
      <c r="D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4"/>
    </row>
    <row r="238" spans="1:20" hidden="1">
      <c r="A238" s="131"/>
      <c r="B238" s="131"/>
      <c r="C238" s="131"/>
      <c r="D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4"/>
    </row>
    <row r="239" spans="1:20" hidden="1">
      <c r="A239" s="131"/>
      <c r="B239" s="131"/>
      <c r="C239" s="131"/>
      <c r="D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4"/>
    </row>
    <row r="240" spans="1:20" hidden="1">
      <c r="A240" s="131"/>
      <c r="B240" s="131"/>
      <c r="C240" s="131"/>
      <c r="D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4"/>
    </row>
    <row r="241" spans="1:20" hidden="1">
      <c r="A241" s="131"/>
      <c r="B241" s="131"/>
      <c r="C241" s="131"/>
      <c r="D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4"/>
    </row>
    <row r="242" spans="1:20" hidden="1">
      <c r="A242" s="131"/>
      <c r="B242" s="131"/>
      <c r="C242" s="131"/>
      <c r="D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4"/>
    </row>
    <row r="243" spans="1:20" hidden="1">
      <c r="A243" s="131"/>
      <c r="B243" s="131"/>
      <c r="C243" s="131"/>
      <c r="D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4"/>
    </row>
    <row r="244" spans="1:20" hidden="1">
      <c r="A244" s="131"/>
      <c r="B244" s="131"/>
      <c r="C244" s="131"/>
      <c r="D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4"/>
    </row>
    <row r="245" spans="1:20" hidden="1">
      <c r="A245" s="131"/>
      <c r="B245" s="131"/>
      <c r="C245" s="131"/>
      <c r="D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4"/>
    </row>
    <row r="246" spans="1:20" hidden="1">
      <c r="A246" s="131"/>
      <c r="B246" s="131"/>
      <c r="C246" s="131"/>
      <c r="D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4"/>
    </row>
    <row r="247" spans="1:20" hidden="1">
      <c r="A247" s="131"/>
      <c r="B247" s="131"/>
      <c r="C247" s="131"/>
      <c r="D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4"/>
    </row>
    <row r="248" spans="1:20" hidden="1">
      <c r="A248" s="131"/>
      <c r="B248" s="131"/>
      <c r="C248" s="131"/>
      <c r="D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4"/>
    </row>
    <row r="249" spans="1:20" hidden="1">
      <c r="A249" s="131"/>
      <c r="B249" s="131"/>
      <c r="C249" s="131"/>
      <c r="D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4"/>
    </row>
    <row r="250" spans="1:20" hidden="1">
      <c r="A250" s="131"/>
      <c r="B250" s="131"/>
      <c r="C250" s="131"/>
      <c r="D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4"/>
    </row>
    <row r="251" spans="1:20" hidden="1">
      <c r="A251" s="131"/>
      <c r="B251" s="131"/>
      <c r="C251" s="131"/>
      <c r="D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4"/>
    </row>
    <row r="252" spans="1:20" hidden="1">
      <c r="A252" s="131"/>
      <c r="B252" s="131"/>
      <c r="C252" s="131"/>
      <c r="D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4"/>
    </row>
    <row r="253" spans="1:20" hidden="1">
      <c r="A253" s="131"/>
      <c r="B253" s="131"/>
      <c r="C253" s="131"/>
      <c r="D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4"/>
    </row>
    <row r="254" spans="1:20" hidden="1">
      <c r="A254" s="131"/>
      <c r="B254" s="131"/>
      <c r="C254" s="131"/>
      <c r="D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4"/>
    </row>
    <row r="255" spans="1:20" hidden="1">
      <c r="A255" s="131"/>
      <c r="B255" s="131"/>
      <c r="C255" s="131"/>
      <c r="D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4"/>
    </row>
    <row r="256" spans="1:20" hidden="1">
      <c r="A256" s="131"/>
      <c r="B256" s="131"/>
      <c r="C256" s="131"/>
      <c r="D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4"/>
    </row>
    <row r="257" spans="1:20" hidden="1">
      <c r="A257" s="131"/>
      <c r="B257" s="131"/>
      <c r="C257" s="131"/>
      <c r="D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4"/>
    </row>
    <row r="258" spans="1:20" hidden="1">
      <c r="A258" s="131"/>
      <c r="B258" s="131"/>
      <c r="C258" s="131"/>
      <c r="D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4"/>
    </row>
    <row r="259" spans="1:20" hidden="1">
      <c r="A259" s="131"/>
      <c r="B259" s="131"/>
      <c r="C259" s="131"/>
      <c r="D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4"/>
    </row>
    <row r="260" spans="1:20" hidden="1">
      <c r="A260" s="131"/>
      <c r="B260" s="131"/>
      <c r="C260" s="131"/>
      <c r="D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4"/>
    </row>
    <row r="261" spans="1:20" hidden="1">
      <c r="A261" s="131"/>
      <c r="B261" s="131"/>
      <c r="C261" s="131"/>
      <c r="D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4"/>
    </row>
    <row r="262" spans="1:20" hidden="1">
      <c r="A262" s="131"/>
      <c r="B262" s="131"/>
      <c r="C262" s="131"/>
      <c r="D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4"/>
    </row>
    <row r="263" spans="1:20" hidden="1">
      <c r="A263" s="131"/>
      <c r="B263" s="131"/>
      <c r="C263" s="131"/>
      <c r="D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4"/>
    </row>
    <row r="264" spans="1:20" hidden="1">
      <c r="A264" s="131"/>
      <c r="B264" s="131"/>
      <c r="C264" s="131"/>
      <c r="D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4"/>
    </row>
    <row r="265" spans="1:20" hidden="1">
      <c r="A265" s="131"/>
      <c r="B265" s="131"/>
      <c r="C265" s="131"/>
      <c r="D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4"/>
    </row>
    <row r="266" spans="1:20" hidden="1">
      <c r="A266" s="131"/>
      <c r="B266" s="131"/>
      <c r="C266" s="131"/>
      <c r="D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4"/>
    </row>
    <row r="267" spans="1:20" hidden="1">
      <c r="A267" s="131"/>
      <c r="B267" s="131"/>
      <c r="C267" s="131"/>
      <c r="D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4"/>
    </row>
    <row r="268" spans="1:20" hidden="1">
      <c r="A268" s="131"/>
      <c r="B268" s="131"/>
      <c r="C268" s="131"/>
      <c r="D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4"/>
    </row>
    <row r="269" spans="1:20" hidden="1">
      <c r="A269" s="131"/>
      <c r="B269" s="131"/>
      <c r="C269" s="131"/>
      <c r="D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4"/>
    </row>
    <row r="270" spans="1:20" hidden="1">
      <c r="A270" s="131"/>
      <c r="B270" s="131"/>
      <c r="C270" s="131"/>
      <c r="D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4"/>
    </row>
    <row r="271" spans="1:20" hidden="1">
      <c r="A271" s="131"/>
      <c r="B271" s="131"/>
      <c r="C271" s="131"/>
      <c r="D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4"/>
    </row>
    <row r="272" spans="1:20" hidden="1">
      <c r="A272" s="131"/>
      <c r="B272" s="131"/>
      <c r="C272" s="131"/>
      <c r="D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4"/>
    </row>
    <row r="273" spans="1:20" hidden="1">
      <c r="A273" s="131"/>
      <c r="B273" s="131"/>
      <c r="C273" s="131"/>
      <c r="D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4"/>
    </row>
    <row r="274" spans="1:20" hidden="1">
      <c r="A274" s="131"/>
      <c r="B274" s="131"/>
      <c r="C274" s="131"/>
      <c r="D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4"/>
    </row>
    <row r="275" spans="1:20" hidden="1">
      <c r="A275" s="131"/>
      <c r="B275" s="131"/>
      <c r="C275" s="131"/>
      <c r="D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4"/>
    </row>
    <row r="276" spans="1:20" hidden="1">
      <c r="A276" s="131"/>
      <c r="B276" s="131"/>
      <c r="C276" s="131"/>
      <c r="D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4"/>
    </row>
    <row r="277" spans="1:20" hidden="1">
      <c r="A277" s="131"/>
      <c r="B277" s="131"/>
      <c r="C277" s="131"/>
      <c r="D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4"/>
    </row>
    <row r="278" spans="1:20" hidden="1">
      <c r="A278" s="131"/>
      <c r="B278" s="131"/>
      <c r="C278" s="131"/>
      <c r="D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4"/>
    </row>
    <row r="279" spans="1:20" hidden="1">
      <c r="A279" s="131"/>
      <c r="B279" s="131"/>
      <c r="C279" s="131"/>
      <c r="D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4"/>
    </row>
    <row r="280" spans="1:20" hidden="1">
      <c r="A280" s="131"/>
      <c r="B280" s="131"/>
      <c r="C280" s="131"/>
      <c r="D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4"/>
    </row>
    <row r="281" spans="1:20" hidden="1">
      <c r="A281" s="131"/>
      <c r="B281" s="131"/>
      <c r="C281" s="131"/>
      <c r="D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4"/>
    </row>
    <row r="282" spans="1:20" hidden="1">
      <c r="A282" s="131"/>
      <c r="B282" s="131"/>
      <c r="C282" s="131"/>
      <c r="D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4"/>
    </row>
    <row r="283" spans="1:20" hidden="1">
      <c r="A283" s="131"/>
      <c r="B283" s="131"/>
      <c r="C283" s="131"/>
      <c r="D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4"/>
    </row>
    <row r="284" spans="1:20" hidden="1">
      <c r="A284" s="131"/>
      <c r="B284" s="131"/>
      <c r="C284" s="131"/>
      <c r="D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4"/>
    </row>
    <row r="285" spans="1:20" hidden="1">
      <c r="A285" s="131"/>
      <c r="B285" s="131"/>
      <c r="C285" s="131"/>
      <c r="D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4"/>
    </row>
    <row r="286" spans="1:20" hidden="1">
      <c r="A286" s="131"/>
      <c r="B286" s="131"/>
      <c r="C286" s="131"/>
      <c r="D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4"/>
    </row>
    <row r="287" spans="1:20" hidden="1">
      <c r="A287" s="131"/>
      <c r="B287" s="131"/>
      <c r="C287" s="131"/>
      <c r="D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4"/>
    </row>
    <row r="288" spans="1:20" hidden="1">
      <c r="A288" s="131"/>
      <c r="B288" s="131"/>
      <c r="C288" s="131"/>
      <c r="D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4"/>
    </row>
    <row r="289" spans="1:20" hidden="1">
      <c r="A289" s="131"/>
      <c r="B289" s="131"/>
      <c r="C289" s="131"/>
      <c r="D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4"/>
    </row>
    <row r="290" spans="1:20" hidden="1">
      <c r="A290" s="131"/>
      <c r="B290" s="131"/>
      <c r="C290" s="131"/>
      <c r="D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4"/>
    </row>
    <row r="291" spans="1:20" hidden="1">
      <c r="A291" s="131"/>
      <c r="B291" s="131"/>
      <c r="C291" s="131"/>
      <c r="D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4"/>
    </row>
    <row r="292" spans="1:20" hidden="1">
      <c r="A292" s="131"/>
      <c r="B292" s="131"/>
      <c r="C292" s="131"/>
      <c r="D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4"/>
    </row>
    <row r="293" spans="1:20" hidden="1">
      <c r="A293" s="131"/>
      <c r="B293" s="131"/>
      <c r="C293" s="131"/>
      <c r="D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4"/>
    </row>
    <row r="294" spans="1:20" hidden="1">
      <c r="A294" s="131"/>
      <c r="B294" s="131"/>
      <c r="C294" s="131"/>
      <c r="D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4"/>
    </row>
    <row r="295" spans="1:20" hidden="1">
      <c r="A295" s="131"/>
      <c r="B295" s="131"/>
      <c r="C295" s="131"/>
      <c r="D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4"/>
    </row>
    <row r="296" spans="1:20" hidden="1">
      <c r="A296" s="131"/>
      <c r="B296" s="131"/>
      <c r="C296" s="131"/>
      <c r="D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4"/>
    </row>
    <row r="297" spans="1:20" hidden="1">
      <c r="A297" s="131"/>
      <c r="B297" s="131"/>
      <c r="C297" s="131"/>
      <c r="D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4"/>
    </row>
    <row r="298" spans="1:20" hidden="1">
      <c r="A298" s="131"/>
      <c r="B298" s="131"/>
      <c r="C298" s="131"/>
      <c r="D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4"/>
    </row>
    <row r="299" spans="1:20" hidden="1">
      <c r="A299" s="131"/>
      <c r="B299" s="131"/>
      <c r="C299" s="131"/>
      <c r="D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4"/>
    </row>
    <row r="300" spans="1:20" hidden="1">
      <c r="A300" s="131"/>
      <c r="B300" s="131"/>
      <c r="C300" s="131"/>
      <c r="D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4"/>
    </row>
    <row r="301" spans="1:20" hidden="1">
      <c r="A301" s="131"/>
      <c r="B301" s="131"/>
      <c r="C301" s="131"/>
      <c r="D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4"/>
    </row>
    <row r="302" spans="1:20" hidden="1">
      <c r="A302" s="131"/>
      <c r="B302" s="131"/>
      <c r="C302" s="131"/>
      <c r="D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4"/>
    </row>
    <row r="303" spans="1:20" hidden="1">
      <c r="A303" s="131"/>
      <c r="B303" s="131"/>
      <c r="C303" s="131"/>
      <c r="D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4"/>
    </row>
    <row r="304" spans="1:20" hidden="1">
      <c r="A304" s="131"/>
      <c r="B304" s="131"/>
      <c r="C304" s="131"/>
      <c r="D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4"/>
    </row>
    <row r="305" spans="1:20" hidden="1">
      <c r="A305" s="131"/>
      <c r="B305" s="131"/>
      <c r="C305" s="131"/>
      <c r="D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4"/>
    </row>
    <row r="306" spans="1:20" hidden="1">
      <c r="A306" s="131"/>
      <c r="B306" s="131"/>
      <c r="C306" s="131"/>
      <c r="D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4"/>
    </row>
    <row r="307" spans="1:20" hidden="1">
      <c r="A307" s="131"/>
      <c r="B307" s="131"/>
      <c r="C307" s="131"/>
      <c r="D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4"/>
    </row>
    <row r="308" spans="1:20" hidden="1">
      <c r="A308" s="131"/>
      <c r="B308" s="131"/>
      <c r="C308" s="131"/>
      <c r="D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4"/>
    </row>
    <row r="309" spans="1:20" hidden="1">
      <c r="A309" s="131"/>
      <c r="B309" s="131"/>
      <c r="C309" s="131"/>
      <c r="D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4"/>
    </row>
    <row r="310" spans="1:20" hidden="1">
      <c r="A310" s="131"/>
      <c r="B310" s="131"/>
      <c r="C310" s="131"/>
      <c r="D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4"/>
    </row>
    <row r="311" spans="1:20" hidden="1">
      <c r="A311" s="131"/>
      <c r="B311" s="131"/>
      <c r="C311" s="131"/>
      <c r="D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4"/>
    </row>
    <row r="312" spans="1:20" hidden="1">
      <c r="A312" s="131"/>
      <c r="B312" s="131"/>
      <c r="C312" s="131"/>
      <c r="D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4"/>
    </row>
    <row r="313" spans="1:20" hidden="1">
      <c r="A313" s="131"/>
      <c r="B313" s="131"/>
      <c r="C313" s="131"/>
      <c r="D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4"/>
    </row>
    <row r="314" spans="1:20" hidden="1">
      <c r="A314" s="131"/>
      <c r="B314" s="131"/>
      <c r="C314" s="131"/>
      <c r="D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4"/>
    </row>
    <row r="315" spans="1:20" hidden="1">
      <c r="A315" s="131"/>
      <c r="B315" s="131"/>
      <c r="C315" s="131"/>
      <c r="D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4"/>
    </row>
    <row r="316" spans="1:20" hidden="1">
      <c r="A316" s="131"/>
      <c r="B316" s="131"/>
      <c r="C316" s="131"/>
      <c r="D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4"/>
    </row>
    <row r="317" spans="1:20" hidden="1">
      <c r="A317" s="131"/>
      <c r="B317" s="131"/>
      <c r="C317" s="131"/>
      <c r="D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4"/>
    </row>
    <row r="318" spans="1:20" hidden="1">
      <c r="A318" s="131"/>
      <c r="B318" s="131"/>
      <c r="C318" s="131"/>
      <c r="D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4"/>
    </row>
    <row r="319" spans="1:20" hidden="1">
      <c r="A319" s="131"/>
      <c r="B319" s="131"/>
      <c r="C319" s="131"/>
      <c r="D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4"/>
    </row>
    <row r="320" spans="1:20" hidden="1">
      <c r="A320" s="131"/>
      <c r="B320" s="131"/>
      <c r="C320" s="131"/>
      <c r="D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4"/>
    </row>
    <row r="321" spans="1:20" hidden="1">
      <c r="A321" s="131"/>
      <c r="B321" s="131"/>
      <c r="C321" s="131"/>
      <c r="D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4"/>
    </row>
    <row r="322" spans="1:20" hidden="1">
      <c r="A322" s="131"/>
      <c r="B322" s="131"/>
      <c r="C322" s="131"/>
      <c r="D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4"/>
    </row>
    <row r="323" spans="1:20" hidden="1">
      <c r="A323" s="131"/>
      <c r="B323" s="131"/>
      <c r="C323" s="131"/>
      <c r="D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4"/>
    </row>
    <row r="324" spans="1:20" hidden="1">
      <c r="A324" s="131"/>
      <c r="B324" s="131"/>
      <c r="C324" s="131"/>
      <c r="D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4"/>
    </row>
    <row r="325" spans="1:20" hidden="1">
      <c r="A325" s="131"/>
      <c r="B325" s="131"/>
      <c r="C325" s="131"/>
      <c r="D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4"/>
    </row>
    <row r="326" spans="1:20" hidden="1">
      <c r="A326" s="131"/>
      <c r="B326" s="131"/>
      <c r="C326" s="131"/>
      <c r="D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4"/>
    </row>
    <row r="327" spans="1:20" hidden="1">
      <c r="A327" s="131"/>
      <c r="B327" s="131"/>
      <c r="C327" s="131"/>
      <c r="D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4"/>
    </row>
    <row r="328" spans="1:20" hidden="1">
      <c r="A328" s="131"/>
      <c r="B328" s="131"/>
      <c r="C328" s="131"/>
      <c r="D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4"/>
    </row>
    <row r="329" spans="1:20" hidden="1">
      <c r="A329" s="131"/>
      <c r="B329" s="131"/>
      <c r="C329" s="131"/>
      <c r="D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4"/>
    </row>
    <row r="330" spans="1:20" hidden="1">
      <c r="A330" s="131"/>
      <c r="B330" s="131"/>
      <c r="C330" s="131"/>
      <c r="D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4"/>
    </row>
    <row r="331" spans="1:20" hidden="1">
      <c r="A331" s="131"/>
      <c r="B331" s="131"/>
      <c r="C331" s="131"/>
      <c r="D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4"/>
    </row>
    <row r="332" spans="1:20" hidden="1">
      <c r="A332" s="131"/>
      <c r="B332" s="131"/>
      <c r="C332" s="131"/>
      <c r="D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4"/>
    </row>
    <row r="333" spans="1:20" hidden="1">
      <c r="A333" s="131"/>
      <c r="B333" s="131"/>
      <c r="C333" s="131"/>
      <c r="D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4"/>
    </row>
    <row r="334" spans="1:20" hidden="1">
      <c r="A334" s="131"/>
      <c r="C334" s="131"/>
      <c r="D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4"/>
    </row>
    <row r="335" spans="1:20" hidden="1">
      <c r="A335" s="131"/>
      <c r="C335" s="131"/>
      <c r="D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4"/>
    </row>
    <row r="336" spans="1:20" hidden="1">
      <c r="A336" s="131"/>
      <c r="C336" s="131"/>
      <c r="D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4"/>
    </row>
    <row r="337" spans="1:20" hidden="1">
      <c r="A337" s="131"/>
      <c r="C337" s="131"/>
      <c r="D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4"/>
    </row>
    <row r="338" spans="1:20" hidden="1">
      <c r="A338" s="131"/>
      <c r="C338" s="131"/>
      <c r="D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4"/>
    </row>
    <row r="339" spans="1:20" hidden="1">
      <c r="A339" s="131"/>
      <c r="C339" s="131"/>
      <c r="D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4"/>
    </row>
    <row r="340" spans="1:20" hidden="1">
      <c r="C340" s="131"/>
      <c r="D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4"/>
    </row>
    <row r="341" spans="1:20" hidden="1">
      <c r="C341" s="131"/>
      <c r="D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4"/>
    </row>
    <row r="342" spans="1:20" hidden="1">
      <c r="C342" s="131"/>
      <c r="D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4"/>
    </row>
    <row r="343" spans="1:20" hidden="1">
      <c r="C343" s="131"/>
      <c r="D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131"/>
      <c r="T343" s="134"/>
    </row>
    <row r="344" spans="1:20" hidden="1">
      <c r="C344" s="131"/>
      <c r="D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4"/>
    </row>
    <row r="345" spans="1:20" hidden="1">
      <c r="C345" s="131"/>
      <c r="D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131"/>
      <c r="T345" s="134"/>
    </row>
    <row r="346" spans="1:20" hidden="1">
      <c r="C346" s="131"/>
      <c r="D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131"/>
      <c r="T346" s="134"/>
    </row>
    <row r="347" spans="1:20" hidden="1">
      <c r="C347" s="131"/>
      <c r="D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4"/>
    </row>
    <row r="348" spans="1:20" hidden="1">
      <c r="C348" s="131"/>
      <c r="D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131"/>
      <c r="T348" s="134"/>
    </row>
    <row r="349" spans="1:20" hidden="1">
      <c r="C349" s="131"/>
      <c r="D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131"/>
      <c r="T349" s="134"/>
    </row>
    <row r="350" spans="1:20" hidden="1">
      <c r="C350" s="131"/>
      <c r="D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131"/>
      <c r="T350" s="134"/>
    </row>
    <row r="351" spans="1:20" hidden="1">
      <c r="C351" s="131"/>
      <c r="D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131"/>
      <c r="T351" s="134"/>
    </row>
    <row r="352" spans="1:20" hidden="1">
      <c r="C352" s="131"/>
      <c r="D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131"/>
      <c r="T352" s="134"/>
    </row>
    <row r="353" spans="3:20" hidden="1">
      <c r="C353" s="131"/>
      <c r="D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131"/>
      <c r="T353" s="134"/>
    </row>
    <row r="354" spans="3:20" hidden="1">
      <c r="C354" s="131"/>
      <c r="D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131"/>
      <c r="T354" s="134"/>
    </row>
    <row r="355" spans="3:20" hidden="1">
      <c r="C355" s="131"/>
      <c r="D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131"/>
      <c r="T355" s="134"/>
    </row>
    <row r="356" spans="3:20" hidden="1">
      <c r="C356" s="131"/>
      <c r="D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131"/>
      <c r="T356" s="134"/>
    </row>
    <row r="357" spans="3:20" hidden="1">
      <c r="C357" s="131"/>
      <c r="D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131"/>
      <c r="T357" s="134"/>
    </row>
    <row r="358" spans="3:20" hidden="1">
      <c r="C358" s="131"/>
      <c r="D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131"/>
      <c r="T358" s="134"/>
    </row>
    <row r="359" spans="3:20" hidden="1">
      <c r="C359" s="131"/>
      <c r="D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131"/>
      <c r="T359" s="134"/>
    </row>
    <row r="360" spans="3:20" hidden="1">
      <c r="C360" s="131"/>
      <c r="D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131"/>
      <c r="T360" s="134"/>
    </row>
    <row r="361" spans="3:20" hidden="1">
      <c r="C361" s="131"/>
      <c r="D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131"/>
      <c r="T361" s="134"/>
    </row>
    <row r="362" spans="3:20" hidden="1">
      <c r="C362" s="131"/>
      <c r="D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131"/>
      <c r="T362" s="134"/>
    </row>
    <row r="363" spans="3:20" hidden="1">
      <c r="C363" s="131"/>
      <c r="D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4"/>
    </row>
    <row r="364" spans="3:20" hidden="1">
      <c r="C364" s="131"/>
      <c r="D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131"/>
      <c r="T364" s="134"/>
    </row>
    <row r="365" spans="3:20" hidden="1">
      <c r="C365" s="131"/>
      <c r="D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131"/>
      <c r="T365" s="134"/>
    </row>
    <row r="366" spans="3:20" hidden="1">
      <c r="C366" s="131"/>
      <c r="D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4"/>
    </row>
    <row r="367" spans="3:20" hidden="1">
      <c r="C367" s="131"/>
      <c r="D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4"/>
    </row>
    <row r="368" spans="3:20" hidden="1">
      <c r="C368" s="131"/>
      <c r="D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131"/>
      <c r="T368" s="134"/>
    </row>
    <row r="369" spans="3:20" hidden="1">
      <c r="C369" s="131"/>
      <c r="D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131"/>
      <c r="T369" s="134"/>
    </row>
    <row r="370" spans="3:20" hidden="1">
      <c r="C370" s="131"/>
      <c r="D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4"/>
    </row>
    <row r="371" spans="3:20" hidden="1">
      <c r="C371" s="131"/>
      <c r="D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131"/>
      <c r="T371" s="134"/>
    </row>
    <row r="372" spans="3:20" hidden="1">
      <c r="C372" s="131"/>
      <c r="D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131"/>
      <c r="T372" s="134"/>
    </row>
    <row r="373" spans="3:20" hidden="1">
      <c r="C373" s="131"/>
      <c r="D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131"/>
      <c r="T373" s="134"/>
    </row>
    <row r="374" spans="3:20" hidden="1">
      <c r="C374" s="131"/>
      <c r="D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131"/>
      <c r="T374" s="134"/>
    </row>
    <row r="375" spans="3:20" hidden="1">
      <c r="C375" s="131"/>
      <c r="D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131"/>
      <c r="T375" s="134"/>
    </row>
    <row r="376" spans="3:20" hidden="1">
      <c r="C376" s="131"/>
      <c r="D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4"/>
    </row>
    <row r="377" spans="3:20" hidden="1">
      <c r="C377" s="131"/>
      <c r="D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131"/>
      <c r="T377" s="134"/>
    </row>
    <row r="378" spans="3:20" hidden="1">
      <c r="C378" s="131"/>
      <c r="D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131"/>
      <c r="T378" s="134"/>
    </row>
    <row r="379" spans="3:20" hidden="1">
      <c r="C379" s="131"/>
      <c r="D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1"/>
      <c r="T379" s="134"/>
    </row>
    <row r="380" spans="3:20" hidden="1">
      <c r="C380" s="131"/>
      <c r="D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131"/>
      <c r="T380" s="134"/>
    </row>
    <row r="381" spans="3:20" hidden="1">
      <c r="C381" s="131"/>
      <c r="D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1"/>
      <c r="T381" s="134"/>
    </row>
    <row r="382" spans="3:20" hidden="1">
      <c r="C382" s="131"/>
      <c r="D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131"/>
      <c r="T382" s="134"/>
    </row>
    <row r="383" spans="3:20" hidden="1">
      <c r="C383" s="131"/>
      <c r="D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131"/>
      <c r="T383" s="134"/>
    </row>
    <row r="384" spans="3:20" hidden="1">
      <c r="C384" s="131"/>
      <c r="D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4"/>
    </row>
    <row r="385" spans="3:20" hidden="1">
      <c r="C385" s="131"/>
      <c r="D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4"/>
    </row>
    <row r="386" spans="3:20" hidden="1">
      <c r="C386" s="131"/>
      <c r="D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4"/>
    </row>
    <row r="387" spans="3:20" hidden="1">
      <c r="C387" s="131"/>
      <c r="D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131"/>
      <c r="T387" s="134"/>
    </row>
    <row r="388" spans="3:20" hidden="1">
      <c r="C388" s="131"/>
      <c r="D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131"/>
      <c r="T388" s="134"/>
    </row>
    <row r="389" spans="3:20" hidden="1">
      <c r="C389" s="131"/>
      <c r="D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4"/>
    </row>
    <row r="390" spans="3:20" hidden="1">
      <c r="C390" s="131"/>
      <c r="D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131"/>
      <c r="T390" s="134"/>
    </row>
    <row r="391" spans="3:20" hidden="1">
      <c r="C391" s="131"/>
      <c r="D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131"/>
      <c r="T391" s="134"/>
    </row>
    <row r="392" spans="3:20" hidden="1">
      <c r="C392" s="131"/>
      <c r="D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131"/>
      <c r="T392" s="134"/>
    </row>
    <row r="393" spans="3:20" hidden="1">
      <c r="C393" s="131"/>
      <c r="D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131"/>
      <c r="T393" s="134"/>
    </row>
    <row r="394" spans="3:20" hidden="1">
      <c r="C394" s="131"/>
      <c r="D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131"/>
      <c r="T394" s="134"/>
    </row>
    <row r="395" spans="3:20" hidden="1">
      <c r="C395" s="131"/>
      <c r="D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131"/>
      <c r="T395" s="134"/>
    </row>
    <row r="396" spans="3:20" hidden="1">
      <c r="C396" s="131"/>
      <c r="D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131"/>
      <c r="T396" s="134"/>
    </row>
    <row r="397" spans="3:20" hidden="1">
      <c r="C397" s="131"/>
      <c r="D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4"/>
    </row>
    <row r="398" spans="3:20" hidden="1">
      <c r="C398" s="131"/>
      <c r="D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131"/>
      <c r="T398" s="134"/>
    </row>
    <row r="399" spans="3:20" hidden="1">
      <c r="C399" s="131"/>
      <c r="D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131"/>
      <c r="T399" s="134"/>
    </row>
    <row r="400" spans="3:20" hidden="1">
      <c r="C400" s="131"/>
      <c r="D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131"/>
      <c r="T400" s="134"/>
    </row>
    <row r="401" spans="3:20" hidden="1">
      <c r="C401" s="131"/>
      <c r="D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131"/>
      <c r="T401" s="134"/>
    </row>
    <row r="402" spans="3:20" hidden="1">
      <c r="C402" s="131"/>
      <c r="D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131"/>
      <c r="T402" s="134"/>
    </row>
    <row r="403" spans="3:20" hidden="1">
      <c r="C403" s="131"/>
      <c r="D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131"/>
      <c r="T403" s="134"/>
    </row>
    <row r="404" spans="3:20" hidden="1">
      <c r="C404" s="131"/>
      <c r="D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131"/>
      <c r="T404" s="134"/>
    </row>
    <row r="405" spans="3:20" hidden="1">
      <c r="C405" s="131"/>
      <c r="D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131"/>
      <c r="T405" s="134"/>
    </row>
    <row r="406" spans="3:20" hidden="1">
      <c r="C406" s="131"/>
      <c r="D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4"/>
    </row>
    <row r="407" spans="3:20" hidden="1">
      <c r="C407" s="131"/>
      <c r="D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131"/>
      <c r="T407" s="134"/>
    </row>
    <row r="408" spans="3:20" hidden="1">
      <c r="C408" s="131"/>
      <c r="D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131"/>
      <c r="T408" s="134"/>
    </row>
    <row r="409" spans="3:20" hidden="1">
      <c r="C409" s="131"/>
      <c r="D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131"/>
      <c r="T409" s="134"/>
    </row>
    <row r="410" spans="3:20" hidden="1">
      <c r="C410" s="131"/>
      <c r="D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131"/>
      <c r="T410" s="134"/>
    </row>
    <row r="411" spans="3:20" hidden="1">
      <c r="C411" s="131"/>
      <c r="D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131"/>
      <c r="T411" s="134"/>
    </row>
    <row r="412" spans="3:20" hidden="1">
      <c r="C412" s="131"/>
      <c r="D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131"/>
      <c r="T412" s="134"/>
    </row>
    <row r="413" spans="3:20" hidden="1">
      <c r="C413" s="131"/>
      <c r="D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131"/>
      <c r="T413" s="134"/>
    </row>
    <row r="414" spans="3:20" hidden="1">
      <c r="C414" s="131"/>
      <c r="D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131"/>
      <c r="T414" s="134"/>
    </row>
    <row r="415" spans="3:20" hidden="1">
      <c r="C415" s="131"/>
      <c r="D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131"/>
      <c r="T415" s="134"/>
    </row>
    <row r="416" spans="3:20" hidden="1">
      <c r="C416" s="131"/>
      <c r="D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131"/>
      <c r="T416" s="134"/>
    </row>
    <row r="417" spans="3:20" hidden="1">
      <c r="C417" s="131"/>
      <c r="D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131"/>
      <c r="T417" s="134"/>
    </row>
    <row r="418" spans="3:20" hidden="1">
      <c r="C418" s="131"/>
      <c r="D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131"/>
      <c r="T418" s="134"/>
    </row>
    <row r="419" spans="3:20" hidden="1">
      <c r="C419" s="131"/>
      <c r="D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131"/>
      <c r="T419" s="134"/>
    </row>
    <row r="420" spans="3:20" hidden="1">
      <c r="C420" s="131"/>
      <c r="D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131"/>
      <c r="T420" s="134"/>
    </row>
    <row r="421" spans="3:20" hidden="1">
      <c r="C421" s="131"/>
      <c r="D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4"/>
    </row>
    <row r="422" spans="3:20" hidden="1">
      <c r="C422" s="131"/>
      <c r="D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131"/>
      <c r="T422" s="134"/>
    </row>
    <row r="423" spans="3:20" hidden="1">
      <c r="C423" s="131"/>
      <c r="D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131"/>
      <c r="T423" s="134"/>
    </row>
    <row r="424" spans="3:20" hidden="1">
      <c r="C424" s="131"/>
      <c r="D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4"/>
    </row>
    <row r="425" spans="3:20" hidden="1">
      <c r="C425" s="131"/>
      <c r="D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4"/>
    </row>
    <row r="426" spans="3:20" hidden="1">
      <c r="C426" s="131"/>
      <c r="D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4"/>
    </row>
    <row r="427" spans="3:20" hidden="1">
      <c r="C427" s="131"/>
      <c r="D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4"/>
    </row>
    <row r="428" spans="3:20" hidden="1">
      <c r="C428" s="131"/>
      <c r="D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4"/>
    </row>
    <row r="429" spans="3:20" hidden="1">
      <c r="C429" s="131"/>
      <c r="D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4"/>
    </row>
    <row r="430" spans="3:20" hidden="1">
      <c r="C430" s="131"/>
      <c r="D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4"/>
    </row>
    <row r="431" spans="3:20" hidden="1">
      <c r="C431" s="131"/>
      <c r="D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4"/>
    </row>
    <row r="432" spans="3:20" hidden="1">
      <c r="C432" s="131"/>
      <c r="D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4"/>
    </row>
    <row r="433" spans="3:20" hidden="1">
      <c r="C433" s="131"/>
      <c r="D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4"/>
    </row>
    <row r="434" spans="3:20" hidden="1">
      <c r="C434" s="131"/>
      <c r="D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4"/>
    </row>
    <row r="435" spans="3:20" hidden="1">
      <c r="C435" s="131"/>
      <c r="D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4"/>
    </row>
    <row r="436" spans="3:20" hidden="1">
      <c r="C436" s="131"/>
      <c r="D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4"/>
    </row>
    <row r="437" spans="3:20" hidden="1">
      <c r="C437" s="131"/>
      <c r="D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4"/>
    </row>
    <row r="438" spans="3:20" hidden="1">
      <c r="C438" s="131"/>
      <c r="D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4"/>
    </row>
    <row r="439" spans="3:20" hidden="1">
      <c r="C439" s="131"/>
      <c r="D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4"/>
    </row>
    <row r="440" spans="3:20" hidden="1">
      <c r="C440" s="131"/>
      <c r="D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4"/>
    </row>
    <row r="441" spans="3:20" hidden="1">
      <c r="C441" s="131"/>
      <c r="D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4"/>
    </row>
    <row r="442" spans="3:20" hidden="1">
      <c r="C442" s="131"/>
      <c r="D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4"/>
    </row>
    <row r="443" spans="3:20" hidden="1">
      <c r="C443" s="131"/>
      <c r="D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4"/>
    </row>
    <row r="444" spans="3:20" hidden="1">
      <c r="C444" s="131"/>
      <c r="D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4"/>
    </row>
    <row r="445" spans="3:20" hidden="1">
      <c r="C445" s="131"/>
      <c r="D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4"/>
    </row>
    <row r="446" spans="3:20" hidden="1">
      <c r="C446" s="131"/>
      <c r="D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4"/>
    </row>
    <row r="447" spans="3:20" hidden="1">
      <c r="C447" s="131"/>
      <c r="D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4"/>
    </row>
    <row r="448" spans="3:20" hidden="1">
      <c r="C448" s="131"/>
      <c r="D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4"/>
    </row>
    <row r="449" spans="3:20" hidden="1">
      <c r="C449" s="131"/>
      <c r="D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4"/>
    </row>
    <row r="450" spans="3:20" hidden="1">
      <c r="C450" s="131"/>
      <c r="D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4"/>
    </row>
    <row r="451" spans="3:20" hidden="1">
      <c r="C451" s="131"/>
      <c r="D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4"/>
    </row>
    <row r="452" spans="3:20" hidden="1">
      <c r="C452" s="131"/>
      <c r="D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4"/>
    </row>
    <row r="453" spans="3:20" hidden="1">
      <c r="C453" s="131"/>
      <c r="D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4"/>
    </row>
    <row r="454" spans="3:20" hidden="1">
      <c r="C454" s="131"/>
      <c r="D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4"/>
    </row>
    <row r="455" spans="3:20" hidden="1">
      <c r="C455" s="131"/>
      <c r="D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4"/>
    </row>
    <row r="456" spans="3:20" hidden="1">
      <c r="C456" s="131"/>
      <c r="D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4"/>
    </row>
    <row r="457" spans="3:20" hidden="1">
      <c r="C457" s="131"/>
      <c r="D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4"/>
    </row>
    <row r="458" spans="3:20" hidden="1">
      <c r="C458" s="131"/>
      <c r="D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4"/>
    </row>
    <row r="459" spans="3:20" hidden="1">
      <c r="C459" s="131"/>
      <c r="D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4"/>
    </row>
    <row r="460" spans="3:20" hidden="1">
      <c r="C460" s="131"/>
      <c r="D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4"/>
    </row>
    <row r="461" spans="3:20" hidden="1">
      <c r="C461" s="131"/>
      <c r="D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4"/>
    </row>
    <row r="462" spans="3:20" hidden="1">
      <c r="C462" s="131"/>
      <c r="D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4"/>
    </row>
    <row r="463" spans="3:20" hidden="1">
      <c r="C463" s="131"/>
      <c r="D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4"/>
    </row>
    <row r="464" spans="3:20" hidden="1">
      <c r="C464" s="131"/>
      <c r="D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4"/>
    </row>
    <row r="465" spans="3:20" hidden="1">
      <c r="C465" s="131"/>
      <c r="D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4"/>
    </row>
    <row r="466" spans="3:20" hidden="1">
      <c r="C466" s="131"/>
      <c r="D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4"/>
    </row>
    <row r="467" spans="3:20" hidden="1">
      <c r="C467" s="131"/>
      <c r="D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4"/>
    </row>
    <row r="468" spans="3:20" hidden="1">
      <c r="C468" s="131"/>
      <c r="D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4"/>
    </row>
    <row r="469" spans="3:20" hidden="1">
      <c r="C469" s="131"/>
      <c r="D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4"/>
    </row>
    <row r="470" spans="3:20" hidden="1">
      <c r="C470" s="131"/>
      <c r="D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4"/>
    </row>
    <row r="471" spans="3:20" hidden="1">
      <c r="C471" s="131"/>
      <c r="D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4"/>
    </row>
    <row r="472" spans="3:20" hidden="1">
      <c r="C472" s="131"/>
      <c r="D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4"/>
    </row>
    <row r="473" spans="3:20" hidden="1">
      <c r="C473" s="131"/>
      <c r="D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4"/>
    </row>
    <row r="474" spans="3:20" hidden="1">
      <c r="C474" s="131"/>
      <c r="D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4"/>
    </row>
    <row r="475" spans="3:20" hidden="1">
      <c r="C475" s="131"/>
      <c r="D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4"/>
    </row>
    <row r="476" spans="3:20" hidden="1">
      <c r="C476" s="131"/>
      <c r="D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4"/>
    </row>
    <row r="477" spans="3:20" hidden="1">
      <c r="C477" s="131"/>
      <c r="D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4"/>
    </row>
    <row r="478" spans="3:20" hidden="1">
      <c r="C478" s="131"/>
      <c r="D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4"/>
    </row>
    <row r="479" spans="3:20" hidden="1">
      <c r="C479" s="131"/>
      <c r="D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4"/>
    </row>
    <row r="480" spans="3:20" hidden="1">
      <c r="C480" s="131"/>
      <c r="D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4"/>
    </row>
    <row r="481" spans="3:20" hidden="1">
      <c r="C481" s="131"/>
      <c r="D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4"/>
    </row>
    <row r="482" spans="3:20" hidden="1">
      <c r="C482" s="131"/>
      <c r="D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4"/>
    </row>
    <row r="483" spans="3:20" hidden="1">
      <c r="C483" s="131"/>
      <c r="D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4"/>
    </row>
    <row r="484" spans="3:20" hidden="1">
      <c r="C484" s="131"/>
      <c r="D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4"/>
    </row>
    <row r="485" spans="3:20" hidden="1">
      <c r="C485" s="131"/>
      <c r="D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4"/>
    </row>
    <row r="486" spans="3:20" hidden="1">
      <c r="C486" s="131"/>
      <c r="D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4"/>
    </row>
    <row r="487" spans="3:20" hidden="1">
      <c r="C487" s="131"/>
      <c r="D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4"/>
    </row>
    <row r="488" spans="3:20" hidden="1">
      <c r="C488" s="131"/>
      <c r="D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4"/>
    </row>
    <row r="489" spans="3:20" hidden="1">
      <c r="C489" s="131"/>
      <c r="D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4"/>
    </row>
    <row r="490" spans="3:20" hidden="1">
      <c r="C490" s="131"/>
      <c r="D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4"/>
    </row>
    <row r="491" spans="3:20" hidden="1">
      <c r="C491" s="131"/>
      <c r="D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4"/>
    </row>
    <row r="492" spans="3:20" hidden="1">
      <c r="C492" s="131"/>
      <c r="D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4"/>
    </row>
    <row r="493" spans="3:20" hidden="1">
      <c r="C493" s="131"/>
      <c r="D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4"/>
    </row>
    <row r="494" spans="3:20" hidden="1">
      <c r="C494" s="131"/>
      <c r="D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4"/>
    </row>
    <row r="495" spans="3:20" hidden="1">
      <c r="C495" s="131"/>
      <c r="D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4"/>
    </row>
    <row r="496" spans="3:20" hidden="1">
      <c r="C496" s="131"/>
      <c r="D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4"/>
    </row>
    <row r="497" spans="3:20" hidden="1">
      <c r="C497" s="131"/>
      <c r="D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4"/>
    </row>
    <row r="498" spans="3:20" hidden="1">
      <c r="C498" s="131"/>
      <c r="D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4"/>
    </row>
    <row r="499" spans="3:20" hidden="1">
      <c r="C499" s="131"/>
      <c r="D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4"/>
    </row>
    <row r="500" spans="3:20" hidden="1">
      <c r="C500" s="131"/>
      <c r="D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4"/>
    </row>
    <row r="501" spans="3:20" hidden="1">
      <c r="C501" s="131"/>
      <c r="D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4"/>
    </row>
    <row r="502" spans="3:20" hidden="1">
      <c r="C502" s="131"/>
      <c r="D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4"/>
    </row>
    <row r="503" spans="3:20" hidden="1">
      <c r="C503" s="131"/>
      <c r="D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4"/>
    </row>
    <row r="504" spans="3:20" hidden="1">
      <c r="C504" s="131"/>
      <c r="D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4"/>
    </row>
    <row r="505" spans="3:20" hidden="1">
      <c r="C505" s="131"/>
      <c r="D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4"/>
    </row>
    <row r="506" spans="3:20" hidden="1">
      <c r="C506" s="131"/>
      <c r="D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4"/>
    </row>
    <row r="507" spans="3:20" hidden="1">
      <c r="C507" s="131"/>
      <c r="D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4"/>
    </row>
    <row r="508" spans="3:20" hidden="1">
      <c r="C508" s="131"/>
      <c r="D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4"/>
    </row>
    <row r="509" spans="3:20" hidden="1">
      <c r="C509" s="131"/>
      <c r="D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4"/>
    </row>
    <row r="510" spans="3:20" hidden="1">
      <c r="C510" s="131"/>
      <c r="D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4"/>
    </row>
    <row r="511" spans="3:20" hidden="1">
      <c r="C511" s="131"/>
      <c r="D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4"/>
    </row>
    <row r="512" spans="3:20" hidden="1">
      <c r="C512" s="131"/>
      <c r="D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4"/>
    </row>
    <row r="513" spans="3:20" hidden="1">
      <c r="C513" s="131"/>
      <c r="D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4"/>
    </row>
    <row r="514" spans="3:20" hidden="1">
      <c r="C514" s="131"/>
      <c r="D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4"/>
    </row>
    <row r="515" spans="3:20" hidden="1">
      <c r="C515" s="131"/>
      <c r="D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4"/>
    </row>
    <row r="516" spans="3:20" hidden="1">
      <c r="C516" s="131"/>
      <c r="D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4"/>
    </row>
    <row r="517" spans="3:20" hidden="1">
      <c r="C517" s="131"/>
      <c r="D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4"/>
    </row>
    <row r="518" spans="3:20" hidden="1">
      <c r="C518" s="131"/>
      <c r="D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4"/>
    </row>
    <row r="519" spans="3:20" hidden="1">
      <c r="C519" s="131"/>
      <c r="D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4"/>
    </row>
    <row r="520" spans="3:20" hidden="1">
      <c r="C520" s="131"/>
      <c r="D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4"/>
    </row>
    <row r="521" spans="3:20" hidden="1">
      <c r="C521" s="131"/>
      <c r="D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4"/>
    </row>
    <row r="522" spans="3:20" hidden="1">
      <c r="C522" s="131"/>
      <c r="D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4"/>
    </row>
    <row r="523" spans="3:20" hidden="1">
      <c r="C523" s="131"/>
      <c r="D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4"/>
    </row>
    <row r="524" spans="3:20" hidden="1">
      <c r="C524" s="131"/>
      <c r="D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4"/>
    </row>
    <row r="525" spans="3:20" hidden="1">
      <c r="C525" s="131"/>
      <c r="D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4"/>
    </row>
    <row r="526" spans="3:20" hidden="1">
      <c r="C526" s="131"/>
      <c r="D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4"/>
    </row>
    <row r="527" spans="3:20" hidden="1">
      <c r="C527" s="131"/>
      <c r="D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4"/>
    </row>
    <row r="528" spans="3:20" hidden="1">
      <c r="C528" s="131"/>
      <c r="D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4"/>
    </row>
    <row r="529" spans="3:20" hidden="1">
      <c r="C529" s="131"/>
      <c r="D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4"/>
    </row>
    <row r="530" spans="3:20" hidden="1">
      <c r="C530" s="131"/>
      <c r="D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4"/>
    </row>
    <row r="531" spans="3:20" hidden="1">
      <c r="C531" s="131"/>
      <c r="D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4"/>
    </row>
    <row r="532" spans="3:20" hidden="1">
      <c r="C532" s="131"/>
      <c r="D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4"/>
    </row>
    <row r="533" spans="3:20" hidden="1">
      <c r="C533" s="131"/>
      <c r="D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4"/>
    </row>
    <row r="534" spans="3:20" hidden="1">
      <c r="C534" s="131"/>
      <c r="D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4"/>
    </row>
    <row r="535" spans="3:20" hidden="1">
      <c r="C535" s="131"/>
      <c r="D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4"/>
    </row>
    <row r="536" spans="3:20" hidden="1">
      <c r="C536" s="131"/>
      <c r="D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4"/>
    </row>
    <row r="537" spans="3:20" hidden="1">
      <c r="C537" s="131"/>
      <c r="D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4"/>
    </row>
    <row r="538" spans="3:20" hidden="1">
      <c r="C538" s="131"/>
      <c r="D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4"/>
    </row>
    <row r="539" spans="3:20" hidden="1">
      <c r="C539" s="131"/>
      <c r="D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4"/>
    </row>
    <row r="540" spans="3:20" hidden="1">
      <c r="C540" s="131"/>
      <c r="D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4"/>
    </row>
    <row r="541" spans="3:20" hidden="1">
      <c r="C541" s="131"/>
      <c r="D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4"/>
    </row>
    <row r="542" spans="3:20" hidden="1">
      <c r="C542" s="131"/>
      <c r="D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4"/>
    </row>
    <row r="543" spans="3:20" hidden="1">
      <c r="C543" s="131"/>
      <c r="D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4"/>
    </row>
    <row r="544" spans="3:20" hidden="1">
      <c r="C544" s="131"/>
      <c r="D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4"/>
    </row>
    <row r="545" spans="3:20" hidden="1">
      <c r="C545" s="131"/>
      <c r="D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4"/>
    </row>
    <row r="546" spans="3:20" hidden="1">
      <c r="C546" s="131"/>
      <c r="D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4"/>
    </row>
    <row r="547" spans="3:20" hidden="1">
      <c r="C547" s="131"/>
      <c r="D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4"/>
    </row>
    <row r="548" spans="3:20" hidden="1">
      <c r="C548" s="131"/>
      <c r="D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4"/>
    </row>
    <row r="549" spans="3:20" hidden="1">
      <c r="C549" s="131"/>
      <c r="D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4"/>
    </row>
    <row r="550" spans="3:20" hidden="1">
      <c r="C550" s="131"/>
      <c r="D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4"/>
    </row>
    <row r="551" spans="3:20" hidden="1">
      <c r="C551" s="131"/>
      <c r="D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4"/>
    </row>
    <row r="552" spans="3:20" hidden="1">
      <c r="C552" s="131"/>
      <c r="D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4"/>
    </row>
    <row r="553" spans="3:20" hidden="1">
      <c r="C553" s="131"/>
      <c r="D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4"/>
    </row>
    <row r="554" spans="3:20" hidden="1">
      <c r="C554" s="131"/>
      <c r="D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4"/>
    </row>
    <row r="555" spans="3:20" hidden="1">
      <c r="C555" s="131"/>
      <c r="D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4"/>
    </row>
    <row r="556" spans="3:20" hidden="1">
      <c r="C556" s="131"/>
      <c r="D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4"/>
    </row>
    <row r="557" spans="3:20" hidden="1">
      <c r="C557" s="131"/>
      <c r="D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4"/>
    </row>
    <row r="558" spans="3:20" hidden="1">
      <c r="C558" s="131"/>
      <c r="D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4"/>
    </row>
    <row r="559" spans="3:20" hidden="1">
      <c r="C559" s="131"/>
      <c r="D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4"/>
    </row>
    <row r="560" spans="3:20" hidden="1">
      <c r="C560" s="131"/>
      <c r="D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4"/>
    </row>
    <row r="561" spans="3:20" hidden="1">
      <c r="C561" s="131"/>
      <c r="D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4"/>
    </row>
    <row r="562" spans="3:20" hidden="1">
      <c r="C562" s="131"/>
      <c r="D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4"/>
    </row>
    <row r="563" spans="3:20" hidden="1">
      <c r="C563" s="131"/>
      <c r="D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4"/>
    </row>
    <row r="564" spans="3:20" hidden="1">
      <c r="C564" s="131"/>
      <c r="D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4"/>
    </row>
    <row r="565" spans="3:20" hidden="1">
      <c r="C565" s="131"/>
      <c r="D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4"/>
    </row>
    <row r="566" spans="3:20" hidden="1">
      <c r="C566" s="131"/>
      <c r="D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4"/>
    </row>
    <row r="567" spans="3:20" hidden="1">
      <c r="C567" s="131"/>
      <c r="D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4"/>
    </row>
    <row r="568" spans="3:20" hidden="1">
      <c r="C568" s="131"/>
      <c r="D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4"/>
    </row>
    <row r="569" spans="3:20" hidden="1">
      <c r="C569" s="131"/>
      <c r="D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4"/>
    </row>
    <row r="570" spans="3:20" hidden="1">
      <c r="C570" s="131"/>
      <c r="D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4"/>
    </row>
    <row r="571" spans="3:20" hidden="1">
      <c r="C571" s="131"/>
      <c r="D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4"/>
    </row>
    <row r="572" spans="3:20" hidden="1">
      <c r="C572" s="131"/>
      <c r="D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4"/>
    </row>
    <row r="573" spans="3:20" hidden="1">
      <c r="C573" s="131"/>
      <c r="D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4"/>
    </row>
    <row r="574" spans="3:20" hidden="1">
      <c r="C574" s="131"/>
      <c r="D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4"/>
    </row>
    <row r="575" spans="3:20" hidden="1">
      <c r="C575" s="131"/>
      <c r="D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4"/>
    </row>
    <row r="576" spans="3:20" hidden="1">
      <c r="C576" s="131"/>
      <c r="D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4"/>
    </row>
    <row r="577" spans="3:20" hidden="1">
      <c r="C577" s="131"/>
      <c r="D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4"/>
    </row>
    <row r="578" spans="3:20" hidden="1">
      <c r="C578" s="131"/>
      <c r="D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4"/>
    </row>
    <row r="579" spans="3:20" hidden="1">
      <c r="C579" s="131"/>
      <c r="D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4"/>
    </row>
    <row r="580" spans="3:20" hidden="1">
      <c r="C580" s="131"/>
      <c r="D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4"/>
    </row>
    <row r="581" spans="3:20" hidden="1">
      <c r="C581" s="131"/>
      <c r="D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4"/>
    </row>
    <row r="582" spans="3:20" hidden="1">
      <c r="C582" s="131"/>
      <c r="D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4"/>
    </row>
    <row r="583" spans="3:20" hidden="1">
      <c r="C583" s="131"/>
      <c r="D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4"/>
    </row>
    <row r="584" spans="3:20" hidden="1">
      <c r="C584" s="131"/>
      <c r="D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4"/>
    </row>
    <row r="585" spans="3:20" hidden="1">
      <c r="C585" s="131"/>
      <c r="D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4"/>
    </row>
    <row r="586" spans="3:20" hidden="1">
      <c r="C586" s="131"/>
      <c r="D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4"/>
    </row>
    <row r="587" spans="3:20" hidden="1">
      <c r="C587" s="131"/>
      <c r="D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4"/>
    </row>
    <row r="588" spans="3:20" hidden="1">
      <c r="C588" s="131"/>
      <c r="D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4"/>
    </row>
    <row r="589" spans="3:20" hidden="1">
      <c r="C589" s="131"/>
      <c r="D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4"/>
    </row>
    <row r="590" spans="3:20" hidden="1">
      <c r="C590" s="131"/>
      <c r="D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4"/>
    </row>
    <row r="591" spans="3:20" hidden="1">
      <c r="C591" s="131"/>
      <c r="D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4"/>
    </row>
    <row r="592" spans="3:20" hidden="1">
      <c r="C592" s="131"/>
      <c r="D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4"/>
    </row>
    <row r="593" spans="3:20" hidden="1">
      <c r="C593" s="131"/>
      <c r="D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4"/>
    </row>
    <row r="594" spans="3:20" hidden="1">
      <c r="C594" s="131"/>
      <c r="D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4"/>
    </row>
    <row r="595" spans="3:20" hidden="1">
      <c r="C595" s="131"/>
      <c r="D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4"/>
    </row>
    <row r="596" spans="3:20" hidden="1">
      <c r="C596" s="131"/>
      <c r="D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4"/>
    </row>
    <row r="597" spans="3:20" hidden="1">
      <c r="C597" s="131"/>
      <c r="D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4"/>
    </row>
    <row r="598" spans="3:20" hidden="1">
      <c r="C598" s="131"/>
      <c r="D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4"/>
    </row>
    <row r="599" spans="3:20" hidden="1">
      <c r="C599" s="131"/>
      <c r="D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4"/>
    </row>
    <row r="600" spans="3:20" hidden="1">
      <c r="C600" s="131"/>
      <c r="D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4"/>
    </row>
    <row r="601" spans="3:20" hidden="1">
      <c r="C601" s="131"/>
      <c r="D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4"/>
    </row>
    <row r="602" spans="3:20" hidden="1">
      <c r="C602" s="131"/>
      <c r="D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4"/>
    </row>
    <row r="603" spans="3:20" hidden="1">
      <c r="C603" s="131"/>
      <c r="D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4"/>
    </row>
    <row r="604" spans="3:20" hidden="1">
      <c r="C604" s="131"/>
      <c r="D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4"/>
    </row>
    <row r="605" spans="3:20" hidden="1">
      <c r="C605" s="131"/>
      <c r="D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4"/>
    </row>
    <row r="606" spans="3:20" hidden="1">
      <c r="C606" s="131"/>
      <c r="D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4"/>
    </row>
    <row r="607" spans="3:20" hidden="1">
      <c r="C607" s="131"/>
      <c r="D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4"/>
    </row>
    <row r="608" spans="3:20" hidden="1">
      <c r="C608" s="131"/>
      <c r="D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4"/>
    </row>
    <row r="609" spans="3:20" hidden="1">
      <c r="C609" s="131"/>
      <c r="D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4"/>
    </row>
    <row r="610" spans="3:20" hidden="1">
      <c r="C610" s="131"/>
      <c r="D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4"/>
    </row>
    <row r="611" spans="3:20" hidden="1">
      <c r="C611" s="131"/>
      <c r="D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4"/>
    </row>
    <row r="612" spans="3:20" hidden="1">
      <c r="C612" s="131"/>
      <c r="D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4"/>
    </row>
    <row r="613" spans="3:20" hidden="1">
      <c r="C613" s="131"/>
      <c r="D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4"/>
    </row>
    <row r="614" spans="3:20" hidden="1">
      <c r="C614" s="131"/>
      <c r="D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4"/>
    </row>
    <row r="615" spans="3:20" hidden="1">
      <c r="C615" s="131"/>
      <c r="D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4"/>
    </row>
    <row r="616" spans="3:20" hidden="1">
      <c r="C616" s="131"/>
      <c r="D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4"/>
    </row>
    <row r="617" spans="3:20" hidden="1">
      <c r="C617" s="131"/>
      <c r="D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4"/>
    </row>
    <row r="618" spans="3:20" hidden="1">
      <c r="C618" s="131"/>
      <c r="D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4"/>
    </row>
    <row r="619" spans="3:20" hidden="1">
      <c r="C619" s="131"/>
      <c r="D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4"/>
    </row>
    <row r="620" spans="3:20" hidden="1">
      <c r="C620" s="131"/>
      <c r="D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4"/>
    </row>
    <row r="621" spans="3:20" hidden="1">
      <c r="C621" s="131"/>
      <c r="D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4"/>
    </row>
    <row r="622" spans="3:20" hidden="1"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4"/>
    </row>
    <row r="623" spans="3:20" hidden="1"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4"/>
    </row>
    <row r="624" spans="3:20" hidden="1"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</row>
    <row r="625" spans="7:19" hidden="1"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</row>
  </sheetData>
  <mergeCells count="30">
    <mergeCell ref="D61:D67"/>
    <mergeCell ref="D57:D58"/>
    <mergeCell ref="A1:S1"/>
    <mergeCell ref="R27:S27"/>
    <mergeCell ref="M41:O41"/>
    <mergeCell ref="H41:J41"/>
    <mergeCell ref="H13:I13"/>
    <mergeCell ref="J13:K13"/>
    <mergeCell ref="L13:M13"/>
    <mergeCell ref="N13:O13"/>
    <mergeCell ref="R13:S13"/>
    <mergeCell ref="P27:Q27"/>
    <mergeCell ref="H26:S26"/>
    <mergeCell ref="H18:I18"/>
    <mergeCell ref="H27:I27"/>
    <mergeCell ref="J27:K27"/>
    <mergeCell ref="G59:O59"/>
    <mergeCell ref="I20:J20"/>
    <mergeCell ref="A2:S9"/>
    <mergeCell ref="J18:K18"/>
    <mergeCell ref="L18:M18"/>
    <mergeCell ref="N18:O18"/>
    <mergeCell ref="P18:Q18"/>
    <mergeCell ref="R18:S18"/>
    <mergeCell ref="G12:S12"/>
    <mergeCell ref="N28:O30"/>
    <mergeCell ref="D34:D35"/>
    <mergeCell ref="S28:S29"/>
    <mergeCell ref="L27:M27"/>
    <mergeCell ref="N27:O27"/>
  </mergeCells>
  <hyperlinks>
    <hyperlink ref="D25" r:id="rId1" location=".XMge7YkzaUk" xr:uid="{00000000-0004-0000-0000-000000000000}"/>
    <hyperlink ref="E25" r:id="rId2" display="http://webmineral.com/data/Lizardite.shtml" xr:uid="{00000000-0004-0000-0000-000001000000}"/>
    <hyperlink ref="D74" r:id="rId3" xr:uid="{00000000-0004-0000-0000-000002000000}"/>
    <hyperlink ref="D78" r:id="rId4" xr:uid="{00000000-0004-0000-0000-000003000000}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8551-A448-4731-B973-89794259BE22}">
  <sheetPr>
    <tabColor theme="7"/>
  </sheetPr>
  <dimension ref="A1:T48"/>
  <sheetViews>
    <sheetView tabSelected="1" zoomScale="105" workbookViewId="0">
      <selection activeCell="M15" sqref="M15"/>
    </sheetView>
  </sheetViews>
  <sheetFormatPr baseColWidth="10" defaultRowHeight="15.75"/>
  <cols>
    <col min="2" max="2" width="20.375" customWidth="1"/>
    <col min="13" max="13" width="23.875" customWidth="1"/>
  </cols>
  <sheetData>
    <row r="1" spans="1:20" ht="26.25">
      <c r="A1" s="294" t="s">
        <v>769</v>
      </c>
      <c r="B1" s="294"/>
      <c r="C1" s="294"/>
      <c r="D1" s="294"/>
      <c r="E1" s="294"/>
      <c r="F1" s="294"/>
      <c r="G1" s="294"/>
      <c r="H1" s="294"/>
      <c r="I1" s="294"/>
      <c r="L1" s="294" t="s">
        <v>847</v>
      </c>
      <c r="M1" s="294"/>
      <c r="N1" s="294"/>
      <c r="O1" s="294"/>
      <c r="P1" s="294"/>
      <c r="Q1" s="294"/>
      <c r="R1" s="294"/>
      <c r="S1" s="294"/>
      <c r="T1" s="294"/>
    </row>
    <row r="2" spans="1:20" ht="110.25">
      <c r="A2" s="21" t="s">
        <v>204</v>
      </c>
      <c r="B2" s="250" t="s">
        <v>755</v>
      </c>
      <c r="C2" s="250" t="s">
        <v>756</v>
      </c>
      <c r="D2" s="250" t="s">
        <v>844</v>
      </c>
      <c r="E2" s="251" t="s">
        <v>845</v>
      </c>
      <c r="F2" s="251" t="s">
        <v>757</v>
      </c>
      <c r="G2" s="251" t="s">
        <v>758</v>
      </c>
      <c r="H2" s="251" t="s">
        <v>759</v>
      </c>
      <c r="I2" s="251" t="s">
        <v>760</v>
      </c>
      <c r="L2" s="21" t="s">
        <v>204</v>
      </c>
      <c r="M2" s="250" t="s">
        <v>755</v>
      </c>
      <c r="N2" s="250" t="s">
        <v>756</v>
      </c>
      <c r="O2" s="250" t="s">
        <v>844</v>
      </c>
      <c r="P2" s="251" t="s">
        <v>845</v>
      </c>
      <c r="Q2" s="251" t="s">
        <v>757</v>
      </c>
      <c r="R2" s="251" t="s">
        <v>758</v>
      </c>
      <c r="S2" s="251" t="s">
        <v>759</v>
      </c>
      <c r="T2" s="251"/>
    </row>
    <row r="3" spans="1:20">
      <c r="A3" s="21">
        <v>1</v>
      </c>
      <c r="B3" s="282" t="s">
        <v>857</v>
      </c>
      <c r="C3" s="220">
        <v>0.95</v>
      </c>
      <c r="D3" s="220">
        <v>0.8075</v>
      </c>
      <c r="E3" s="220">
        <v>1</v>
      </c>
      <c r="F3" s="220">
        <v>1</v>
      </c>
      <c r="G3" s="220">
        <v>35</v>
      </c>
      <c r="H3" s="220">
        <v>1</v>
      </c>
      <c r="I3" s="220" t="str">
        <f>Assumptions!O61</f>
        <v>Yes</v>
      </c>
      <c r="L3" s="21">
        <v>1</v>
      </c>
      <c r="M3" s="286" t="s">
        <v>849</v>
      </c>
      <c r="N3" s="220">
        <v>0.08</v>
      </c>
      <c r="O3" s="220">
        <v>6.8000000000000005E-2</v>
      </c>
      <c r="P3" s="220">
        <v>9.1999999999999998E-2</v>
      </c>
      <c r="Q3" s="220">
        <v>1</v>
      </c>
      <c r="R3" s="220">
        <v>59</v>
      </c>
      <c r="S3" s="220">
        <v>1</v>
      </c>
      <c r="T3" s="220"/>
    </row>
    <row r="4" spans="1:20">
      <c r="A4" s="21">
        <f t="shared" ref="A4:A24" si="0">A3+1</f>
        <v>2</v>
      </c>
      <c r="B4" s="283" t="s">
        <v>823</v>
      </c>
      <c r="C4" s="220">
        <v>1.4717</v>
      </c>
      <c r="D4" s="220">
        <v>1.250945</v>
      </c>
      <c r="E4" s="220">
        <v>1.6924549999999998</v>
      </c>
      <c r="F4" s="220">
        <v>1</v>
      </c>
      <c r="G4" s="220">
        <v>68</v>
      </c>
      <c r="H4" s="220">
        <v>1</v>
      </c>
      <c r="I4" s="220" t="str">
        <f>Assumptions!O62</f>
        <v>For How many variables?</v>
      </c>
      <c r="L4" s="21">
        <f t="shared" ref="L4:L23" si="1">L3+1</f>
        <v>2</v>
      </c>
      <c r="M4" s="282" t="s">
        <v>857</v>
      </c>
      <c r="N4" s="220">
        <v>0.95</v>
      </c>
      <c r="O4" s="220">
        <v>0.8075</v>
      </c>
      <c r="P4" s="220">
        <v>1</v>
      </c>
      <c r="Q4" s="220">
        <v>1</v>
      </c>
      <c r="R4" s="220">
        <v>35</v>
      </c>
      <c r="S4" s="220">
        <v>1</v>
      </c>
      <c r="T4" s="220"/>
    </row>
    <row r="5" spans="1:20">
      <c r="A5" s="21">
        <f t="shared" si="0"/>
        <v>3</v>
      </c>
      <c r="B5" s="284" t="s">
        <v>834</v>
      </c>
      <c r="C5" s="220">
        <v>100</v>
      </c>
      <c r="D5" s="220">
        <v>85</v>
      </c>
      <c r="E5" s="220">
        <v>114.99999999999999</v>
      </c>
      <c r="F5" s="220">
        <v>4</v>
      </c>
      <c r="G5" s="220">
        <v>2</v>
      </c>
      <c r="H5" s="220">
        <v>8</v>
      </c>
      <c r="I5" s="220">
        <f>Assumptions!O63</f>
        <v>22</v>
      </c>
      <c r="L5" s="21">
        <f t="shared" si="1"/>
        <v>3</v>
      </c>
      <c r="M5" s="283" t="s">
        <v>828</v>
      </c>
      <c r="N5" s="220">
        <v>62</v>
      </c>
      <c r="O5" s="220">
        <v>52.699999999999996</v>
      </c>
      <c r="P5" s="220">
        <v>71.3</v>
      </c>
      <c r="Q5" s="220">
        <v>4</v>
      </c>
      <c r="R5" s="220">
        <v>27</v>
      </c>
      <c r="S5" s="220">
        <v>1</v>
      </c>
      <c r="T5" s="220"/>
    </row>
    <row r="6" spans="1:20">
      <c r="A6" s="21">
        <f t="shared" si="0"/>
        <v>4</v>
      </c>
      <c r="B6" s="284" t="s">
        <v>835</v>
      </c>
      <c r="C6" s="220">
        <v>190</v>
      </c>
      <c r="D6" s="220">
        <v>161.5</v>
      </c>
      <c r="E6" s="220">
        <v>218.49999999999997</v>
      </c>
      <c r="F6" s="220">
        <v>4</v>
      </c>
      <c r="G6" s="220">
        <v>1</v>
      </c>
      <c r="H6" s="220">
        <v>8</v>
      </c>
      <c r="I6" s="220"/>
      <c r="L6" s="21">
        <f t="shared" si="1"/>
        <v>4</v>
      </c>
      <c r="M6" s="285" t="s">
        <v>824</v>
      </c>
      <c r="N6" s="220">
        <v>0.125</v>
      </c>
      <c r="O6" s="220">
        <v>0.10625</v>
      </c>
      <c r="P6" s="220">
        <v>0.14374999999999999</v>
      </c>
      <c r="Q6" s="220">
        <v>1</v>
      </c>
      <c r="R6" s="220">
        <v>15</v>
      </c>
      <c r="S6" s="220">
        <v>1</v>
      </c>
      <c r="T6" s="220"/>
    </row>
    <row r="7" spans="1:20">
      <c r="A7" s="21">
        <f t="shared" si="0"/>
        <v>5</v>
      </c>
      <c r="B7" s="284" t="s">
        <v>763</v>
      </c>
      <c r="C7" s="220">
        <v>0.67768229340000008</v>
      </c>
      <c r="D7" s="220">
        <v>0.57602994939000007</v>
      </c>
      <c r="E7" s="220">
        <v>0.77933463741000009</v>
      </c>
      <c r="F7" s="220">
        <v>1</v>
      </c>
      <c r="G7" s="220">
        <v>27</v>
      </c>
      <c r="H7" s="220">
        <v>1</v>
      </c>
      <c r="I7" s="220"/>
      <c r="L7" s="21">
        <f t="shared" si="1"/>
        <v>5</v>
      </c>
      <c r="M7" s="284" t="s">
        <v>834</v>
      </c>
      <c r="N7" s="220">
        <v>100</v>
      </c>
      <c r="O7" s="220">
        <v>85</v>
      </c>
      <c r="P7" s="220">
        <v>114.99999999999999</v>
      </c>
      <c r="Q7" s="220">
        <v>4</v>
      </c>
      <c r="R7" s="220">
        <v>2</v>
      </c>
      <c r="S7" s="220">
        <v>8</v>
      </c>
      <c r="T7" s="220"/>
    </row>
    <row r="8" spans="1:20">
      <c r="A8" s="21">
        <f t="shared" si="0"/>
        <v>6</v>
      </c>
      <c r="B8" s="285" t="s">
        <v>824</v>
      </c>
      <c r="C8" s="220">
        <v>0.125</v>
      </c>
      <c r="D8" s="220">
        <v>0.10625</v>
      </c>
      <c r="E8" s="220">
        <v>0.14374999999999999</v>
      </c>
      <c r="F8" s="220">
        <v>1</v>
      </c>
      <c r="G8" s="220">
        <v>15</v>
      </c>
      <c r="H8" s="220">
        <v>1</v>
      </c>
      <c r="I8" s="220"/>
      <c r="L8" s="21">
        <f t="shared" si="1"/>
        <v>6</v>
      </c>
      <c r="M8" s="284" t="s">
        <v>763</v>
      </c>
      <c r="N8" s="220">
        <v>0.67768229340000008</v>
      </c>
      <c r="O8" s="220">
        <v>0.57602994939000007</v>
      </c>
      <c r="P8" s="220">
        <v>0.77933463741000009</v>
      </c>
      <c r="Q8" s="220">
        <v>1</v>
      </c>
      <c r="R8" s="220">
        <v>27</v>
      </c>
      <c r="S8" s="220">
        <v>1</v>
      </c>
      <c r="T8" s="220"/>
    </row>
    <row r="9" spans="1:20">
      <c r="A9" s="21">
        <f t="shared" si="0"/>
        <v>7</v>
      </c>
      <c r="B9" s="286" t="s">
        <v>849</v>
      </c>
      <c r="C9" s="220">
        <v>0.08</v>
      </c>
      <c r="D9" s="220">
        <v>6.8000000000000005E-2</v>
      </c>
      <c r="E9" s="220">
        <v>9.1999999999999998E-2</v>
      </c>
      <c r="F9" s="220">
        <v>1</v>
      </c>
      <c r="G9" s="220">
        <v>59</v>
      </c>
      <c r="H9" s="220">
        <v>1</v>
      </c>
      <c r="I9" s="220"/>
      <c r="L9" s="21">
        <f t="shared" si="1"/>
        <v>7</v>
      </c>
      <c r="M9" s="286"/>
      <c r="N9" s="220"/>
      <c r="O9" s="220"/>
      <c r="P9" s="220"/>
      <c r="Q9" s="220"/>
      <c r="R9" s="220"/>
      <c r="S9" s="220"/>
      <c r="T9" s="220"/>
    </row>
    <row r="10" spans="1:20">
      <c r="A10" s="21">
        <f t="shared" si="0"/>
        <v>8</v>
      </c>
      <c r="B10" s="286" t="s">
        <v>853</v>
      </c>
      <c r="C10" s="220">
        <v>0.6</v>
      </c>
      <c r="D10" s="220">
        <v>0.51</v>
      </c>
      <c r="E10" s="220">
        <v>0.69</v>
      </c>
      <c r="F10" s="220">
        <v>1</v>
      </c>
      <c r="G10" s="220">
        <v>28</v>
      </c>
      <c r="H10" s="220">
        <v>1</v>
      </c>
      <c r="I10" s="220"/>
      <c r="L10" s="21">
        <f t="shared" si="1"/>
        <v>8</v>
      </c>
      <c r="M10" s="286"/>
      <c r="N10" s="220"/>
      <c r="O10" s="220"/>
      <c r="P10" s="220"/>
      <c r="Q10" s="220"/>
      <c r="R10" s="220"/>
      <c r="S10" s="220"/>
      <c r="T10" s="220"/>
    </row>
    <row r="11" spans="1:20">
      <c r="A11" s="21">
        <f t="shared" si="0"/>
        <v>9</v>
      </c>
      <c r="B11" s="286" t="s">
        <v>855</v>
      </c>
      <c r="C11" s="220">
        <v>0.85</v>
      </c>
      <c r="D11" s="220">
        <v>0.72249999999999992</v>
      </c>
      <c r="E11" s="220">
        <v>0.97749999999999992</v>
      </c>
      <c r="F11" s="220">
        <v>1</v>
      </c>
      <c r="G11" s="220">
        <v>40</v>
      </c>
      <c r="H11" s="220">
        <v>1</v>
      </c>
      <c r="I11" s="220"/>
      <c r="L11" s="21">
        <f t="shared" si="1"/>
        <v>9</v>
      </c>
      <c r="M11" s="286"/>
      <c r="N11" s="220"/>
      <c r="O11" s="220"/>
      <c r="P11" s="220"/>
      <c r="Q11" s="220"/>
      <c r="R11" s="220"/>
      <c r="S11" s="220"/>
      <c r="T11" s="220"/>
    </row>
    <row r="12" spans="1:20">
      <c r="A12" s="21">
        <f t="shared" si="0"/>
        <v>10</v>
      </c>
      <c r="B12" s="287" t="s">
        <v>854</v>
      </c>
      <c r="C12" s="220">
        <v>30</v>
      </c>
      <c r="D12" s="220">
        <v>25.5</v>
      </c>
      <c r="E12" s="220">
        <v>34.5</v>
      </c>
      <c r="F12" s="220">
        <v>1</v>
      </c>
      <c r="G12" s="220">
        <v>2</v>
      </c>
      <c r="H12" s="220">
        <v>1</v>
      </c>
      <c r="I12" s="220"/>
      <c r="L12" s="21">
        <f t="shared" si="1"/>
        <v>10</v>
      </c>
      <c r="M12" s="287"/>
      <c r="N12" s="220"/>
      <c r="O12" s="220"/>
      <c r="P12" s="220"/>
      <c r="Q12" s="220"/>
      <c r="R12" s="220"/>
      <c r="S12" s="220"/>
      <c r="T12" s="220"/>
    </row>
    <row r="13" spans="1:20">
      <c r="A13" s="21">
        <f t="shared" si="0"/>
        <v>11</v>
      </c>
      <c r="B13" s="284" t="s">
        <v>825</v>
      </c>
      <c r="C13" s="220">
        <v>20</v>
      </c>
      <c r="D13" s="220">
        <v>17</v>
      </c>
      <c r="E13" s="220">
        <v>23</v>
      </c>
      <c r="F13" s="220">
        <v>1</v>
      </c>
      <c r="G13" s="220">
        <v>52</v>
      </c>
      <c r="H13" s="220">
        <v>1</v>
      </c>
      <c r="I13" s="220"/>
      <c r="L13" s="21">
        <f t="shared" si="1"/>
        <v>11</v>
      </c>
      <c r="M13" s="284"/>
      <c r="N13" s="220"/>
      <c r="O13" s="220"/>
      <c r="P13" s="220"/>
      <c r="Q13" s="220"/>
      <c r="R13" s="220"/>
      <c r="S13" s="220"/>
      <c r="T13" s="220"/>
    </row>
    <row r="14" spans="1:20">
      <c r="A14" s="21">
        <f t="shared" si="0"/>
        <v>12</v>
      </c>
      <c r="B14" s="283" t="s">
        <v>826</v>
      </c>
      <c r="C14" s="220">
        <v>0.1055</v>
      </c>
      <c r="D14" s="220">
        <v>8.9674999999999991E-2</v>
      </c>
      <c r="E14" s="220">
        <v>0.12132499999999999</v>
      </c>
      <c r="F14" s="220">
        <v>1</v>
      </c>
      <c r="G14" s="220">
        <v>51</v>
      </c>
      <c r="H14" s="220">
        <v>1</v>
      </c>
      <c r="I14" s="220"/>
      <c r="L14" s="21">
        <f t="shared" si="1"/>
        <v>12</v>
      </c>
      <c r="M14" s="283"/>
      <c r="N14" s="220"/>
      <c r="O14" s="220"/>
      <c r="P14" s="220"/>
      <c r="Q14" s="220"/>
      <c r="R14" s="220"/>
      <c r="S14" s="220"/>
      <c r="T14" s="220"/>
    </row>
    <row r="15" spans="1:20">
      <c r="A15" s="21">
        <f t="shared" si="0"/>
        <v>13</v>
      </c>
      <c r="B15" s="283" t="s">
        <v>827</v>
      </c>
      <c r="C15" s="220">
        <v>0.85</v>
      </c>
      <c r="D15" s="220">
        <v>0.72249999999999992</v>
      </c>
      <c r="E15" s="220">
        <v>0.97749999999999992</v>
      </c>
      <c r="F15" s="220">
        <v>2</v>
      </c>
      <c r="G15" s="220">
        <v>100</v>
      </c>
      <c r="H15" s="220">
        <v>1</v>
      </c>
      <c r="I15" s="220"/>
      <c r="L15" s="21">
        <f t="shared" si="1"/>
        <v>13</v>
      </c>
      <c r="M15" s="283"/>
      <c r="N15" s="220"/>
      <c r="O15" s="220"/>
      <c r="P15" s="220"/>
      <c r="Q15" s="220"/>
      <c r="R15" s="220"/>
      <c r="S15" s="220"/>
      <c r="T15" s="220"/>
    </row>
    <row r="16" spans="1:20">
      <c r="A16" s="21">
        <f t="shared" si="0"/>
        <v>14</v>
      </c>
      <c r="B16" s="275" t="s">
        <v>856</v>
      </c>
      <c r="C16" s="220">
        <v>7.6899999999999996E-2</v>
      </c>
      <c r="D16" s="220">
        <v>6.5364999999999993E-2</v>
      </c>
      <c r="E16" s="220">
        <v>8.8434999999999986E-2</v>
      </c>
      <c r="F16" s="220">
        <v>1</v>
      </c>
      <c r="G16" s="220">
        <v>3</v>
      </c>
      <c r="H16" s="220">
        <v>1</v>
      </c>
      <c r="I16" s="220"/>
      <c r="L16" s="21">
        <f t="shared" si="1"/>
        <v>14</v>
      </c>
      <c r="M16" s="275"/>
      <c r="N16" s="220"/>
      <c r="O16" s="220"/>
      <c r="P16" s="220"/>
      <c r="Q16" s="220"/>
      <c r="R16" s="220"/>
      <c r="S16" s="220"/>
      <c r="T16" s="220"/>
    </row>
    <row r="17" spans="1:20">
      <c r="A17" s="21">
        <f t="shared" si="0"/>
        <v>15</v>
      </c>
      <c r="B17" s="283" t="s">
        <v>846</v>
      </c>
      <c r="C17" s="220">
        <v>8000</v>
      </c>
      <c r="D17" s="220">
        <v>6800</v>
      </c>
      <c r="E17" s="220">
        <v>8760</v>
      </c>
      <c r="F17" s="220">
        <v>1</v>
      </c>
      <c r="G17" s="220">
        <v>6</v>
      </c>
      <c r="H17" s="220">
        <v>1</v>
      </c>
      <c r="I17" s="220"/>
      <c r="L17" s="21">
        <f t="shared" si="1"/>
        <v>15</v>
      </c>
      <c r="M17" s="283"/>
      <c r="N17" s="220"/>
      <c r="O17" s="220"/>
      <c r="P17" s="220"/>
      <c r="Q17" s="220"/>
      <c r="R17" s="220"/>
      <c r="S17" s="220"/>
      <c r="T17" s="220"/>
    </row>
    <row r="18" spans="1:20">
      <c r="A18" s="21">
        <f t="shared" si="0"/>
        <v>16</v>
      </c>
      <c r="B18" s="283" t="s">
        <v>828</v>
      </c>
      <c r="C18" s="220">
        <v>62</v>
      </c>
      <c r="D18" s="220">
        <v>52.699999999999996</v>
      </c>
      <c r="E18" s="220">
        <v>71.3</v>
      </c>
      <c r="F18" s="220">
        <v>4</v>
      </c>
      <c r="G18" s="220">
        <v>27</v>
      </c>
      <c r="H18" s="220">
        <v>1</v>
      </c>
      <c r="I18" s="220"/>
      <c r="L18" s="21">
        <f t="shared" si="1"/>
        <v>16</v>
      </c>
      <c r="M18" s="283"/>
      <c r="N18" s="220"/>
      <c r="O18" s="220"/>
      <c r="P18" s="220"/>
      <c r="Q18" s="220"/>
      <c r="R18" s="220"/>
      <c r="S18" s="220"/>
      <c r="T18" s="220"/>
    </row>
    <row r="19" spans="1:20">
      <c r="A19" s="21">
        <f t="shared" si="0"/>
        <v>17</v>
      </c>
      <c r="B19" s="283" t="s">
        <v>829</v>
      </c>
      <c r="C19" s="220">
        <v>32</v>
      </c>
      <c r="D19" s="220">
        <v>27.2</v>
      </c>
      <c r="E19" s="220">
        <v>36.799999999999997</v>
      </c>
      <c r="F19" s="220">
        <v>4</v>
      </c>
      <c r="G19" s="220">
        <v>28</v>
      </c>
      <c r="H19" s="220">
        <v>1</v>
      </c>
      <c r="I19" s="220"/>
      <c r="L19" s="21">
        <f t="shared" si="1"/>
        <v>17</v>
      </c>
      <c r="M19" s="283"/>
      <c r="N19" s="220"/>
      <c r="O19" s="220"/>
      <c r="P19" s="220"/>
      <c r="Q19" s="220"/>
      <c r="R19" s="220"/>
      <c r="S19" s="220"/>
      <c r="T19" s="220"/>
    </row>
    <row r="20" spans="1:20">
      <c r="A20" s="21">
        <f t="shared" si="0"/>
        <v>18</v>
      </c>
      <c r="B20" s="288" t="s">
        <v>830</v>
      </c>
      <c r="C20" s="220">
        <v>12</v>
      </c>
      <c r="D20" s="220">
        <v>10.199999999999999</v>
      </c>
      <c r="E20" s="220">
        <v>13.799999999999999</v>
      </c>
      <c r="F20" s="220">
        <v>4</v>
      </c>
      <c r="G20" s="220">
        <v>12</v>
      </c>
      <c r="H20" s="220">
        <v>1</v>
      </c>
      <c r="I20" s="220"/>
      <c r="L20" s="21">
        <f t="shared" si="1"/>
        <v>18</v>
      </c>
      <c r="M20" s="288"/>
      <c r="N20" s="220"/>
      <c r="O20" s="220"/>
      <c r="P20" s="220"/>
      <c r="Q20" s="220"/>
      <c r="R20" s="220"/>
      <c r="S20" s="220"/>
      <c r="T20" s="220"/>
    </row>
    <row r="21" spans="1:20">
      <c r="A21" s="21">
        <f t="shared" si="0"/>
        <v>19</v>
      </c>
      <c r="B21" s="288" t="s">
        <v>831</v>
      </c>
      <c r="C21" s="220">
        <v>209</v>
      </c>
      <c r="D21" s="220">
        <v>177.65</v>
      </c>
      <c r="E21" s="220">
        <v>240.35</v>
      </c>
      <c r="F21" s="220">
        <v>4</v>
      </c>
      <c r="G21" s="220">
        <v>19</v>
      </c>
      <c r="H21" s="220">
        <v>1</v>
      </c>
      <c r="I21" s="220"/>
      <c r="L21" s="21">
        <f t="shared" si="1"/>
        <v>19</v>
      </c>
      <c r="M21" s="288"/>
      <c r="N21" s="220"/>
      <c r="O21" s="220"/>
      <c r="P21" s="220"/>
      <c r="Q21" s="220"/>
      <c r="R21" s="220"/>
      <c r="S21" s="220"/>
      <c r="T21" s="220"/>
    </row>
    <row r="22" spans="1:20">
      <c r="A22" s="21">
        <f t="shared" si="0"/>
        <v>20</v>
      </c>
      <c r="B22" s="284" t="s">
        <v>832</v>
      </c>
      <c r="C22" s="220">
        <v>61.6</v>
      </c>
      <c r="D22" s="220">
        <v>52.36</v>
      </c>
      <c r="E22" s="220">
        <v>70.839999999999989</v>
      </c>
      <c r="F22" s="220">
        <v>4</v>
      </c>
      <c r="G22" s="220">
        <v>20</v>
      </c>
      <c r="H22" s="220">
        <v>1</v>
      </c>
      <c r="I22" s="220"/>
      <c r="L22" s="21">
        <f t="shared" si="1"/>
        <v>20</v>
      </c>
      <c r="M22" s="284"/>
      <c r="N22" s="220"/>
      <c r="O22" s="220"/>
      <c r="P22" s="220"/>
      <c r="Q22" s="220"/>
      <c r="R22" s="220"/>
      <c r="S22" s="220"/>
      <c r="T22" s="220"/>
    </row>
    <row r="23" spans="1:20">
      <c r="A23" s="21">
        <f t="shared" si="0"/>
        <v>21</v>
      </c>
      <c r="B23" s="284" t="s">
        <v>833</v>
      </c>
      <c r="C23" s="220">
        <v>1320</v>
      </c>
      <c r="D23" s="220">
        <v>1122</v>
      </c>
      <c r="E23" s="220">
        <v>1517.9999999999998</v>
      </c>
      <c r="F23" s="220">
        <v>4</v>
      </c>
      <c r="G23" s="220">
        <v>21</v>
      </c>
      <c r="H23" s="220">
        <v>1</v>
      </c>
      <c r="I23" s="220"/>
      <c r="L23" s="21">
        <f t="shared" si="1"/>
        <v>21</v>
      </c>
      <c r="M23" s="284"/>
      <c r="N23" s="220"/>
      <c r="O23" s="220"/>
      <c r="P23" s="220"/>
      <c r="Q23" s="220"/>
      <c r="R23" s="220"/>
      <c r="S23" s="220"/>
      <c r="T23" s="220"/>
    </row>
    <row r="24" spans="1:20">
      <c r="A24" s="21">
        <f t="shared" si="0"/>
        <v>22</v>
      </c>
      <c r="B24" s="38" t="s">
        <v>822</v>
      </c>
      <c r="C24" s="220">
        <v>1200</v>
      </c>
      <c r="D24" s="220">
        <v>1020</v>
      </c>
      <c r="E24" s="220">
        <v>1380</v>
      </c>
      <c r="F24" s="220">
        <v>1</v>
      </c>
      <c r="G24" s="220">
        <v>48</v>
      </c>
      <c r="H24" s="220">
        <v>1</v>
      </c>
      <c r="I24" s="220"/>
    </row>
    <row r="26" spans="1:20" ht="26.25">
      <c r="A26" s="294" t="s">
        <v>852</v>
      </c>
      <c r="B26" s="294"/>
      <c r="C26" s="294"/>
      <c r="D26" s="294"/>
      <c r="E26" s="294"/>
      <c r="F26" s="294"/>
      <c r="G26" s="294"/>
      <c r="H26" s="294"/>
      <c r="I26" s="294"/>
      <c r="L26" s="294" t="s">
        <v>847</v>
      </c>
      <c r="M26" s="294"/>
      <c r="N26" s="294"/>
      <c r="O26" s="294"/>
      <c r="P26" s="294"/>
      <c r="Q26" s="294"/>
      <c r="R26" s="294"/>
      <c r="S26" s="294"/>
      <c r="T26" s="294"/>
    </row>
    <row r="27" spans="1:20" ht="110.25">
      <c r="A27" s="21" t="s">
        <v>204</v>
      </c>
      <c r="B27" s="250" t="s">
        <v>755</v>
      </c>
      <c r="C27" s="250" t="s">
        <v>756</v>
      </c>
      <c r="D27" s="251" t="s">
        <v>851</v>
      </c>
      <c r="E27" s="251" t="s">
        <v>850</v>
      </c>
      <c r="F27" s="251" t="s">
        <v>757</v>
      </c>
      <c r="G27" s="251" t="s">
        <v>758</v>
      </c>
      <c r="H27" s="251" t="s">
        <v>759</v>
      </c>
      <c r="I27" s="251" t="s">
        <v>760</v>
      </c>
      <c r="L27" s="21" t="s">
        <v>204</v>
      </c>
      <c r="M27" s="250" t="s">
        <v>755</v>
      </c>
      <c r="N27" s="250" t="s">
        <v>756</v>
      </c>
      <c r="O27" s="250" t="s">
        <v>844</v>
      </c>
      <c r="P27" s="251" t="s">
        <v>845</v>
      </c>
      <c r="Q27" s="251" t="s">
        <v>757</v>
      </c>
      <c r="R27" s="251" t="s">
        <v>758</v>
      </c>
      <c r="S27" s="251" t="s">
        <v>759</v>
      </c>
      <c r="T27" s="251"/>
    </row>
    <row r="28" spans="1:20">
      <c r="A28" s="21">
        <v>1</v>
      </c>
      <c r="B28" s="282" t="s">
        <v>859</v>
      </c>
      <c r="C28" s="220">
        <v>0.95</v>
      </c>
      <c r="D28" s="293">
        <v>0.8</v>
      </c>
      <c r="E28" s="293">
        <v>0.98</v>
      </c>
      <c r="F28" s="220">
        <v>1</v>
      </c>
      <c r="G28" s="220">
        <v>35</v>
      </c>
      <c r="H28" s="220">
        <v>1</v>
      </c>
      <c r="I28" s="220">
        <f>Assumptions!O86</f>
        <v>0</v>
      </c>
      <c r="L28" s="21">
        <v>1</v>
      </c>
      <c r="M28" s="282" t="str">
        <f>B28</f>
        <v>Add. Rec.</v>
      </c>
      <c r="N28" s="289">
        <f t="shared" ref="N28" si="2">C28</f>
        <v>0.95</v>
      </c>
      <c r="O28" s="289">
        <f t="shared" ref="O28" si="3">D28</f>
        <v>0.8</v>
      </c>
      <c r="P28" s="289">
        <f t="shared" ref="P28" si="4">E28</f>
        <v>0.98</v>
      </c>
      <c r="Q28" s="289">
        <f t="shared" ref="Q28" si="5">F28</f>
        <v>1</v>
      </c>
      <c r="R28" s="289">
        <f t="shared" ref="R28" si="6">G28</f>
        <v>35</v>
      </c>
      <c r="S28" s="289">
        <f t="shared" ref="S28" si="7">H28</f>
        <v>1</v>
      </c>
      <c r="T28" s="220"/>
    </row>
    <row r="29" spans="1:20">
      <c r="A29" s="21">
        <f t="shared" ref="A29:A46" si="8">A28+1</f>
        <v>2</v>
      </c>
      <c r="B29" s="283" t="s">
        <v>823</v>
      </c>
      <c r="C29" s="220">
        <v>1.4717</v>
      </c>
      <c r="D29" s="293">
        <v>0.57589999999999997</v>
      </c>
      <c r="E29" s="293">
        <v>1.4717</v>
      </c>
      <c r="F29" s="220">
        <v>1</v>
      </c>
      <c r="G29" s="220">
        <v>68</v>
      </c>
      <c r="H29" s="220">
        <v>1</v>
      </c>
      <c r="I29" s="220">
        <f>Assumptions!O87</f>
        <v>0</v>
      </c>
      <c r="L29" s="21">
        <f t="shared" ref="L29:L48" si="9">L28+1</f>
        <v>2</v>
      </c>
      <c r="M29" s="283" t="str">
        <f>B45</f>
        <v>π_{MEA}</v>
      </c>
      <c r="N29" s="290">
        <f t="shared" ref="N29" si="10">C45</f>
        <v>1320</v>
      </c>
      <c r="O29" s="290">
        <f t="shared" ref="O29" si="11">D45</f>
        <v>600</v>
      </c>
      <c r="P29" s="290">
        <f t="shared" ref="P29" si="12">E45</f>
        <v>2050</v>
      </c>
      <c r="Q29" s="290">
        <f t="shared" ref="Q29" si="13">F45</f>
        <v>4</v>
      </c>
      <c r="R29" s="290">
        <f t="shared" ref="R29" si="14">G45</f>
        <v>21</v>
      </c>
      <c r="S29" s="290">
        <f t="shared" ref="S29" si="15">H45</f>
        <v>1</v>
      </c>
      <c r="T29" s="220"/>
    </row>
    <row r="30" spans="1:20">
      <c r="A30" s="21">
        <f>A29+1</f>
        <v>3</v>
      </c>
      <c r="B30" s="285" t="s">
        <v>824</v>
      </c>
      <c r="C30" s="220">
        <v>0.125</v>
      </c>
      <c r="D30" s="293">
        <v>0.1</v>
      </c>
      <c r="E30" s="293">
        <v>0.3</v>
      </c>
      <c r="F30" s="220">
        <v>1</v>
      </c>
      <c r="G30" s="220">
        <v>15</v>
      </c>
      <c r="H30" s="220">
        <v>1</v>
      </c>
      <c r="I30" s="220">
        <v>19</v>
      </c>
      <c r="L30" s="21">
        <f t="shared" si="9"/>
        <v>3</v>
      </c>
      <c r="M30" s="284" t="str">
        <f>B39</f>
        <v>t_{operating}</v>
      </c>
      <c r="N30" s="291">
        <f t="shared" ref="N30" si="16">C39</f>
        <v>8000</v>
      </c>
      <c r="O30" s="291">
        <f t="shared" ref="O30" si="17">D39</f>
        <v>4380</v>
      </c>
      <c r="P30" s="291">
        <f t="shared" ref="P30" si="18">E39</f>
        <v>8688</v>
      </c>
      <c r="Q30" s="291">
        <f t="shared" ref="Q30" si="19">F39</f>
        <v>1</v>
      </c>
      <c r="R30" s="291">
        <f t="shared" ref="R30" si="20">G39</f>
        <v>6</v>
      </c>
      <c r="S30" s="291">
        <f t="shared" ref="S30" si="21">H39</f>
        <v>1</v>
      </c>
      <c r="T30" s="220"/>
    </row>
    <row r="31" spans="1:20">
      <c r="A31" s="21">
        <f t="shared" si="8"/>
        <v>4</v>
      </c>
      <c r="B31" s="286" t="s">
        <v>849</v>
      </c>
      <c r="C31" s="220">
        <v>0.08</v>
      </c>
      <c r="D31" s="293">
        <v>0.05</v>
      </c>
      <c r="E31" s="293">
        <v>0.125</v>
      </c>
      <c r="F31" s="220">
        <v>1</v>
      </c>
      <c r="G31" s="220">
        <v>59</v>
      </c>
      <c r="H31" s="220">
        <v>1</v>
      </c>
      <c r="I31" s="220"/>
      <c r="L31" s="21">
        <f t="shared" si="9"/>
        <v>4</v>
      </c>
      <c r="M31" s="284" t="str">
        <f>B33</f>
        <v>p_{mineral}</v>
      </c>
      <c r="N31" s="291">
        <f t="shared" ref="N31" si="22">C33</f>
        <v>0.85</v>
      </c>
      <c r="O31" s="291">
        <f t="shared" ref="O31" si="23">D33</f>
        <v>0.5</v>
      </c>
      <c r="P31" s="291">
        <f t="shared" ref="P31" si="24">E33</f>
        <v>0.85</v>
      </c>
      <c r="Q31" s="291">
        <f t="shared" ref="Q31" si="25">F33</f>
        <v>1</v>
      </c>
      <c r="R31" s="291">
        <f t="shared" ref="R31" si="26">G33</f>
        <v>40</v>
      </c>
      <c r="S31" s="291">
        <f t="shared" ref="S31" si="27">H33</f>
        <v>1</v>
      </c>
      <c r="T31" s="220"/>
    </row>
    <row r="32" spans="1:20">
      <c r="A32" s="21">
        <f t="shared" si="8"/>
        <v>5</v>
      </c>
      <c r="B32" s="286" t="s">
        <v>853</v>
      </c>
      <c r="C32" s="220">
        <v>0.6</v>
      </c>
      <c r="D32" s="293">
        <v>0.3</v>
      </c>
      <c r="E32" s="293">
        <v>0.9</v>
      </c>
      <c r="F32" s="220">
        <v>1</v>
      </c>
      <c r="G32" s="220">
        <v>28</v>
      </c>
      <c r="H32" s="220">
        <v>1</v>
      </c>
      <c r="I32" s="220"/>
      <c r="L32" s="21">
        <f t="shared" si="9"/>
        <v>5</v>
      </c>
      <c r="M32" s="284" t="str">
        <f>B30</f>
        <v>X_{S/L}</v>
      </c>
      <c r="N32" s="291">
        <f t="shared" ref="N32" si="28">C30</f>
        <v>0.125</v>
      </c>
      <c r="O32" s="291">
        <f t="shared" ref="O32" si="29">D30</f>
        <v>0.1</v>
      </c>
      <c r="P32" s="291">
        <f t="shared" ref="P32" si="30">E30</f>
        <v>0.3</v>
      </c>
      <c r="Q32" s="291">
        <f t="shared" ref="Q32" si="31">F30</f>
        <v>1</v>
      </c>
      <c r="R32" s="291">
        <f t="shared" ref="R32" si="32">G30</f>
        <v>15</v>
      </c>
      <c r="S32" s="291">
        <f t="shared" ref="S32" si="33">H30</f>
        <v>1</v>
      </c>
      <c r="T32" s="220"/>
    </row>
    <row r="33" spans="1:20">
      <c r="A33" s="21">
        <f t="shared" si="8"/>
        <v>6</v>
      </c>
      <c r="B33" s="286" t="s">
        <v>855</v>
      </c>
      <c r="C33" s="220">
        <v>0.85</v>
      </c>
      <c r="D33" s="293">
        <v>0.5</v>
      </c>
      <c r="E33" s="293">
        <v>0.85</v>
      </c>
      <c r="F33" s="220">
        <v>1</v>
      </c>
      <c r="G33" s="220">
        <v>40</v>
      </c>
      <c r="H33" s="220">
        <v>1</v>
      </c>
      <c r="I33" s="220"/>
      <c r="L33" s="21">
        <f t="shared" si="9"/>
        <v>6</v>
      </c>
      <c r="M33" s="285" t="str">
        <f>B32</f>
        <v>X_{unreacted mineral}</v>
      </c>
      <c r="N33" s="292">
        <f t="shared" ref="N33" si="34">C32</f>
        <v>0.6</v>
      </c>
      <c r="O33" s="292">
        <f t="shared" ref="O33" si="35">D32</f>
        <v>0.3</v>
      </c>
      <c r="P33" s="292">
        <f t="shared" ref="P33" si="36">E32</f>
        <v>0.9</v>
      </c>
      <c r="Q33" s="292">
        <f t="shared" ref="Q33" si="37">F32</f>
        <v>1</v>
      </c>
      <c r="R33" s="292">
        <f t="shared" ref="R33" si="38">G32</f>
        <v>28</v>
      </c>
      <c r="S33" s="292">
        <f t="shared" ref="S33" si="39">H32</f>
        <v>1</v>
      </c>
      <c r="T33" s="220"/>
    </row>
    <row r="34" spans="1:20">
      <c r="A34" s="21">
        <f t="shared" si="8"/>
        <v>7</v>
      </c>
      <c r="B34" s="287" t="s">
        <v>854</v>
      </c>
      <c r="C34" s="220">
        <v>30</v>
      </c>
      <c r="D34" s="293">
        <v>25</v>
      </c>
      <c r="E34" s="293">
        <v>50</v>
      </c>
      <c r="F34" s="220">
        <v>1</v>
      </c>
      <c r="G34" s="220">
        <v>2</v>
      </c>
      <c r="H34" s="220">
        <v>1</v>
      </c>
      <c r="I34" s="220"/>
      <c r="L34" s="21">
        <f t="shared" si="9"/>
        <v>7</v>
      </c>
      <c r="M34" s="286"/>
      <c r="N34" s="220"/>
      <c r="O34" s="220"/>
      <c r="P34" s="220"/>
      <c r="Q34" s="220"/>
      <c r="R34" s="220"/>
      <c r="S34" s="220"/>
      <c r="T34" s="220"/>
    </row>
    <row r="35" spans="1:20">
      <c r="A35" s="21">
        <f t="shared" si="8"/>
        <v>8</v>
      </c>
      <c r="B35" s="284" t="s">
        <v>825</v>
      </c>
      <c r="C35" s="220">
        <v>20</v>
      </c>
      <c r="D35" s="293">
        <v>5</v>
      </c>
      <c r="E35" s="293">
        <v>30</v>
      </c>
      <c r="F35" s="220">
        <v>1</v>
      </c>
      <c r="G35" s="220">
        <v>52</v>
      </c>
      <c r="H35" s="220">
        <v>1</v>
      </c>
      <c r="I35" s="220"/>
      <c r="L35" s="21">
        <f t="shared" si="9"/>
        <v>8</v>
      </c>
      <c r="M35" s="286"/>
      <c r="N35" s="220"/>
      <c r="O35" s="220"/>
      <c r="P35" s="220"/>
      <c r="Q35" s="220"/>
      <c r="R35" s="220"/>
      <c r="S35" s="220"/>
      <c r="T35" s="220"/>
    </row>
    <row r="36" spans="1:20">
      <c r="A36" s="21">
        <f t="shared" si="8"/>
        <v>9</v>
      </c>
      <c r="B36" s="283" t="s">
        <v>826</v>
      </c>
      <c r="C36" s="220">
        <v>0.1055</v>
      </c>
      <c r="D36" s="293">
        <v>1.0999999999999999E-2</v>
      </c>
      <c r="E36" s="293">
        <v>0.2</v>
      </c>
      <c r="F36" s="220">
        <v>1</v>
      </c>
      <c r="G36" s="220">
        <v>51</v>
      </c>
      <c r="H36" s="220">
        <v>1</v>
      </c>
      <c r="I36" s="220"/>
      <c r="L36" s="21">
        <f t="shared" si="9"/>
        <v>9</v>
      </c>
      <c r="M36" s="286"/>
      <c r="N36" s="220"/>
      <c r="O36" s="220"/>
      <c r="P36" s="220"/>
      <c r="Q36" s="220"/>
      <c r="R36" s="220"/>
      <c r="S36" s="220"/>
      <c r="T36" s="220"/>
    </row>
    <row r="37" spans="1:20">
      <c r="A37" s="21">
        <f t="shared" si="8"/>
        <v>10</v>
      </c>
      <c r="B37" s="283" t="s">
        <v>827</v>
      </c>
      <c r="C37" s="220">
        <v>0.85</v>
      </c>
      <c r="D37" s="293">
        <f>(1.3*1.15)-1</f>
        <v>0.49499999999999988</v>
      </c>
      <c r="E37" s="293">
        <f>(1.7*1.3)-1</f>
        <v>1.21</v>
      </c>
      <c r="F37" s="220">
        <v>2</v>
      </c>
      <c r="G37" s="220">
        <v>100</v>
      </c>
      <c r="H37" s="220">
        <v>1</v>
      </c>
      <c r="I37" s="220"/>
      <c r="L37" s="21">
        <f t="shared" si="9"/>
        <v>10</v>
      </c>
      <c r="M37" s="287"/>
      <c r="N37" s="220"/>
      <c r="O37" s="220"/>
      <c r="P37" s="220"/>
      <c r="Q37" s="220"/>
      <c r="R37" s="220"/>
      <c r="S37" s="220"/>
      <c r="T37" s="220"/>
    </row>
    <row r="38" spans="1:20">
      <c r="A38" s="21">
        <f t="shared" si="8"/>
        <v>11</v>
      </c>
      <c r="B38" s="275" t="s">
        <v>856</v>
      </c>
      <c r="C38" s="220">
        <v>7.6899999999999996E-2</v>
      </c>
      <c r="D38" s="293">
        <v>0.04</v>
      </c>
      <c r="E38" s="293">
        <v>0.17</v>
      </c>
      <c r="F38" s="220">
        <v>1</v>
      </c>
      <c r="G38" s="220">
        <v>3</v>
      </c>
      <c r="H38" s="220">
        <v>1</v>
      </c>
      <c r="I38" s="220"/>
      <c r="L38" s="21">
        <f t="shared" si="9"/>
        <v>11</v>
      </c>
      <c r="M38" s="284"/>
      <c r="N38" s="220"/>
      <c r="O38" s="220"/>
      <c r="P38" s="220"/>
      <c r="Q38" s="220"/>
      <c r="R38" s="220"/>
      <c r="S38" s="220"/>
      <c r="T38" s="220"/>
    </row>
    <row r="39" spans="1:20">
      <c r="A39" s="21">
        <f t="shared" si="8"/>
        <v>12</v>
      </c>
      <c r="B39" s="283" t="s">
        <v>858</v>
      </c>
      <c r="C39" s="220">
        <v>8000</v>
      </c>
      <c r="D39" s="293">
        <f>0.5*24*365</f>
        <v>4380</v>
      </c>
      <c r="E39" s="293">
        <f>(365-3)*24</f>
        <v>8688</v>
      </c>
      <c r="F39" s="220">
        <v>1</v>
      </c>
      <c r="G39" s="220">
        <v>6</v>
      </c>
      <c r="H39" s="220">
        <v>1</v>
      </c>
      <c r="I39" s="220"/>
      <c r="L39" s="21">
        <f t="shared" si="9"/>
        <v>12</v>
      </c>
      <c r="M39" s="283"/>
      <c r="N39" s="220"/>
      <c r="O39" s="220"/>
      <c r="P39" s="220"/>
      <c r="Q39" s="220"/>
      <c r="R39" s="220"/>
      <c r="S39" s="220"/>
      <c r="T39" s="220"/>
    </row>
    <row r="40" spans="1:20">
      <c r="A40" s="21">
        <f t="shared" si="8"/>
        <v>13</v>
      </c>
      <c r="B40" s="283" t="s">
        <v>828</v>
      </c>
      <c r="C40" s="220">
        <v>62</v>
      </c>
      <c r="D40" s="293">
        <v>38</v>
      </c>
      <c r="E40" s="293">
        <v>200</v>
      </c>
      <c r="F40" s="220">
        <v>4</v>
      </c>
      <c r="G40" s="220">
        <v>27</v>
      </c>
      <c r="H40" s="220">
        <v>1</v>
      </c>
      <c r="I40" s="220"/>
      <c r="L40" s="21">
        <f t="shared" si="9"/>
        <v>13</v>
      </c>
      <c r="M40" s="283"/>
      <c r="N40" s="220"/>
      <c r="O40" s="220"/>
      <c r="P40" s="220"/>
      <c r="Q40" s="220"/>
      <c r="R40" s="220"/>
      <c r="S40" s="220"/>
      <c r="T40" s="220"/>
    </row>
    <row r="41" spans="1:20">
      <c r="A41" s="21">
        <f t="shared" si="8"/>
        <v>14</v>
      </c>
      <c r="B41" s="283" t="s">
        <v>829</v>
      </c>
      <c r="C41" s="220">
        <v>32</v>
      </c>
      <c r="D41" s="293">
        <v>16.18</v>
      </c>
      <c r="E41" s="293">
        <v>40.94</v>
      </c>
      <c r="F41" s="220">
        <v>4</v>
      </c>
      <c r="G41" s="220">
        <v>28</v>
      </c>
      <c r="H41" s="220">
        <v>1</v>
      </c>
      <c r="I41" s="220"/>
      <c r="L41" s="21">
        <f t="shared" si="9"/>
        <v>14</v>
      </c>
      <c r="M41" s="275"/>
      <c r="N41" s="220"/>
      <c r="O41" s="220"/>
      <c r="P41" s="220"/>
      <c r="Q41" s="220"/>
      <c r="R41" s="220"/>
      <c r="S41" s="220"/>
      <c r="T41" s="220"/>
    </row>
    <row r="42" spans="1:20">
      <c r="A42" s="21">
        <f t="shared" si="8"/>
        <v>15</v>
      </c>
      <c r="B42" s="288" t="s">
        <v>830</v>
      </c>
      <c r="C42" s="220">
        <v>12</v>
      </c>
      <c r="D42" s="293">
        <v>3.52</v>
      </c>
      <c r="E42" s="293">
        <v>18.95</v>
      </c>
      <c r="F42" s="220">
        <v>4</v>
      </c>
      <c r="G42" s="220">
        <v>12</v>
      </c>
      <c r="H42" s="220">
        <v>1</v>
      </c>
      <c r="I42" s="220"/>
      <c r="L42" s="21">
        <f t="shared" si="9"/>
        <v>15</v>
      </c>
      <c r="M42" s="283"/>
      <c r="N42" s="220"/>
      <c r="O42" s="220"/>
      <c r="P42" s="220"/>
      <c r="Q42" s="220"/>
      <c r="R42" s="220"/>
      <c r="S42" s="220"/>
      <c r="T42" s="220"/>
    </row>
    <row r="43" spans="1:20">
      <c r="A43" s="21">
        <f t="shared" si="8"/>
        <v>16</v>
      </c>
      <c r="B43" s="288" t="s">
        <v>831</v>
      </c>
      <c r="C43" s="220">
        <v>209</v>
      </c>
      <c r="D43" s="293">
        <v>100</v>
      </c>
      <c r="E43" s="293">
        <v>400</v>
      </c>
      <c r="F43" s="220">
        <v>4</v>
      </c>
      <c r="G43" s="220">
        <v>19</v>
      </c>
      <c r="H43" s="220">
        <v>1</v>
      </c>
      <c r="I43" s="220"/>
      <c r="L43" s="21">
        <f t="shared" si="9"/>
        <v>16</v>
      </c>
      <c r="M43" s="283"/>
      <c r="N43" s="220"/>
      <c r="O43" s="220"/>
      <c r="P43" s="220"/>
      <c r="Q43" s="220"/>
      <c r="R43" s="220"/>
      <c r="S43" s="220"/>
      <c r="T43" s="220"/>
    </row>
    <row r="44" spans="1:20">
      <c r="A44" s="21">
        <f t="shared" si="8"/>
        <v>17</v>
      </c>
      <c r="B44" s="284" t="s">
        <v>832</v>
      </c>
      <c r="C44" s="220">
        <v>61.6</v>
      </c>
      <c r="D44" s="293">
        <v>90</v>
      </c>
      <c r="E44" s="293">
        <v>300</v>
      </c>
      <c r="F44" s="220">
        <v>4</v>
      </c>
      <c r="G44" s="220">
        <v>20</v>
      </c>
      <c r="H44" s="220">
        <v>1</v>
      </c>
      <c r="I44" s="220"/>
      <c r="L44" s="21">
        <f t="shared" si="9"/>
        <v>17</v>
      </c>
      <c r="M44" s="283"/>
      <c r="N44" s="220"/>
      <c r="O44" s="220"/>
      <c r="P44" s="220"/>
      <c r="Q44" s="220"/>
      <c r="R44" s="220"/>
      <c r="S44" s="220"/>
      <c r="T44" s="220"/>
    </row>
    <row r="45" spans="1:20">
      <c r="A45" s="21">
        <f t="shared" si="8"/>
        <v>18</v>
      </c>
      <c r="B45" s="284" t="s">
        <v>833</v>
      </c>
      <c r="C45" s="220">
        <v>1320</v>
      </c>
      <c r="D45" s="293">
        <v>600</v>
      </c>
      <c r="E45" s="293">
        <v>2050</v>
      </c>
      <c r="F45" s="220">
        <v>4</v>
      </c>
      <c r="G45" s="220">
        <v>21</v>
      </c>
      <c r="H45" s="220">
        <v>1</v>
      </c>
      <c r="I45" s="220"/>
      <c r="L45" s="21">
        <f t="shared" si="9"/>
        <v>18</v>
      </c>
      <c r="M45" s="288"/>
      <c r="N45" s="220"/>
      <c r="O45" s="220"/>
      <c r="P45" s="220"/>
      <c r="Q45" s="220"/>
      <c r="R45" s="220"/>
      <c r="S45" s="220"/>
      <c r="T45" s="220"/>
    </row>
    <row r="46" spans="1:20">
      <c r="A46" s="21">
        <f t="shared" si="8"/>
        <v>19</v>
      </c>
      <c r="B46" s="38" t="s">
        <v>822</v>
      </c>
      <c r="C46" s="220">
        <v>1200</v>
      </c>
      <c r="D46" s="293">
        <v>500</v>
      </c>
      <c r="E46" s="293">
        <v>1500</v>
      </c>
      <c r="F46" s="220">
        <v>1</v>
      </c>
      <c r="G46" s="220">
        <v>48</v>
      </c>
      <c r="H46" s="220">
        <v>1</v>
      </c>
      <c r="I46" s="220"/>
      <c r="L46" s="21">
        <f t="shared" si="9"/>
        <v>19</v>
      </c>
      <c r="M46" s="288"/>
      <c r="N46" s="220"/>
      <c r="O46" s="220"/>
      <c r="P46" s="220"/>
      <c r="Q46" s="220"/>
      <c r="R46" s="220"/>
      <c r="S46" s="220"/>
      <c r="T46" s="220"/>
    </row>
    <row r="47" spans="1:20">
      <c r="L47" s="21">
        <f t="shared" si="9"/>
        <v>20</v>
      </c>
      <c r="M47" s="284"/>
      <c r="N47" s="220"/>
      <c r="O47" s="220"/>
      <c r="P47" s="220"/>
      <c r="Q47" s="220"/>
      <c r="R47" s="220"/>
      <c r="S47" s="220"/>
      <c r="T47" s="220"/>
    </row>
    <row r="48" spans="1:20">
      <c r="L48" s="21">
        <f t="shared" si="9"/>
        <v>21</v>
      </c>
      <c r="M48" s="284"/>
      <c r="N48" s="220"/>
      <c r="O48" s="220"/>
      <c r="P48" s="220"/>
      <c r="Q48" s="220"/>
      <c r="R48" s="220"/>
      <c r="S48" s="220"/>
      <c r="T48" s="220"/>
    </row>
  </sheetData>
  <mergeCells count="4">
    <mergeCell ref="A1:I1"/>
    <mergeCell ref="L1:T1"/>
    <mergeCell ref="A26:I26"/>
    <mergeCell ref="L26:T26"/>
  </mergeCells>
  <pageMargins left="0.7" right="0.7" top="0.78740157499999996" bottom="0.78740157499999996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L26"/>
  <sheetViews>
    <sheetView workbookViewId="0">
      <selection activeCell="G12" sqref="G12"/>
    </sheetView>
  </sheetViews>
  <sheetFormatPr baseColWidth="10" defaultRowHeight="15.75"/>
  <cols>
    <col min="2" max="2" width="24.5" customWidth="1"/>
    <col min="3" max="3" width="16.375" customWidth="1"/>
  </cols>
  <sheetData>
    <row r="1" spans="1:12" ht="47.25">
      <c r="A1" s="21" t="s">
        <v>204</v>
      </c>
      <c r="B1" s="250" t="s">
        <v>755</v>
      </c>
      <c r="C1" s="260" t="s">
        <v>843</v>
      </c>
      <c r="D1" s="251" t="s">
        <v>839</v>
      </c>
      <c r="E1" s="251" t="s">
        <v>838</v>
      </c>
      <c r="F1" s="251" t="s">
        <v>841</v>
      </c>
      <c r="G1" s="251" t="s">
        <v>840</v>
      </c>
      <c r="H1" s="251" t="s">
        <v>779</v>
      </c>
      <c r="I1" s="251" t="s">
        <v>758</v>
      </c>
      <c r="J1" s="251" t="s">
        <v>759</v>
      </c>
      <c r="K1" s="260" t="s">
        <v>842</v>
      </c>
      <c r="L1" s="260" t="s">
        <v>842</v>
      </c>
    </row>
    <row r="2" spans="1:12">
      <c r="A2" s="21">
        <v>1</v>
      </c>
      <c r="B2" s="246" t="s">
        <v>763</v>
      </c>
      <c r="C2" s="258">
        <v>0.42</v>
      </c>
      <c r="D2" s="220">
        <v>0.3</v>
      </c>
      <c r="E2" s="220">
        <v>0.5</v>
      </c>
      <c r="F2" s="280">
        <v>0.6</v>
      </c>
      <c r="G2" s="256">
        <v>0.8</v>
      </c>
      <c r="H2" s="220">
        <v>1</v>
      </c>
      <c r="I2" s="220">
        <v>27</v>
      </c>
      <c r="J2" s="220">
        <v>1</v>
      </c>
      <c r="K2" s="258">
        <v>0.6</v>
      </c>
      <c r="L2" s="258">
        <v>0.6</v>
      </c>
    </row>
    <row r="3" spans="1:12">
      <c r="A3" s="21">
        <f t="shared" ref="A3:A9" si="0">A2+1</f>
        <v>2</v>
      </c>
      <c r="B3" s="247" t="s">
        <v>772</v>
      </c>
      <c r="C3" s="220">
        <v>0.15</v>
      </c>
      <c r="D3" s="220">
        <v>0.30220000000000002</v>
      </c>
      <c r="E3" s="220">
        <v>0.30220000000000002</v>
      </c>
      <c r="F3" s="220">
        <v>1.4717</v>
      </c>
      <c r="G3" s="220">
        <v>1.4717</v>
      </c>
      <c r="H3" s="220">
        <v>1</v>
      </c>
      <c r="I3" s="220">
        <v>68</v>
      </c>
      <c r="J3" s="220">
        <v>1</v>
      </c>
      <c r="K3" s="258">
        <v>0.1822</v>
      </c>
      <c r="L3" s="258">
        <v>0.1822</v>
      </c>
    </row>
    <row r="4" spans="1:12">
      <c r="A4" s="21">
        <f>A7+1</f>
        <v>5</v>
      </c>
      <c r="B4" s="247" t="s">
        <v>773</v>
      </c>
      <c r="C4" s="258">
        <v>25</v>
      </c>
      <c r="D4" s="220">
        <v>37</v>
      </c>
      <c r="E4" s="220">
        <v>37</v>
      </c>
      <c r="F4" s="220">
        <v>10</v>
      </c>
      <c r="G4" s="220">
        <v>10</v>
      </c>
      <c r="H4" s="221">
        <v>1</v>
      </c>
      <c r="I4" s="221">
        <v>69</v>
      </c>
      <c r="J4" s="221">
        <v>1</v>
      </c>
      <c r="K4" s="258">
        <v>37</v>
      </c>
      <c r="L4" s="258">
        <v>37</v>
      </c>
    </row>
    <row r="5" spans="1:12">
      <c r="A5" s="21">
        <f t="shared" si="0"/>
        <v>6</v>
      </c>
      <c r="B5" s="247" t="s">
        <v>774</v>
      </c>
      <c r="C5" s="258">
        <v>0</v>
      </c>
      <c r="D5" s="220">
        <v>0</v>
      </c>
      <c r="E5" s="220">
        <v>0</v>
      </c>
      <c r="F5" s="220">
        <v>0</v>
      </c>
      <c r="G5" s="220">
        <v>0</v>
      </c>
      <c r="H5" s="221">
        <v>1</v>
      </c>
      <c r="I5" s="221">
        <v>38</v>
      </c>
      <c r="J5" s="221">
        <v>1</v>
      </c>
      <c r="K5" s="258">
        <v>1</v>
      </c>
      <c r="L5" s="258">
        <v>1</v>
      </c>
    </row>
    <row r="6" spans="1:12">
      <c r="A6" s="21">
        <f>A3+1</f>
        <v>3</v>
      </c>
      <c r="B6" s="247" t="s">
        <v>762</v>
      </c>
      <c r="C6" s="259">
        <v>75</v>
      </c>
      <c r="D6" s="220">
        <v>150</v>
      </c>
      <c r="E6" s="220">
        <v>150</v>
      </c>
      <c r="F6" s="220">
        <v>100</v>
      </c>
      <c r="G6" s="220">
        <v>100</v>
      </c>
      <c r="H6" s="222">
        <v>4</v>
      </c>
      <c r="I6" s="222">
        <v>2</v>
      </c>
      <c r="J6" s="222">
        <v>8</v>
      </c>
      <c r="K6" s="259">
        <v>115</v>
      </c>
      <c r="L6" s="259">
        <v>115</v>
      </c>
    </row>
    <row r="7" spans="1:12">
      <c r="A7" s="21">
        <f>A6+1</f>
        <v>4</v>
      </c>
      <c r="B7" s="247" t="s">
        <v>85</v>
      </c>
      <c r="C7" s="258">
        <v>125</v>
      </c>
      <c r="D7" s="220">
        <v>185</v>
      </c>
      <c r="E7" s="220">
        <v>185</v>
      </c>
      <c r="F7" s="220">
        <v>190</v>
      </c>
      <c r="G7" s="220">
        <v>190</v>
      </c>
      <c r="H7" s="221">
        <v>4</v>
      </c>
      <c r="I7" s="221">
        <v>1</v>
      </c>
      <c r="J7" s="221">
        <v>1</v>
      </c>
      <c r="K7" s="258">
        <v>155</v>
      </c>
      <c r="L7" s="258">
        <v>155</v>
      </c>
    </row>
    <row r="8" spans="1:12">
      <c r="A8" s="21">
        <f>A5+1</f>
        <v>7</v>
      </c>
      <c r="B8" s="247" t="s">
        <v>565</v>
      </c>
      <c r="C8" s="220">
        <v>0.64</v>
      </c>
      <c r="D8" s="220">
        <v>0.64</v>
      </c>
      <c r="E8" s="220">
        <v>0.64</v>
      </c>
      <c r="F8" s="220">
        <v>0.5</v>
      </c>
      <c r="G8" s="220">
        <v>0.5</v>
      </c>
      <c r="H8" s="221">
        <v>4</v>
      </c>
      <c r="I8" s="221">
        <v>6</v>
      </c>
      <c r="J8" s="221">
        <v>7</v>
      </c>
      <c r="K8" s="220">
        <v>0.64</v>
      </c>
      <c r="L8" s="220">
        <v>0.64</v>
      </c>
    </row>
    <row r="9" spans="1:12">
      <c r="A9" s="21">
        <f t="shared" si="0"/>
        <v>8</v>
      </c>
      <c r="B9" s="247" t="s">
        <v>292</v>
      </c>
      <c r="C9" s="220">
        <v>0</v>
      </c>
      <c r="D9" s="220">
        <v>1</v>
      </c>
      <c r="E9" s="220">
        <v>1</v>
      </c>
      <c r="F9" s="220">
        <v>0.75</v>
      </c>
      <c r="G9" s="220">
        <v>0.75</v>
      </c>
      <c r="H9" s="221">
        <v>4</v>
      </c>
      <c r="I9" s="221">
        <v>7</v>
      </c>
      <c r="J9" s="221">
        <v>7</v>
      </c>
      <c r="K9" s="220">
        <v>1</v>
      </c>
      <c r="L9" s="220">
        <v>1</v>
      </c>
    </row>
    <row r="10" spans="1:12">
      <c r="A10" s="21">
        <v>9</v>
      </c>
      <c r="B10" s="247" t="s">
        <v>620</v>
      </c>
      <c r="C10" s="225">
        <v>0.04</v>
      </c>
      <c r="D10" s="220">
        <v>0</v>
      </c>
      <c r="E10" s="220">
        <v>0</v>
      </c>
      <c r="F10" s="220">
        <v>0</v>
      </c>
      <c r="G10" s="221">
        <v>0</v>
      </c>
      <c r="H10" s="221">
        <v>4</v>
      </c>
      <c r="I10" s="221">
        <v>8</v>
      </c>
      <c r="J10" s="221">
        <v>7</v>
      </c>
      <c r="K10" s="225">
        <v>0</v>
      </c>
      <c r="L10" s="225">
        <v>0</v>
      </c>
    </row>
    <row r="11" spans="1:12">
      <c r="C11" t="s">
        <v>775</v>
      </c>
      <c r="D11" t="s">
        <v>775</v>
      </c>
      <c r="E11" t="s">
        <v>776</v>
      </c>
    </row>
    <row r="14" spans="1:12" ht="47.25">
      <c r="A14" s="21" t="s">
        <v>204</v>
      </c>
      <c r="B14" s="250" t="s">
        <v>755</v>
      </c>
      <c r="C14" s="260" t="s">
        <v>781</v>
      </c>
      <c r="D14" s="251" t="s">
        <v>782</v>
      </c>
      <c r="E14" s="251" t="s">
        <v>783</v>
      </c>
      <c r="F14" s="251" t="s">
        <v>787</v>
      </c>
      <c r="G14" s="251" t="s">
        <v>758</v>
      </c>
      <c r="H14" s="251" t="s">
        <v>759</v>
      </c>
      <c r="I14" s="251" t="s">
        <v>788</v>
      </c>
      <c r="J14" s="251" t="s">
        <v>789</v>
      </c>
      <c r="K14" s="251" t="s">
        <v>790</v>
      </c>
    </row>
    <row r="15" spans="1:12">
      <c r="A15" s="21">
        <v>1</v>
      </c>
      <c r="B15" s="246" t="s">
        <v>780</v>
      </c>
      <c r="C15" s="258">
        <v>0.05</v>
      </c>
      <c r="D15" s="220">
        <v>0.08</v>
      </c>
      <c r="E15" s="261">
        <v>7.4999999999999997E-2</v>
      </c>
      <c r="F15" s="220">
        <v>1</v>
      </c>
      <c r="G15" s="220">
        <v>59</v>
      </c>
      <c r="H15" s="220">
        <v>1</v>
      </c>
      <c r="I15" s="220"/>
      <c r="J15" s="220"/>
      <c r="K15" s="220"/>
    </row>
    <row r="16" spans="1:12">
      <c r="A16" s="21">
        <f t="shared" ref="A16:A22" si="1">A15+1</f>
        <v>2</v>
      </c>
      <c r="B16" s="247" t="s">
        <v>785</v>
      </c>
      <c r="C16" s="258">
        <v>0.05</v>
      </c>
      <c r="D16" s="220">
        <v>0.12</v>
      </c>
      <c r="E16" s="220">
        <f>0.25-E15</f>
        <v>0.17499999999999999</v>
      </c>
      <c r="F16" s="220">
        <v>1</v>
      </c>
      <c r="G16" s="220">
        <v>60</v>
      </c>
      <c r="H16" s="220">
        <v>1</v>
      </c>
      <c r="I16" s="220"/>
      <c r="J16" s="220"/>
      <c r="K16" s="220"/>
    </row>
    <row r="17" spans="1:11">
      <c r="A17" s="21">
        <f>A20+1</f>
        <v>5</v>
      </c>
      <c r="B17" s="247" t="s">
        <v>784</v>
      </c>
      <c r="C17" s="258">
        <v>0</v>
      </c>
      <c r="D17" s="220">
        <v>30</v>
      </c>
      <c r="E17" s="220">
        <v>80</v>
      </c>
      <c r="F17" s="221">
        <v>1</v>
      </c>
      <c r="G17" s="221">
        <v>57</v>
      </c>
      <c r="H17" s="221">
        <v>1</v>
      </c>
      <c r="I17" s="220"/>
      <c r="J17" s="220"/>
      <c r="K17" s="220"/>
    </row>
    <row r="18" spans="1:11">
      <c r="A18" s="21">
        <f t="shared" si="1"/>
        <v>6</v>
      </c>
      <c r="B18" s="247" t="s">
        <v>765</v>
      </c>
      <c r="C18" s="258">
        <v>70</v>
      </c>
      <c r="D18" s="220">
        <v>80</v>
      </c>
      <c r="E18" s="220">
        <v>90</v>
      </c>
      <c r="F18" s="221">
        <v>1</v>
      </c>
      <c r="G18" s="221">
        <v>56</v>
      </c>
      <c r="H18" s="221">
        <v>1</v>
      </c>
      <c r="I18" s="220"/>
      <c r="J18" s="220"/>
      <c r="K18" s="220"/>
    </row>
    <row r="19" spans="1:11">
      <c r="A19" s="21">
        <f>A16+1</f>
        <v>3</v>
      </c>
      <c r="B19" s="247"/>
      <c r="C19" s="259"/>
      <c r="D19" s="220"/>
      <c r="E19" s="220"/>
      <c r="F19" s="220"/>
      <c r="G19" s="220"/>
      <c r="H19" s="222"/>
      <c r="I19" s="262"/>
      <c r="J19" s="262"/>
      <c r="K19" s="220"/>
    </row>
    <row r="20" spans="1:11">
      <c r="A20" s="21">
        <f>A19+1</f>
        <v>4</v>
      </c>
      <c r="B20" s="247"/>
      <c r="C20" s="258"/>
      <c r="D20" s="220"/>
      <c r="E20" s="220"/>
      <c r="F20" s="220"/>
      <c r="G20" s="220"/>
      <c r="H20" s="221"/>
      <c r="I20" s="221"/>
      <c r="J20" s="221"/>
      <c r="K20" s="220"/>
    </row>
    <row r="21" spans="1:11">
      <c r="A21" s="21">
        <f>A18+1</f>
        <v>7</v>
      </c>
      <c r="B21" s="247"/>
      <c r="C21" s="220"/>
      <c r="D21" s="220"/>
      <c r="E21" s="220"/>
      <c r="F21" s="220"/>
      <c r="G21" s="220"/>
      <c r="H21" s="221"/>
      <c r="I21" s="221"/>
      <c r="J21" s="221"/>
      <c r="K21" s="220"/>
    </row>
    <row r="22" spans="1:11">
      <c r="A22" s="21">
        <f t="shared" si="1"/>
        <v>8</v>
      </c>
      <c r="B22" s="247"/>
      <c r="C22" s="220"/>
      <c r="D22" s="220"/>
      <c r="E22" s="220"/>
      <c r="F22" s="220"/>
      <c r="G22" s="220"/>
      <c r="H22" s="221"/>
      <c r="I22" s="221"/>
      <c r="J22" s="221"/>
      <c r="K22" s="220"/>
    </row>
    <row r="23" spans="1:11">
      <c r="A23" s="21">
        <v>9</v>
      </c>
      <c r="B23" s="247"/>
      <c r="C23" s="225"/>
      <c r="D23" s="220"/>
      <c r="E23" s="220"/>
      <c r="F23" s="220"/>
      <c r="G23" s="221"/>
      <c r="H23" s="221"/>
      <c r="I23" s="221"/>
      <c r="J23" s="221"/>
      <c r="K23" s="220"/>
    </row>
    <row r="24" spans="1:11">
      <c r="B24" t="s">
        <v>786</v>
      </c>
      <c r="C24">
        <f>C15/(C15+C16)</f>
        <v>0.5</v>
      </c>
      <c r="D24" s="261">
        <f t="shared" ref="D24:E24" si="2">D15/(D15+D16)</f>
        <v>0.39999999999999997</v>
      </c>
      <c r="E24" s="261">
        <f t="shared" si="2"/>
        <v>0.3</v>
      </c>
    </row>
    <row r="26" spans="1:11">
      <c r="E26" s="104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2">
    <tabColor theme="4" tint="-0.249977111117893"/>
  </sheetPr>
  <dimension ref="A1:AK132"/>
  <sheetViews>
    <sheetView topLeftCell="A4" zoomScale="80" zoomScaleNormal="80" workbookViewId="0">
      <pane xSplit="1" topLeftCell="B1" activePane="topRight" state="frozen"/>
      <selection activeCell="B69" sqref="B69"/>
      <selection pane="topRight" activeCell="C14" sqref="C14"/>
    </sheetView>
  </sheetViews>
  <sheetFormatPr baseColWidth="10" defaultRowHeight="15.75"/>
  <cols>
    <col min="2" max="2" width="26.625" customWidth="1"/>
    <col min="4" max="4" width="17.125" customWidth="1"/>
    <col min="5" max="5" width="17.625" customWidth="1"/>
    <col min="7" max="7" width="17.625" customWidth="1"/>
    <col min="12" max="12" width="26.125" customWidth="1"/>
    <col min="13" max="16" width="11.5" customWidth="1"/>
    <col min="18" max="18" width="16.625" customWidth="1"/>
    <col min="21" max="21" width="18.5" customWidth="1"/>
    <col min="24" max="24" width="14.125" customWidth="1"/>
    <col min="26" max="26" width="12.125" customWidth="1"/>
    <col min="36" max="36" width="13.125" customWidth="1"/>
  </cols>
  <sheetData>
    <row r="1" spans="1:37">
      <c r="A1" s="22"/>
      <c r="B1" s="326" t="s">
        <v>534</v>
      </c>
      <c r="C1" s="326"/>
      <c r="D1" s="326"/>
      <c r="E1" s="326"/>
      <c r="F1" s="326"/>
      <c r="G1" s="326" t="s">
        <v>535</v>
      </c>
      <c r="H1" s="326"/>
      <c r="I1" s="326"/>
      <c r="J1" s="326"/>
      <c r="K1" s="326"/>
      <c r="L1" s="326" t="s">
        <v>536</v>
      </c>
      <c r="M1" s="326"/>
      <c r="N1" s="326"/>
      <c r="O1" s="326"/>
      <c r="P1" s="326"/>
      <c r="Q1" s="326"/>
      <c r="R1" s="326"/>
      <c r="S1" s="326"/>
      <c r="T1" s="326"/>
      <c r="U1" s="326"/>
      <c r="V1" s="97"/>
      <c r="X1" s="326" t="s">
        <v>582</v>
      </c>
      <c r="Y1" s="326"/>
      <c r="Z1" s="326"/>
      <c r="AA1" s="326"/>
      <c r="AB1" s="326"/>
      <c r="AC1" s="326"/>
      <c r="AD1" s="326"/>
      <c r="AE1" s="326"/>
      <c r="AF1" s="326"/>
      <c r="AG1" s="326"/>
      <c r="AH1" s="326"/>
      <c r="AI1" s="326"/>
      <c r="AJ1" s="326"/>
    </row>
    <row r="2" spans="1:37" ht="63">
      <c r="A2" s="22" t="s">
        <v>204</v>
      </c>
      <c r="B2" s="22" t="s">
        <v>196</v>
      </c>
      <c r="C2" s="22" t="s">
        <v>23</v>
      </c>
      <c r="D2" s="67" t="s">
        <v>197</v>
      </c>
      <c r="E2" s="67" t="s">
        <v>198</v>
      </c>
      <c r="F2" s="22" t="s">
        <v>24</v>
      </c>
      <c r="G2" s="22" t="s">
        <v>196</v>
      </c>
      <c r="H2" s="22" t="s">
        <v>23</v>
      </c>
      <c r="I2" s="67" t="s">
        <v>258</v>
      </c>
      <c r="J2" s="67" t="s">
        <v>198</v>
      </c>
      <c r="K2" s="22" t="s">
        <v>531</v>
      </c>
      <c r="L2" s="22" t="s">
        <v>196</v>
      </c>
      <c r="M2" s="22" t="s">
        <v>208</v>
      </c>
      <c r="N2" s="22" t="s">
        <v>209</v>
      </c>
      <c r="O2" s="22" t="s">
        <v>210</v>
      </c>
      <c r="P2" s="22" t="s">
        <v>211</v>
      </c>
      <c r="Q2" s="22" t="s">
        <v>212</v>
      </c>
      <c r="R2" s="22" t="s">
        <v>308</v>
      </c>
      <c r="S2" s="67" t="s">
        <v>213</v>
      </c>
      <c r="T2" s="67" t="s">
        <v>305</v>
      </c>
      <c r="U2" s="22" t="s">
        <v>306</v>
      </c>
      <c r="V2" s="22" t="s">
        <v>307</v>
      </c>
      <c r="X2" s="22"/>
      <c r="Y2" s="67" t="s">
        <v>540</v>
      </c>
      <c r="Z2" s="67" t="s">
        <v>541</v>
      </c>
      <c r="AA2" s="67" t="s">
        <v>542</v>
      </c>
      <c r="AB2" s="67" t="s">
        <v>543</v>
      </c>
      <c r="AC2" s="67" t="s">
        <v>544</v>
      </c>
      <c r="AD2" s="67" t="s">
        <v>545</v>
      </c>
      <c r="AE2" s="67" t="s">
        <v>546</v>
      </c>
      <c r="AF2" s="67" t="s">
        <v>547</v>
      </c>
      <c r="AG2" s="67" t="s">
        <v>548</v>
      </c>
      <c r="AH2" s="67" t="s">
        <v>549</v>
      </c>
      <c r="AI2" s="67" t="s">
        <v>550</v>
      </c>
      <c r="AJ2" s="67" t="s">
        <v>551</v>
      </c>
    </row>
    <row r="3" spans="1:37">
      <c r="A3" s="22">
        <v>1</v>
      </c>
      <c r="B3" t="str">
        <f>Assumptions!A13</f>
        <v>capacity of plant</v>
      </c>
      <c r="C3" s="97">
        <f>Assumptions!B13</f>
        <v>1360000</v>
      </c>
      <c r="D3" s="97"/>
      <c r="E3" s="97"/>
      <c r="F3" t="str">
        <f>Assumptions!C13</f>
        <v>t cement produced /a</v>
      </c>
      <c r="G3" t="s">
        <v>200</v>
      </c>
      <c r="H3" s="97">
        <f>'CHEPCI &amp; Location factors'!B2</f>
        <v>102.4</v>
      </c>
      <c r="I3" s="97">
        <f>'CHEPCI &amp; Location factors'!A2</f>
        <v>1963</v>
      </c>
      <c r="J3" s="97"/>
      <c r="K3" s="149"/>
      <c r="L3" t="s">
        <v>205</v>
      </c>
      <c r="M3" s="97">
        <f>'Timmerhaus 1991'!D19</f>
        <v>1.3741000000000001</v>
      </c>
      <c r="N3" s="97">
        <f>'Timmerhaus 1991'!E19</f>
        <v>1744.4</v>
      </c>
      <c r="O3" s="97">
        <f>'Timmerhaus 1991'!F19</f>
        <v>113254</v>
      </c>
      <c r="P3" s="97"/>
      <c r="Q3" s="97"/>
      <c r="R3" s="97"/>
      <c r="S3" s="97">
        <f>'Timmerhaus 1991'!$A$3</f>
        <v>43.294698462490203</v>
      </c>
      <c r="T3" s="97">
        <f>'Timmerhaus 1991'!$A$20</f>
        <v>558.60615328821098</v>
      </c>
      <c r="U3" s="97">
        <v>1991</v>
      </c>
      <c r="V3" s="97">
        <v>14</v>
      </c>
      <c r="X3" s="22" t="str">
        <f>Assumptions!G15</f>
        <v>T in [°C]</v>
      </c>
      <c r="Y3" s="97">
        <f>Assumptions!H15</f>
        <v>25</v>
      </c>
      <c r="Z3" s="97">
        <f>Assumptions!I15</f>
        <v>25</v>
      </c>
      <c r="AA3" s="97">
        <f>Assumptions!J15</f>
        <v>25</v>
      </c>
      <c r="AB3" s="97">
        <f>Assumptions!K15</f>
        <v>25</v>
      </c>
      <c r="AC3" s="97">
        <f>Assumptions!L15</f>
        <v>25</v>
      </c>
      <c r="AD3" s="97">
        <f>Assumptions!M15</f>
        <v>25</v>
      </c>
      <c r="AE3" s="97">
        <f>Assumptions!N15</f>
        <v>25</v>
      </c>
      <c r="AF3" s="97">
        <f>Assumptions!O15</f>
        <v>190</v>
      </c>
      <c r="AG3" s="97">
        <f>Assumptions!P15</f>
        <v>25</v>
      </c>
      <c r="AH3" s="97">
        <f>Assumptions!Q15</f>
        <v>25</v>
      </c>
      <c r="AI3" s="97">
        <f>Assumptions!R15</f>
        <v>25</v>
      </c>
      <c r="AJ3" s="97">
        <f>Assumptions!S15</f>
        <v>25</v>
      </c>
    </row>
    <row r="4" spans="1:37">
      <c r="A4" s="22">
        <f>A3+1</f>
        <v>2</v>
      </c>
      <c r="B4" t="str">
        <f>Assumptions!A14</f>
        <v>Lifetime of the plant</v>
      </c>
      <c r="C4" s="97">
        <f>Assumptions!B14</f>
        <v>30</v>
      </c>
      <c r="D4" s="97"/>
      <c r="E4" s="97"/>
      <c r="F4" t="str">
        <f>Assumptions!C14</f>
        <v>Years</v>
      </c>
      <c r="G4" t="s">
        <v>200</v>
      </c>
      <c r="H4" s="97">
        <f>'CHEPCI &amp; Location factors'!B3</f>
        <v>103.3</v>
      </c>
      <c r="I4" s="97">
        <f>'CHEPCI &amp; Location factors'!A3</f>
        <v>1964</v>
      </c>
      <c r="J4" s="97"/>
      <c r="K4" s="149"/>
      <c r="L4" t="s">
        <v>206</v>
      </c>
      <c r="M4" s="97">
        <f>'Timmerhaus 1991'!D38</f>
        <v>1.9999999999999999E-7</v>
      </c>
      <c r="N4" s="97">
        <f>'Timmerhaus 1991'!E38</f>
        <v>1.1999999999999999E-3</v>
      </c>
      <c r="O4" s="97">
        <f>'Timmerhaus 1991'!F38</f>
        <v>-3.2789000000000001</v>
      </c>
      <c r="P4" s="97">
        <f>'Timmerhaus 1991'!G38</f>
        <v>4476.5</v>
      </c>
      <c r="Q4" s="97">
        <f>'Timmerhaus 1991'!H38</f>
        <v>136981</v>
      </c>
      <c r="R4" s="97"/>
      <c r="S4" s="97">
        <f>'Timmerhaus 1991'!A24</f>
        <v>51.841404327671398</v>
      </c>
      <c r="T4" s="97">
        <f>'Timmerhaus 1991'!A45</f>
        <v>2858.2049835816501</v>
      </c>
      <c r="U4" s="97">
        <v>1991</v>
      </c>
      <c r="V4" s="97">
        <v>14</v>
      </c>
      <c r="X4" s="22" t="str">
        <f>Assumptions!G16</f>
        <v>P in [bar]</v>
      </c>
      <c r="Y4" s="97">
        <f>Assumptions!H16</f>
        <v>1</v>
      </c>
      <c r="Z4" s="97">
        <f>Assumptions!I16</f>
        <v>1</v>
      </c>
      <c r="AA4" s="97">
        <f>Assumptions!J16</f>
        <v>1</v>
      </c>
      <c r="AB4" s="97">
        <f>Assumptions!K16</f>
        <v>1</v>
      </c>
      <c r="AC4" s="97">
        <f>Assumptions!L16</f>
        <v>1</v>
      </c>
      <c r="AD4" s="97">
        <f>Assumptions!M16</f>
        <v>1</v>
      </c>
      <c r="AE4" s="97">
        <f>Assumptions!N16</f>
        <v>1</v>
      </c>
      <c r="AF4" s="97">
        <f>Assumptions!O16</f>
        <v>100</v>
      </c>
      <c r="AG4" s="97">
        <f>Assumptions!P16</f>
        <v>1</v>
      </c>
      <c r="AH4" s="97">
        <f>Assumptions!Q16</f>
        <v>1</v>
      </c>
      <c r="AI4" s="97">
        <f>Assumptions!R16</f>
        <v>1</v>
      </c>
      <c r="AJ4" s="97">
        <f>Assumptions!S16</f>
        <v>1</v>
      </c>
    </row>
    <row r="5" spans="1:37" ht="31.5" customHeight="1">
      <c r="A5" s="22">
        <f t="shared" ref="A5:A68" si="0">A4+1</f>
        <v>3</v>
      </c>
      <c r="B5" t="str">
        <f>Assumptions!A15</f>
        <v>Interest rate</v>
      </c>
      <c r="C5" s="97">
        <f>Assumptions!B15</f>
        <v>7.6899999999999996E-2</v>
      </c>
      <c r="D5" s="97"/>
      <c r="E5" s="97"/>
      <c r="F5">
        <f>Assumptions!C15</f>
        <v>0</v>
      </c>
      <c r="G5" t="s">
        <v>200</v>
      </c>
      <c r="H5" s="97">
        <f>'CHEPCI &amp; Location factors'!B4</f>
        <v>104.2</v>
      </c>
      <c r="I5" s="97">
        <f>'CHEPCI &amp; Location factors'!A4</f>
        <v>1965</v>
      </c>
      <c r="J5" s="97"/>
      <c r="K5" s="149"/>
      <c r="L5" t="s">
        <v>207</v>
      </c>
      <c r="M5" s="97">
        <f>'Timmerhaus 1991'!D64</f>
        <v>33352</v>
      </c>
      <c r="N5" s="97">
        <f>'Timmerhaus 1991'!E64</f>
        <v>0.52380000000000004</v>
      </c>
      <c r="O5" s="97"/>
      <c r="P5" s="97"/>
      <c r="Q5" s="97"/>
      <c r="R5" s="97"/>
      <c r="S5" s="97">
        <f>'Timmerhaus 1991'!$A$49</f>
        <v>21.716140037714698</v>
      </c>
      <c r="T5" s="97">
        <f>'Timmerhaus 1991'!$A$76</f>
        <v>9375.6703526115198</v>
      </c>
      <c r="U5" s="97">
        <v>1991</v>
      </c>
      <c r="V5" s="97">
        <v>14</v>
      </c>
      <c r="X5" s="67" t="str">
        <f>Assumptions!G28</f>
        <v>Electricity [KWh/t]</v>
      </c>
      <c r="Y5" s="97">
        <f>Assumptions!H28</f>
        <v>0</v>
      </c>
      <c r="AA5" s="97">
        <f>Assumptions!J28</f>
        <v>2</v>
      </c>
      <c r="AC5" s="97">
        <f>Assumptions!L28</f>
        <v>81</v>
      </c>
      <c r="AD5" s="97">
        <f>Assumptions!M28</f>
        <v>0</v>
      </c>
      <c r="AG5" s="97">
        <f>Assumptions!P28</f>
        <v>17.49204665959703</v>
      </c>
      <c r="AI5" s="97">
        <f>Assumptions!R28</f>
        <v>13</v>
      </c>
      <c r="AK5" s="324" t="s">
        <v>349</v>
      </c>
    </row>
    <row r="6" spans="1:37" ht="47.25">
      <c r="A6" s="22">
        <f t="shared" si="0"/>
        <v>4</v>
      </c>
      <c r="B6" t="str">
        <f>Assumptions!A16</f>
        <v>CO2 in flue gas from cement production</v>
      </c>
      <c r="C6" s="97">
        <f>Assumptions!B16</f>
        <v>23.5</v>
      </c>
      <c r="D6" s="97"/>
      <c r="E6" s="97"/>
      <c r="F6" t="str">
        <f>Assumptions!C16</f>
        <v>% (w/w)</v>
      </c>
      <c r="G6" t="s">
        <v>200</v>
      </c>
      <c r="H6" s="97">
        <f>'CHEPCI &amp; Location factors'!B5</f>
        <v>107.9</v>
      </c>
      <c r="I6" s="97">
        <f>'CHEPCI &amp; Location factors'!A5</f>
        <v>1966</v>
      </c>
      <c r="J6" s="97"/>
      <c r="K6" s="149"/>
      <c r="L6" s="7" t="s">
        <v>264</v>
      </c>
      <c r="M6" s="97">
        <f>'Capex-Sinott et al.'!G20</f>
        <v>37.777777780000001</v>
      </c>
      <c r="N6" s="97">
        <f>'Capex-Sinott et al.'!H20</f>
        <v>148.88888890000001</v>
      </c>
      <c r="O6" s="97">
        <f>'Capex-Sinott et al.'!I20</f>
        <v>260</v>
      </c>
      <c r="P6" s="97">
        <f>'Capex-Sinott et al.'!J20</f>
        <v>371.11111110000002</v>
      </c>
      <c r="Q6" s="97">
        <f>'Capex-Sinott et al.'!K20</f>
        <v>482.22222219999998</v>
      </c>
      <c r="R6" s="97"/>
      <c r="S6" s="97"/>
      <c r="T6" s="97"/>
      <c r="U6" s="97"/>
      <c r="V6" s="97"/>
      <c r="X6" s="67" t="str">
        <f>Assumptions!G29</f>
        <v>Heating requirements [GJ/t CO2]</v>
      </c>
      <c r="Y6" s="97">
        <f>Assumptions!H29</f>
        <v>0</v>
      </c>
      <c r="AA6" s="97">
        <f>Assumptions!J29</f>
        <v>0</v>
      </c>
      <c r="AC6" s="97">
        <f>Assumptions!L29</f>
        <v>0</v>
      </c>
      <c r="AG6" s="97">
        <f>Assumptions!P29</f>
        <v>0</v>
      </c>
      <c r="AI6" s="97">
        <f>Assumptions!R29</f>
        <v>3.6</v>
      </c>
      <c r="AK6" s="324"/>
    </row>
    <row r="7" spans="1:37" ht="47.25">
      <c r="A7" s="22">
        <f t="shared" si="0"/>
        <v>5</v>
      </c>
      <c r="B7">
        <f>Assumptions!A17</f>
        <v>0</v>
      </c>
      <c r="C7" s="97">
        <f>Assumptions!B17</f>
        <v>0</v>
      </c>
      <c r="D7" s="97"/>
      <c r="E7" s="97"/>
      <c r="G7" t="s">
        <v>200</v>
      </c>
      <c r="H7" s="97">
        <f>'CHEPCI &amp; Location factors'!B6</f>
        <v>109.7</v>
      </c>
      <c r="I7" s="97">
        <f>'CHEPCI &amp; Location factors'!A6</f>
        <v>1967</v>
      </c>
      <c r="J7" s="97"/>
      <c r="K7" s="149"/>
      <c r="L7" s="7" t="s">
        <v>263</v>
      </c>
      <c r="M7" s="97">
        <f>'Capex-Sinott et al.'!G21</f>
        <v>88.942369080000006</v>
      </c>
      <c r="N7" s="97">
        <f>'Capex-Sinott et al.'!H21</f>
        <v>88.942369080000006</v>
      </c>
      <c r="O7" s="97">
        <f>'Capex-Sinott et al.'!I21</f>
        <v>88.942369080000006</v>
      </c>
      <c r="P7" s="97">
        <f>'Capex-Sinott et al.'!J21</f>
        <v>79.289708869999998</v>
      </c>
      <c r="Q7" s="97">
        <f>'Capex-Sinott et al.'!K21</f>
        <v>40.679068030000003</v>
      </c>
      <c r="R7" s="97"/>
      <c r="S7" s="97"/>
      <c r="T7" s="97"/>
      <c r="U7" s="97"/>
      <c r="V7" s="97"/>
      <c r="X7" s="67" t="str">
        <f>Assumptions!G30</f>
        <v>cooling water [m3/tonne CO2]</v>
      </c>
      <c r="Y7" s="97">
        <f>Assumptions!H30</f>
        <v>0</v>
      </c>
      <c r="AA7" s="97">
        <f>Assumptions!J30</f>
        <v>0</v>
      </c>
      <c r="AC7" s="97">
        <f>Assumptions!L30</f>
        <v>0</v>
      </c>
      <c r="AG7" s="97">
        <f>Assumptions!P30</f>
        <v>0</v>
      </c>
      <c r="AI7" s="97">
        <f>Assumptions!R30</f>
        <v>3.3917000000000002</v>
      </c>
      <c r="AK7" s="324"/>
    </row>
    <row r="8" spans="1:37" ht="31.5">
      <c r="A8" s="22">
        <f t="shared" si="0"/>
        <v>6</v>
      </c>
      <c r="B8" t="str">
        <f>Assumptions!A18</f>
        <v>Operation hours</v>
      </c>
      <c r="C8" s="97">
        <f>Assumptions!B18</f>
        <v>8000</v>
      </c>
      <c r="D8" s="97"/>
      <c r="E8" s="97"/>
      <c r="F8" t="str">
        <f>Assumptions!C18</f>
        <v>h</v>
      </c>
      <c r="G8" t="s">
        <v>200</v>
      </c>
      <c r="H8" s="97">
        <f>'CHEPCI &amp; Location factors'!B7</f>
        <v>113.7</v>
      </c>
      <c r="I8" s="97">
        <f>'CHEPCI &amp; Location factors'!A7</f>
        <v>1968</v>
      </c>
      <c r="J8" s="97"/>
      <c r="K8" s="149"/>
      <c r="L8" s="7" t="s">
        <v>262</v>
      </c>
      <c r="M8" s="97">
        <f>'Capex-Sinott et al.'!G22</f>
        <v>117.90034970000001</v>
      </c>
      <c r="N8" s="97">
        <f>'Capex-Sinott et al.'!H22</f>
        <v>117.90034970000001</v>
      </c>
      <c r="O8" s="97">
        <f>'Capex-Sinott et al.'!I22</f>
        <v>117.90034970000001</v>
      </c>
      <c r="P8" s="97">
        <f>'Capex-Sinott et al.'!J22</f>
        <v>98.595029289999999</v>
      </c>
      <c r="Q8" s="97">
        <f>'Capex-Sinott et al.'!K22</f>
        <v>40.679068030000003</v>
      </c>
      <c r="R8" s="97"/>
      <c r="S8" s="97"/>
      <c r="T8" s="97"/>
      <c r="U8" s="97"/>
      <c r="V8" s="97"/>
      <c r="X8" s="67" t="str">
        <f>Assumptions!G31</f>
        <v>NaHCO3</v>
      </c>
      <c r="Y8" s="97"/>
      <c r="Z8" s="97"/>
      <c r="AA8" s="97"/>
      <c r="AB8" s="97"/>
      <c r="AC8" s="97"/>
      <c r="AD8" s="67"/>
      <c r="AE8" s="97">
        <f>Assumptions!N31</f>
        <v>0.5</v>
      </c>
      <c r="AF8" s="97"/>
      <c r="AG8" s="97"/>
      <c r="AH8" s="97"/>
      <c r="AI8" s="97"/>
      <c r="AJ8" s="97"/>
      <c r="AK8" s="324"/>
    </row>
    <row r="9" spans="1:37">
      <c r="A9" s="22">
        <f t="shared" si="0"/>
        <v>7</v>
      </c>
      <c r="B9" t="str">
        <f>Assumptions!A19</f>
        <v>Exchange rate $ in €</v>
      </c>
      <c r="C9" s="97">
        <f>Assumptions!B19</f>
        <v>0.88</v>
      </c>
      <c r="D9" s="97"/>
      <c r="E9" s="97"/>
      <c r="G9" t="s">
        <v>200</v>
      </c>
      <c r="H9" s="97">
        <f>'CHEPCI &amp; Location factors'!B8</f>
        <v>119</v>
      </c>
      <c r="I9" s="97">
        <f>'CHEPCI &amp; Location factors'!A8</f>
        <v>1969</v>
      </c>
      <c r="J9" s="97"/>
      <c r="K9" s="149"/>
      <c r="L9" s="7" t="s">
        <v>267</v>
      </c>
      <c r="M9" s="97">
        <f>'Capex-Sinott et al.'!B3</f>
        <v>1</v>
      </c>
      <c r="N9" s="97">
        <f>'Capex-Sinott et al.'!B4</f>
        <v>2</v>
      </c>
      <c r="O9" s="97">
        <f>'Capex-Sinott et al.'!B5</f>
        <v>2.5</v>
      </c>
      <c r="P9" s="97">
        <f>'Capex-Sinott et al.'!B6</f>
        <v>3</v>
      </c>
      <c r="Q9" s="97">
        <f>'Capex-Sinott et al.'!B7</f>
        <v>3.5</v>
      </c>
      <c r="R9" s="97"/>
      <c r="S9" s="97"/>
      <c r="T9" s="97"/>
      <c r="U9" s="97"/>
      <c r="V9" s="97"/>
      <c r="X9" s="67" t="str">
        <f>Assumptions!G32</f>
        <v>NaCl</v>
      </c>
      <c r="Y9" s="97"/>
      <c r="Z9" s="97"/>
      <c r="AA9" s="97"/>
      <c r="AB9" s="97"/>
      <c r="AC9" s="97"/>
      <c r="AD9" s="67"/>
      <c r="AE9" s="97">
        <f>Assumptions!N32</f>
        <v>0.75</v>
      </c>
      <c r="AF9" s="97"/>
      <c r="AG9" s="97"/>
      <c r="AH9" s="97"/>
      <c r="AI9" s="97"/>
      <c r="AJ9" s="97"/>
      <c r="AK9" s="111"/>
    </row>
    <row r="10" spans="1:37" ht="31.5">
      <c r="A10" s="22">
        <f t="shared" si="0"/>
        <v>8</v>
      </c>
      <c r="B10" s="162" t="str">
        <f>Assumptions!A20</f>
        <v>RCO2</v>
      </c>
      <c r="C10" s="97">
        <f>Assumptions!B20</f>
        <v>1.8</v>
      </c>
      <c r="D10" s="97"/>
      <c r="E10" s="97"/>
      <c r="F10">
        <f>Assumptions!C20</f>
        <v>0</v>
      </c>
      <c r="G10" t="s">
        <v>200</v>
      </c>
      <c r="H10" s="97">
        <f>'CHEPCI &amp; Location factors'!B9</f>
        <v>125.7</v>
      </c>
      <c r="I10" s="97">
        <f>'CHEPCI &amp; Location factors'!A9</f>
        <v>1970</v>
      </c>
      <c r="J10" s="97"/>
      <c r="K10" s="149"/>
      <c r="L10" s="7" t="s">
        <v>268</v>
      </c>
      <c r="M10" s="97">
        <f>'Capex-Sinott et al.'!C3</f>
        <v>5</v>
      </c>
      <c r="N10" s="97">
        <f>'Capex-Sinott et al.'!C4</f>
        <v>7</v>
      </c>
      <c r="O10" s="97">
        <f>'Capex-Sinott et al.'!C5</f>
        <v>9</v>
      </c>
      <c r="P10" s="97">
        <f>'Capex-Sinott et al.'!C6</f>
        <v>10</v>
      </c>
      <c r="Q10" s="97">
        <f>'Capex-Sinott et al.'!C7</f>
        <v>12</v>
      </c>
      <c r="R10" s="97"/>
      <c r="S10" s="97"/>
      <c r="T10" s="97"/>
      <c r="U10" s="97"/>
      <c r="V10" s="97"/>
      <c r="X10" s="67" t="str">
        <f>Assumptions!G33</f>
        <v>Oxalic Acid</v>
      </c>
      <c r="Y10" s="97"/>
      <c r="Z10" s="97"/>
      <c r="AA10" s="97"/>
      <c r="AB10" s="97"/>
      <c r="AC10" s="97"/>
      <c r="AD10" s="97"/>
      <c r="AE10" s="97">
        <f>Assumptions!N33</f>
        <v>0</v>
      </c>
      <c r="AF10" s="97"/>
      <c r="AG10" s="97"/>
      <c r="AH10" s="97"/>
      <c r="AI10" s="97"/>
      <c r="AJ10" s="97"/>
      <c r="AK10" s="111"/>
    </row>
    <row r="11" spans="1:37">
      <c r="A11" s="22">
        <f t="shared" si="0"/>
        <v>9</v>
      </c>
      <c r="B11" t="str">
        <f>Assumptions!A21</f>
        <v>Location (GER = 3)</v>
      </c>
      <c r="C11" s="97">
        <f>Assumptions!B21</f>
        <v>3</v>
      </c>
      <c r="D11" s="97"/>
      <c r="E11" s="97"/>
      <c r="G11" t="s">
        <v>200</v>
      </c>
      <c r="H11" s="97">
        <f>'CHEPCI &amp; Location factors'!B10</f>
        <v>132.30000000000001</v>
      </c>
      <c r="I11" s="97">
        <f>'CHEPCI &amp; Location factors'!A10</f>
        <v>1971</v>
      </c>
      <c r="J11" s="97"/>
      <c r="K11" s="149"/>
      <c r="L11" t="str">
        <f>'Capex-Sinott et al.'!A24</f>
        <v>EC Vertical pressure vessel</v>
      </c>
      <c r="M11" s="97">
        <f>'Capex-Sinott et al.'!C24</f>
        <v>17400</v>
      </c>
      <c r="N11" s="97">
        <f>'Capex-Sinott et al.'!D24</f>
        <v>79</v>
      </c>
      <c r="O11" s="97">
        <f>'Capex-Sinott et al.'!E24</f>
        <v>0.85</v>
      </c>
      <c r="P11" s="97"/>
      <c r="Q11" s="97"/>
      <c r="R11" s="97"/>
      <c r="S11" s="97">
        <f>'Capex-Sinott et al.'!F24</f>
        <v>120</v>
      </c>
      <c r="T11" s="97">
        <f>'Capex-Sinott et al.'!G24</f>
        <v>250000</v>
      </c>
      <c r="U11" s="97">
        <v>2010</v>
      </c>
      <c r="V11" s="97">
        <v>14</v>
      </c>
      <c r="X11" s="22" t="str">
        <f>Assumptions!G17</f>
        <v xml:space="preserve">Outgoing streams: </v>
      </c>
      <c r="Y11" s="97">
        <f>Assumptions!H17</f>
        <v>10</v>
      </c>
      <c r="Z11" s="97">
        <f>Assumptions!I17</f>
        <v>12</v>
      </c>
      <c r="AA11" s="97"/>
      <c r="AB11" s="210"/>
      <c r="AC11" s="97"/>
      <c r="AD11" s="97" t="str">
        <f>Assumptions!G34</f>
        <v>Ascorbic Acid</v>
      </c>
      <c r="AE11" s="97">
        <f>Assumptions!N34</f>
        <v>0</v>
      </c>
      <c r="AF11" s="97"/>
      <c r="AG11" s="97"/>
      <c r="AH11" s="97"/>
      <c r="AI11" s="97"/>
      <c r="AJ11" s="97"/>
      <c r="AK11" s="111"/>
    </row>
    <row r="12" spans="1:37">
      <c r="A12" s="22">
        <f t="shared" si="0"/>
        <v>10</v>
      </c>
      <c r="B12" t="str">
        <f>Assumptions!A22</f>
        <v>Year</v>
      </c>
      <c r="C12" s="97">
        <f>Assumptions!B22</f>
        <v>2017</v>
      </c>
      <c r="D12" s="97"/>
      <c r="E12" s="97"/>
      <c r="G12" t="s">
        <v>200</v>
      </c>
      <c r="H12" s="97">
        <f>'CHEPCI &amp; Location factors'!B11</f>
        <v>137.19999999999999</v>
      </c>
      <c r="I12" s="97">
        <f>'CHEPCI &amp; Location factors'!A11</f>
        <v>1972</v>
      </c>
      <c r="J12" s="97"/>
      <c r="K12" s="149"/>
      <c r="L12" t="str">
        <f>'Capex-Sinott et al.'!A25</f>
        <v>EC reactor agitated</v>
      </c>
      <c r="M12" s="97">
        <f>'Capex-Sinott et al.'!C25</f>
        <v>61500</v>
      </c>
      <c r="N12" s="97">
        <f>'Capex-Sinott et al.'!D25</f>
        <v>32500</v>
      </c>
      <c r="O12" s="97">
        <f>'Capex-Sinott et al.'!E25</f>
        <v>0.8</v>
      </c>
      <c r="P12" s="97"/>
      <c r="Q12" s="97"/>
      <c r="R12" s="97"/>
      <c r="S12" s="97">
        <f>'Capex-Sinott et al.'!F25</f>
        <v>0.5</v>
      </c>
      <c r="T12" s="97">
        <f>'Capex-Sinott et al.'!G25</f>
        <v>100</v>
      </c>
      <c r="U12" s="97">
        <v>2010</v>
      </c>
      <c r="V12" s="97">
        <v>14</v>
      </c>
      <c r="X12" s="108" t="s">
        <v>498</v>
      </c>
      <c r="Y12" s="211"/>
      <c r="Z12" s="211"/>
      <c r="AA12" s="211"/>
      <c r="AB12" s="210"/>
      <c r="AC12" s="210"/>
      <c r="AD12" s="97" t="str">
        <f>Assumptions!G35</f>
        <v>MEA [t/tonneCO2]</v>
      </c>
      <c r="AE12" s="210"/>
      <c r="AF12" s="210"/>
      <c r="AG12" s="210"/>
      <c r="AH12" s="210"/>
      <c r="AI12" s="97">
        <f>Assumptions!R35</f>
        <v>1.5E-3</v>
      </c>
      <c r="AJ12" s="210"/>
      <c r="AK12" s="111"/>
    </row>
    <row r="13" spans="1:37">
      <c r="A13" s="22">
        <f t="shared" si="0"/>
        <v>11</v>
      </c>
      <c r="B13" t="str">
        <f>Assumptions!A23</f>
        <v>gasphase in reactor</v>
      </c>
      <c r="C13" s="97">
        <f>Assumptions!B23</f>
        <v>0.3</v>
      </c>
      <c r="D13" s="97"/>
      <c r="E13" s="97"/>
      <c r="F13" t="str">
        <f>Assumptions!C23</f>
        <v>m³/m³</v>
      </c>
      <c r="G13" t="s">
        <v>200</v>
      </c>
      <c r="H13" s="97">
        <f>'CHEPCI &amp; Location factors'!B12</f>
        <v>144.1</v>
      </c>
      <c r="I13" s="97">
        <f>'CHEPCI &amp; Location factors'!A12</f>
        <v>1973</v>
      </c>
      <c r="J13" s="97"/>
      <c r="K13" s="149"/>
      <c r="L13" t="str">
        <f>'Capex-Sinott et al.'!A26</f>
        <v>EC Tanks (floating roof)</v>
      </c>
      <c r="M13" s="97">
        <f>'Capex-Sinott et al.'!C26</f>
        <v>113000</v>
      </c>
      <c r="N13" s="97">
        <f>'Capex-Sinott et al.'!D26</f>
        <v>3250</v>
      </c>
      <c r="O13" s="97">
        <f>'Capex-Sinott et al.'!E26</f>
        <v>0.65</v>
      </c>
      <c r="P13" s="97"/>
      <c r="Q13" s="97"/>
      <c r="R13" s="97"/>
      <c r="S13" s="97">
        <f>'Capex-Sinott et al.'!F26</f>
        <v>100</v>
      </c>
      <c r="T13" s="97">
        <f>'Capex-Sinott et al.'!G26</f>
        <v>10000</v>
      </c>
      <c r="U13" s="97">
        <v>2010</v>
      </c>
      <c r="V13" s="97">
        <v>14</v>
      </c>
      <c r="X13" s="22" t="str">
        <f>Assumptions!G43</f>
        <v>Flue gas</v>
      </c>
      <c r="Y13" s="97">
        <f>Assumptions!H43</f>
        <v>0</v>
      </c>
      <c r="AA13" s="97">
        <f>Assumptions!M43</f>
        <v>0</v>
      </c>
      <c r="AD13" s="97" t="str">
        <f>Assumptions!G36</f>
        <v>other [€/tonne CO2]</v>
      </c>
      <c r="AI13" s="97">
        <f>Assumptions!R36</f>
        <v>3.0234897854580072</v>
      </c>
      <c r="AK13" s="111"/>
    </row>
    <row r="14" spans="1:37">
      <c r="A14" s="22">
        <f t="shared" si="0"/>
        <v>12</v>
      </c>
      <c r="B14" s="163" t="str">
        <f>Assumptions!A24</f>
        <v>Maximum reactor size</v>
      </c>
      <c r="C14" s="97">
        <f>Assumptions!B24</f>
        <v>500</v>
      </c>
      <c r="D14" s="97"/>
      <c r="E14" s="97"/>
      <c r="F14">
        <f>Assumptions!C47</f>
        <v>0</v>
      </c>
      <c r="G14" t="s">
        <v>200</v>
      </c>
      <c r="H14" s="97">
        <f>'CHEPCI &amp; Location factors'!B13</f>
        <v>165.4</v>
      </c>
      <c r="I14" s="97">
        <f>'CHEPCI &amp; Location factors'!A13</f>
        <v>1974</v>
      </c>
      <c r="J14" s="97"/>
      <c r="K14" s="149"/>
      <c r="L14" t="str">
        <f>'Capex-Sinott et al.'!A27</f>
        <v>EC Compressor Centrifugal</v>
      </c>
      <c r="M14" s="97">
        <f>'Capex-Sinott et al.'!C27</f>
        <v>580000</v>
      </c>
      <c r="N14" s="97">
        <f>'Capex-Sinott et al.'!D27</f>
        <v>20000</v>
      </c>
      <c r="O14" s="97">
        <f>'Capex-Sinott et al.'!E27</f>
        <v>0.6</v>
      </c>
      <c r="P14" s="97"/>
      <c r="Q14" s="97"/>
      <c r="R14" s="97"/>
      <c r="S14" s="97">
        <f>'Capex-Sinott et al.'!F27</f>
        <v>75</v>
      </c>
      <c r="T14" s="97">
        <f>'Capex-Sinott et al.'!G27</f>
        <v>30000</v>
      </c>
      <c r="U14" s="97">
        <v>2010</v>
      </c>
      <c r="V14" s="97">
        <v>14</v>
      </c>
      <c r="X14" s="22" t="str">
        <f>Assumptions!G44</f>
        <v>Olivine</v>
      </c>
      <c r="Y14" s="97">
        <f>Assumptions!H44</f>
        <v>12</v>
      </c>
      <c r="AA14" s="97">
        <f>Assumptions!M44</f>
        <v>0</v>
      </c>
      <c r="AI14" s="210"/>
    </row>
    <row r="15" spans="1:37">
      <c r="A15" s="22">
        <f t="shared" si="0"/>
        <v>13</v>
      </c>
      <c r="B15" t="str">
        <f>Assumptions!A25</f>
        <v>density of grounded olivine</v>
      </c>
      <c r="C15" s="97">
        <f>Assumptions!B25</f>
        <v>3.27</v>
      </c>
      <c r="D15" s="97"/>
      <c r="E15" s="97"/>
      <c r="F15" t="str">
        <f>Assumptions!C25</f>
        <v>g/ml</v>
      </c>
      <c r="G15" t="s">
        <v>200</v>
      </c>
      <c r="H15" s="97">
        <f>'CHEPCI &amp; Location factors'!B14</f>
        <v>182.4</v>
      </c>
      <c r="I15" s="97">
        <f>'CHEPCI &amp; Location factors'!A14</f>
        <v>1975</v>
      </c>
      <c r="J15" s="97"/>
      <c r="K15" s="149"/>
      <c r="L15" t="s">
        <v>354</v>
      </c>
      <c r="M15" s="97">
        <f>'Nazmul Hassan et.al., Romeo, '!C6*1000000</f>
        <v>29853162</v>
      </c>
      <c r="N15" s="97">
        <f>'Nazmul Hassan et.al., Romeo, '!C2</f>
        <v>546280</v>
      </c>
      <c r="O15" s="97"/>
      <c r="P15" s="97"/>
      <c r="Q15" s="97"/>
      <c r="R15" s="97"/>
      <c r="S15" s="97"/>
      <c r="T15" s="97"/>
      <c r="U15" s="97">
        <f>'Nazmul Hassan et.al., Romeo, '!C3</f>
        <v>2005</v>
      </c>
      <c r="V15" s="97">
        <v>18</v>
      </c>
      <c r="X15" s="22" t="str">
        <f>Assumptions!G45</f>
        <v>CO2(g)</v>
      </c>
      <c r="Y15" s="97">
        <f>Assumptions!H45</f>
        <v>0</v>
      </c>
      <c r="AA15" s="97">
        <f>Assumptions!M45</f>
        <v>15.478620689655173</v>
      </c>
    </row>
    <row r="16" spans="1:37">
      <c r="A16" s="22">
        <f t="shared" si="0"/>
        <v>14</v>
      </c>
      <c r="B16" t="str">
        <f>Assumptions!A26</f>
        <v>density of water</v>
      </c>
      <c r="C16" s="97">
        <f>Assumptions!B26</f>
        <v>0.997</v>
      </c>
      <c r="D16" s="97"/>
      <c r="E16" s="97"/>
      <c r="G16" t="s">
        <v>200</v>
      </c>
      <c r="H16" s="97">
        <f>'CHEPCI &amp; Location factors'!B15</f>
        <v>192.1</v>
      </c>
      <c r="I16" s="97">
        <f>'CHEPCI &amp; Location factors'!A15</f>
        <v>1976</v>
      </c>
      <c r="J16" s="97"/>
      <c r="K16" s="149"/>
      <c r="L16" t="str">
        <f>'Timmerhaus 1991'!$R$22</f>
        <v>Working hours Average plant</v>
      </c>
      <c r="M16" s="97">
        <f>'Timmerhaus 1991'!P22</f>
        <v>15.542999999999999</v>
      </c>
      <c r="N16" s="97">
        <f>'Timmerhaus 1991'!Q22</f>
        <v>0.24460000000000001</v>
      </c>
      <c r="O16" s="97"/>
      <c r="P16" s="97"/>
      <c r="Q16" s="97"/>
      <c r="R16" s="97"/>
      <c r="S16" s="152">
        <f>'Timmerhaus 1991'!K3</f>
        <v>2.11839214920938</v>
      </c>
      <c r="T16" s="152">
        <f>'Timmerhaus 1991'!K60</f>
        <v>973.08005164000099</v>
      </c>
      <c r="U16" s="97"/>
      <c r="V16" s="97"/>
      <c r="X16" s="22" t="str">
        <f>Assumptions!G46</f>
        <v>MgO</v>
      </c>
      <c r="Y16" s="97">
        <f>Assumptions!H46</f>
        <v>0</v>
      </c>
      <c r="AA16" s="97">
        <f>Assumptions!M46</f>
        <v>0</v>
      </c>
    </row>
    <row r="17" spans="1:37">
      <c r="A17" s="22">
        <f t="shared" si="0"/>
        <v>15</v>
      </c>
      <c r="B17" t="str">
        <f>Assumptions!A27</f>
        <v>solid content in liquid phase</v>
      </c>
      <c r="C17" s="97">
        <f>Assumptions!B27</f>
        <v>0.125</v>
      </c>
      <c r="D17" s="97"/>
      <c r="E17" s="97"/>
      <c r="F17" t="str">
        <f>Assumptions!C27</f>
        <v>wt/wt</v>
      </c>
      <c r="G17" t="s">
        <v>200</v>
      </c>
      <c r="H17" s="97">
        <f>'CHEPCI &amp; Location factors'!B16</f>
        <v>204.1</v>
      </c>
      <c r="I17" s="97">
        <f>'CHEPCI &amp; Location factors'!A16</f>
        <v>1977</v>
      </c>
      <c r="J17" s="97"/>
      <c r="K17" s="149"/>
      <c r="L17" s="150" t="str">
        <f>'Timmerhaus 1991'!$R$23</f>
        <v>Working hours Large EQ</v>
      </c>
      <c r="M17" s="97">
        <f>'Timmerhaus 1991'!P23</f>
        <v>10.446999999999999</v>
      </c>
      <c r="N17" s="97">
        <f>'Timmerhaus 1991'!Q23</f>
        <v>0.2485</v>
      </c>
      <c r="O17" s="97"/>
      <c r="P17" s="97"/>
      <c r="Q17" s="97"/>
      <c r="R17" s="97"/>
      <c r="S17" s="152">
        <f>'Timmerhaus 1991'!M3</f>
        <v>5.0877113827311602</v>
      </c>
      <c r="T17" s="152">
        <f>'Timmerhaus 1991'!M52</f>
        <v>969.963318688502</v>
      </c>
      <c r="U17" s="97"/>
      <c r="V17" s="97"/>
      <c r="X17" s="22" t="str">
        <f>Assumptions!G47</f>
        <v>SiO2</v>
      </c>
      <c r="Y17" s="97">
        <f>Assumptions!H47</f>
        <v>0</v>
      </c>
      <c r="AA17" s="97">
        <f>Assumptions!M47</f>
        <v>100</v>
      </c>
    </row>
    <row r="18" spans="1:37">
      <c r="A18" s="22">
        <f t="shared" si="0"/>
        <v>16</v>
      </c>
      <c r="B18" t="str">
        <f>Assumptions!A28</f>
        <v>retention time</v>
      </c>
      <c r="C18" s="97">
        <f>Assumptions!B28</f>
        <v>2</v>
      </c>
      <c r="D18" s="97"/>
      <c r="E18" s="97"/>
      <c r="F18" t="str">
        <f>Assumptions!C28</f>
        <v>h</v>
      </c>
      <c r="G18" t="s">
        <v>200</v>
      </c>
      <c r="H18" s="97">
        <f>'CHEPCI &amp; Location factors'!B17</f>
        <v>218.8</v>
      </c>
      <c r="I18" s="97">
        <f>'CHEPCI &amp; Location factors'!A17</f>
        <v>1978</v>
      </c>
      <c r="J18" s="97"/>
      <c r="K18" s="149"/>
      <c r="L18" t="str">
        <f>'Capex-Sinott et al.'!A28</f>
        <v>EC Heat exchanger</v>
      </c>
      <c r="M18" s="97">
        <f>'Capex-Sinott et al.'!C28</f>
        <v>28000</v>
      </c>
      <c r="N18" s="97">
        <f>'Capex-Sinott et al.'!D28</f>
        <v>54</v>
      </c>
      <c r="O18" s="97">
        <f>'Capex-Sinott et al.'!E28</f>
        <v>1.2</v>
      </c>
      <c r="P18" s="97"/>
      <c r="Q18" s="97"/>
      <c r="R18" s="97"/>
      <c r="S18" s="97">
        <f>'Capex-Sinott et al.'!F28</f>
        <v>10</v>
      </c>
      <c r="T18" s="97">
        <f>'Capex-Sinott et al.'!G28</f>
        <v>1000</v>
      </c>
      <c r="U18" s="97">
        <v>2010</v>
      </c>
      <c r="V18" s="97">
        <v>14</v>
      </c>
      <c r="X18" s="22" t="str">
        <f>Assumptions!G48</f>
        <v>Fe</v>
      </c>
      <c r="Y18" s="97">
        <f>Assumptions!H48</f>
        <v>0</v>
      </c>
      <c r="AA18" s="97">
        <f>Assumptions!M48</f>
        <v>0</v>
      </c>
      <c r="AK18" s="115"/>
    </row>
    <row r="19" spans="1:37">
      <c r="A19" s="22">
        <f t="shared" si="0"/>
        <v>17</v>
      </c>
      <c r="B19" t="str">
        <f>Assumptions!A29</f>
        <v xml:space="preserve">joint efficiency </v>
      </c>
      <c r="C19" s="97">
        <f>Assumptions!B29</f>
        <v>1</v>
      </c>
      <c r="D19" s="97"/>
      <c r="E19" s="97"/>
      <c r="G19" t="s">
        <v>200</v>
      </c>
      <c r="H19" s="97">
        <f>'CHEPCI &amp; Location factors'!B18</f>
        <v>238.7</v>
      </c>
      <c r="I19" s="97">
        <f>'CHEPCI &amp; Location factors'!A18</f>
        <v>1979</v>
      </c>
      <c r="J19" s="97"/>
      <c r="K19" s="149"/>
      <c r="L19" s="171" t="str">
        <f>'Capex-Sinott et al.'!A29</f>
        <v>EC cylindrical Furnace</v>
      </c>
      <c r="M19" s="97">
        <f>'Capex-Sinott et al.'!C29</f>
        <v>80000</v>
      </c>
      <c r="N19" s="97">
        <f>'Capex-Sinott et al.'!D29</f>
        <v>109000</v>
      </c>
      <c r="O19" s="97">
        <f>'Capex-Sinott et al.'!E29</f>
        <v>0.8</v>
      </c>
      <c r="P19" s="97"/>
      <c r="Q19" s="97"/>
      <c r="R19" s="97"/>
      <c r="S19" s="97">
        <f>'Capex-Sinott et al.'!F29</f>
        <v>0.2</v>
      </c>
      <c r="T19" s="97">
        <f>'Capex-Sinott et al.'!G29</f>
        <v>60</v>
      </c>
      <c r="U19" s="97">
        <v>2010</v>
      </c>
      <c r="V19" s="97">
        <v>14</v>
      </c>
      <c r="X19" s="22" t="str">
        <f>Assumptions!G49</f>
        <v>Process H2O (l)</v>
      </c>
      <c r="Y19" s="97">
        <f>Assumptions!H49</f>
        <v>0.2</v>
      </c>
      <c r="AA19" s="97">
        <f>Assumptions!M49</f>
        <v>0</v>
      </c>
      <c r="AK19" s="115"/>
    </row>
    <row r="20" spans="1:37">
      <c r="A20" s="22">
        <f t="shared" si="0"/>
        <v>18</v>
      </c>
      <c r="B20" t="str">
        <f>Assumptions!A30</f>
        <v>securty factor on pressure</v>
      </c>
      <c r="C20" s="97">
        <f>Assumptions!B30</f>
        <v>0.1</v>
      </c>
      <c r="D20" s="97"/>
      <c r="E20" s="97"/>
      <c r="G20" t="s">
        <v>200</v>
      </c>
      <c r="H20" s="97">
        <f>'CHEPCI &amp; Location factors'!B19</f>
        <v>261.2</v>
      </c>
      <c r="I20" s="97">
        <f>'CHEPCI &amp; Location factors'!A19</f>
        <v>1980</v>
      </c>
      <c r="J20" s="97"/>
      <c r="K20" s="149"/>
      <c r="L20" t="str">
        <f>'Felder et al. &amp; NIST'!A5</f>
        <v>CO2(g)</v>
      </c>
      <c r="M20" s="97">
        <f>'Felder et al. &amp; NIST'!B5</f>
        <v>24.997350000000001</v>
      </c>
      <c r="N20" s="97">
        <f>'Felder et al. &amp; NIST'!C5</f>
        <v>55.186959999999999</v>
      </c>
      <c r="O20" s="97">
        <f>'Felder et al. &amp; NIST'!D5</f>
        <v>-33.691369999999999</v>
      </c>
      <c r="P20" s="97">
        <f>'Felder et al. &amp; NIST'!E5</f>
        <v>7.9483870000000003</v>
      </c>
      <c r="Q20" s="97">
        <f>'Felder et al. &amp; NIST'!F5</f>
        <v>-0.13663800000000001</v>
      </c>
      <c r="R20" s="106">
        <f>'Felder et al. &amp; NIST'!J5</f>
        <v>-393.5</v>
      </c>
      <c r="S20" s="97">
        <f>'Felder et al. &amp; NIST'!G5-273.15</f>
        <v>24.850000000000023</v>
      </c>
      <c r="T20" s="97">
        <f>'Felder et al. &amp; NIST'!H5-273.15</f>
        <v>926.85</v>
      </c>
      <c r="U20" s="97"/>
      <c r="V20" s="97"/>
      <c r="W20" s="325" t="s">
        <v>309</v>
      </c>
      <c r="X20" s="22" t="str">
        <f>Assumptions!G50</f>
        <v>MgCO3</v>
      </c>
      <c r="Y20" s="97">
        <f>Assumptions!H50</f>
        <v>0</v>
      </c>
      <c r="AA20" s="97">
        <f>Assumptions!M50</f>
        <v>25</v>
      </c>
    </row>
    <row r="21" spans="1:37">
      <c r="A21" s="22">
        <f t="shared" si="0"/>
        <v>19</v>
      </c>
      <c r="B21" t="str">
        <f>Assumptions!A31</f>
        <v xml:space="preserve">reaction temp </v>
      </c>
      <c r="C21" s="97">
        <f>Assumptions!B31</f>
        <v>190</v>
      </c>
      <c r="D21" s="97"/>
      <c r="E21" s="97"/>
      <c r="F21" t="str">
        <f>Assumptions!C31</f>
        <v>°C</v>
      </c>
      <c r="G21" t="s">
        <v>200</v>
      </c>
      <c r="H21" s="97">
        <f>'CHEPCI &amp; Location factors'!B20</f>
        <v>297</v>
      </c>
      <c r="I21" s="97">
        <f>'CHEPCI &amp; Location factors'!A20</f>
        <v>1981</v>
      </c>
      <c r="J21" s="97"/>
      <c r="K21" s="149"/>
      <c r="L21" t="str">
        <f>'Felder et al. &amp; NIST'!A6</f>
        <v>MgO</v>
      </c>
      <c r="M21" s="97">
        <f>'Felder et al. &amp; NIST'!B6</f>
        <v>47.259950000000003</v>
      </c>
      <c r="N21" s="97">
        <f>'Felder et al. &amp; NIST'!C6</f>
        <v>5.6816209999999998</v>
      </c>
      <c r="O21" s="97">
        <f>'Felder et al. &amp; NIST'!D6</f>
        <v>-0.87266500000000002</v>
      </c>
      <c r="P21" s="97">
        <f>'Felder et al. &amp; NIST'!E6</f>
        <v>0.1043</v>
      </c>
      <c r="Q21" s="97">
        <f>'Felder et al. &amp; NIST'!F6</f>
        <v>-1.053955</v>
      </c>
      <c r="R21" s="106">
        <f>'Felder et al. &amp; NIST'!J6</f>
        <v>-601.79999999999995</v>
      </c>
      <c r="S21" s="97">
        <f>'Felder et al. &amp; NIST'!G6-273.15</f>
        <v>24.850000000000023</v>
      </c>
      <c r="T21" s="97">
        <f>'Felder et al. &amp; NIST'!H6-273.15</f>
        <v>2831.85</v>
      </c>
      <c r="U21" s="97"/>
      <c r="V21" s="97"/>
      <c r="W21" s="325"/>
      <c r="X21" s="22" t="str">
        <f>Assumptions!G51</f>
        <v>NaHCO3</v>
      </c>
      <c r="Y21" s="97">
        <f>Assumptions!H51</f>
        <v>209</v>
      </c>
      <c r="AA21" s="97">
        <f>Assumptions!M51</f>
        <v>0</v>
      </c>
    </row>
    <row r="22" spans="1:37">
      <c r="A22" s="22">
        <f t="shared" si="0"/>
        <v>20</v>
      </c>
      <c r="B22" t="str">
        <f>Assumptions!A32</f>
        <v>material of reactor</v>
      </c>
      <c r="C22" s="97">
        <f>Assumptions!B32</f>
        <v>1</v>
      </c>
      <c r="D22" s="97"/>
      <c r="E22" s="97"/>
      <c r="F22">
        <f>Assumptions!C32</f>
        <v>0</v>
      </c>
      <c r="G22" t="s">
        <v>200</v>
      </c>
      <c r="H22" s="97">
        <f>'CHEPCI &amp; Location factors'!B21</f>
        <v>314</v>
      </c>
      <c r="I22" s="97">
        <f>'CHEPCI &amp; Location factors'!A21</f>
        <v>1982</v>
      </c>
      <c r="J22" s="97"/>
      <c r="K22" s="149"/>
      <c r="L22" t="str">
        <f>'Felder et al. &amp; NIST'!A7</f>
        <v>SiO2</v>
      </c>
      <c r="M22" s="97">
        <f>'Felder et al. &amp; NIST'!B7</f>
        <v>-6.0765909999999996</v>
      </c>
      <c r="N22" s="97">
        <f>'Felder et al. &amp; NIST'!C7</f>
        <v>251.6755</v>
      </c>
      <c r="O22" s="97">
        <f>'Felder et al. &amp; NIST'!D7</f>
        <v>-324.79640000000001</v>
      </c>
      <c r="P22" s="97">
        <f>'Felder et al. &amp; NIST'!E7</f>
        <v>168.56039999999999</v>
      </c>
      <c r="Q22" s="97">
        <f>'Felder et al. &amp; NIST'!F7</f>
        <v>2.5479999999999999E-3</v>
      </c>
      <c r="R22" s="106">
        <f>'Felder et al. &amp; NIST'!J7</f>
        <v>-859.4</v>
      </c>
      <c r="S22" s="97">
        <f>'Felder et al. &amp; NIST'!G7-273.15</f>
        <v>24.850000000000023</v>
      </c>
      <c r="T22" s="97">
        <f>'Felder et al. &amp; NIST'!H7-273.15</f>
        <v>573.85</v>
      </c>
      <c r="U22" s="97"/>
      <c r="V22" s="97"/>
      <c r="W22" s="325"/>
      <c r="X22" s="22" t="str">
        <f>Assumptions!G52</f>
        <v>NaCl</v>
      </c>
      <c r="Y22" s="97">
        <f>Assumptions!H52</f>
        <v>61.6</v>
      </c>
      <c r="AA22" s="97">
        <f>Assumptions!M52</f>
        <v>0</v>
      </c>
    </row>
    <row r="23" spans="1:37">
      <c r="A23" s="22">
        <f t="shared" si="0"/>
        <v>21</v>
      </c>
      <c r="B23" t="str">
        <f>Assumptions!A33</f>
        <v xml:space="preserve">density of steel </v>
      </c>
      <c r="C23" s="97">
        <f>Assumptions!B33</f>
        <v>8000</v>
      </c>
      <c r="D23" s="97"/>
      <c r="E23" s="97"/>
      <c r="F23" t="str">
        <f>Assumptions!C33</f>
        <v>kg/m3</v>
      </c>
      <c r="G23" t="s">
        <v>200</v>
      </c>
      <c r="H23" s="97">
        <f>'CHEPCI &amp; Location factors'!B22</f>
        <v>317</v>
      </c>
      <c r="I23" s="97">
        <f>'CHEPCI &amp; Location factors'!A22</f>
        <v>1983</v>
      </c>
      <c r="J23" s="97"/>
      <c r="K23" s="149"/>
      <c r="L23" t="str">
        <f>'Felder et al. &amp; NIST'!A8</f>
        <v>Fe2O3</v>
      </c>
      <c r="M23" s="97">
        <f>'Felder et al. &amp; NIST'!B8</f>
        <v>93.438339999999997</v>
      </c>
      <c r="N23" s="97">
        <f>'Felder et al. &amp; NIST'!C8</f>
        <v>108.35769999999999</v>
      </c>
      <c r="O23" s="97">
        <f>'Felder et al. &amp; NIST'!D8</f>
        <v>-50.864469999999997</v>
      </c>
      <c r="P23" s="97">
        <f>'Felder et al. &amp; NIST'!E8</f>
        <v>25.586829999999999</v>
      </c>
      <c r="Q23" s="97">
        <f>'Felder et al. &amp; NIST'!F8</f>
        <v>-1.6113299999999999</v>
      </c>
      <c r="R23" s="106">
        <f>'Felder et al. &amp; NIST'!J8</f>
        <v>-865</v>
      </c>
      <c r="S23" s="97">
        <f>'Felder et al. &amp; NIST'!G8-273.15</f>
        <v>24.850000000000023</v>
      </c>
      <c r="T23" s="97">
        <f>'Felder et al. &amp; NIST'!H8-273.15</f>
        <v>676.85</v>
      </c>
      <c r="U23" s="97"/>
      <c r="V23" s="97"/>
      <c r="W23" s="325"/>
      <c r="X23" s="22" t="str">
        <f>Assumptions!G53</f>
        <v>MEA</v>
      </c>
      <c r="Y23" s="97">
        <f>Assumptions!H53</f>
        <v>1320</v>
      </c>
      <c r="AA23" s="97">
        <f>Assumptions!M53</f>
        <v>0</v>
      </c>
    </row>
    <row r="24" spans="1:37">
      <c r="A24" s="22">
        <f t="shared" si="0"/>
        <v>22</v>
      </c>
      <c r="B24" t="str">
        <f>Assumptions!A34</f>
        <v>MgO content feed</v>
      </c>
      <c r="C24" s="97">
        <f>Assumptions!B34</f>
        <v>0.48696499999999998</v>
      </c>
      <c r="D24" s="97"/>
      <c r="E24" s="97"/>
      <c r="F24">
        <f>Assumptions!C34</f>
        <v>0</v>
      </c>
      <c r="G24" t="s">
        <v>200</v>
      </c>
      <c r="H24" s="97">
        <f>'CHEPCI &amp; Location factors'!B23</f>
        <v>322.7</v>
      </c>
      <c r="I24" s="97">
        <f>'CHEPCI &amp; Location factors'!A23</f>
        <v>1984</v>
      </c>
      <c r="J24" s="97"/>
      <c r="K24" s="149"/>
      <c r="L24" s="236" t="str">
        <f>'Felder et al. &amp; NIST'!A9</f>
        <v>MgCO3</v>
      </c>
      <c r="M24" s="97">
        <f>'Felder et al. &amp; NIST'!B9</f>
        <v>44.936999999999998</v>
      </c>
      <c r="N24" s="97">
        <f>'Felder et al. &amp; NIST'!C9</f>
        <v>149.70849999999999</v>
      </c>
      <c r="O24" s="97">
        <f>'Felder et al. &amp; NIST'!D9</f>
        <v>-74.182739999999995</v>
      </c>
      <c r="P24" s="97">
        <f>'Felder et al. &amp; NIST'!E9</f>
        <v>11.976699999999999</v>
      </c>
      <c r="Q24" s="97">
        <f>'Felder et al. &amp; NIST'!F9</f>
        <v>-0.62926099999999996</v>
      </c>
      <c r="R24" s="106">
        <f>'Felder et al. &amp; NIST'!J9</f>
        <v>-1095.8</v>
      </c>
      <c r="S24" s="97">
        <f>'Felder et al. &amp; NIST'!G9-273.15</f>
        <v>24.850000000000023</v>
      </c>
      <c r="T24" s="97">
        <f>'Felder et al. &amp; NIST'!H9-273.15</f>
        <v>726.85</v>
      </c>
      <c r="U24" s="97"/>
      <c r="V24" s="97"/>
      <c r="W24" s="325"/>
      <c r="X24" s="22" t="str">
        <f>Assumptions!G54</f>
        <v>Oxalic Acid</v>
      </c>
      <c r="Y24" s="97">
        <f>Assumptions!H54</f>
        <v>403</v>
      </c>
      <c r="AA24" s="97">
        <f>Assumptions!M54</f>
        <v>0</v>
      </c>
    </row>
    <row r="25" spans="1:37">
      <c r="A25" s="22">
        <f t="shared" si="0"/>
        <v>23</v>
      </c>
      <c r="B25" t="str">
        <f>Assumptions!A35</f>
        <v>SiO2 content feed</v>
      </c>
      <c r="C25" s="97">
        <f>Assumptions!B35</f>
        <v>0.363035</v>
      </c>
      <c r="D25" s="97"/>
      <c r="E25" s="97"/>
      <c r="G25" t="s">
        <v>200</v>
      </c>
      <c r="H25" s="97">
        <f>'CHEPCI &amp; Location factors'!B24</f>
        <v>325.3</v>
      </c>
      <c r="I25" s="97">
        <f>'CHEPCI &amp; Location factors'!A24</f>
        <v>1985</v>
      </c>
      <c r="J25" s="97"/>
      <c r="K25" s="149"/>
      <c r="L25" s="236" t="str">
        <f>'Felder et al. &amp; NIST'!A10</f>
        <v>H2O (l)</v>
      </c>
      <c r="M25" s="97">
        <f>'Felder et al. &amp; NIST'!B10</f>
        <v>-203.60599999999999</v>
      </c>
      <c r="N25" s="97">
        <f>'Felder et al. &amp; NIST'!C10</f>
        <v>1523.29</v>
      </c>
      <c r="O25" s="97">
        <f>'Felder et al. &amp; NIST'!D10</f>
        <v>-3196.413</v>
      </c>
      <c r="P25" s="97">
        <f>'Felder et al. &amp; NIST'!E10</f>
        <v>2474.4549999999999</v>
      </c>
      <c r="Q25" s="97">
        <f>'Felder et al. &amp; NIST'!F10</f>
        <v>3.8553259999999998</v>
      </c>
      <c r="R25" s="106">
        <f>'Felder et al. &amp; NIST'!J10</f>
        <v>-285.83999999999997</v>
      </c>
      <c r="S25" s="97">
        <f>'Felder et al. &amp; NIST'!G10-273.15</f>
        <v>24.850000000000023</v>
      </c>
      <c r="T25" s="97">
        <f>'Felder et al. &amp; NIST'!H10-273.15</f>
        <v>226.85000000000002</v>
      </c>
      <c r="U25" s="97"/>
      <c r="V25" s="97"/>
      <c r="W25" s="325"/>
      <c r="X25" s="22" t="str">
        <f>Assumptions!G55</f>
        <v>Ascorbic Acid</v>
      </c>
      <c r="Y25" s="97">
        <f>Assumptions!H55</f>
        <v>1226</v>
      </c>
      <c r="AA25" s="97">
        <f>Assumptions!M55</f>
        <v>0</v>
      </c>
    </row>
    <row r="26" spans="1:37">
      <c r="A26" s="22">
        <f t="shared" si="0"/>
        <v>24</v>
      </c>
      <c r="B26" t="str">
        <f>Assumptions!A36</f>
        <v>Fe2O3 content feed</v>
      </c>
      <c r="C26" s="97">
        <f>Assumptions!B36</f>
        <v>0.15000000000000002</v>
      </c>
      <c r="D26" s="97"/>
      <c r="E26" s="97"/>
      <c r="G26" t="s">
        <v>200</v>
      </c>
      <c r="H26" s="97">
        <f>'CHEPCI &amp; Location factors'!B25</f>
        <v>318.39999999999998</v>
      </c>
      <c r="I26" s="97">
        <f>'CHEPCI &amp; Location factors'!A25</f>
        <v>1986</v>
      </c>
      <c r="J26" s="97"/>
      <c r="K26" s="149"/>
      <c r="L26" t="str">
        <f>'Felder et al. &amp; NIST'!A11</f>
        <v>NaHCO3 (shomate for Na2CO3)</v>
      </c>
      <c r="M26" s="97">
        <f>'Felder et al. &amp; NIST'!B11</f>
        <v>0</v>
      </c>
      <c r="N26" s="97">
        <f>'Felder et al. &amp; NIST'!C11</f>
        <v>0</v>
      </c>
      <c r="O26" s="97">
        <f>'Felder et al. &amp; NIST'!D11</f>
        <v>0</v>
      </c>
      <c r="P26" s="97">
        <f>'Felder et al. &amp; NIST'!E11</f>
        <v>0</v>
      </c>
      <c r="Q26" s="97">
        <f>'Felder et al. &amp; NIST'!F11</f>
        <v>0</v>
      </c>
      <c r="R26" s="106">
        <f>'Felder et al. &amp; NIST'!J11</f>
        <v>0</v>
      </c>
      <c r="S26" s="97">
        <f>'Felder et al. &amp; NIST'!G11-273.15</f>
        <v>-273.14999999999998</v>
      </c>
      <c r="T26" s="97">
        <f>'Felder et al. &amp; NIST'!H11-273.15</f>
        <v>-273.14999999999998</v>
      </c>
      <c r="U26" s="97"/>
      <c r="V26" s="97"/>
      <c r="W26" s="325"/>
      <c r="X26" s="22">
        <f>Assumptions!G56</f>
        <v>0</v>
      </c>
      <c r="Y26" s="97">
        <f>Assumptions!H56</f>
        <v>0</v>
      </c>
      <c r="AA26" s="97">
        <f>Assumptions!M56</f>
        <v>0</v>
      </c>
    </row>
    <row r="27" spans="1:37">
      <c r="A27" s="22">
        <f t="shared" si="0"/>
        <v>25</v>
      </c>
      <c r="B27" t="str">
        <f>Assumptions!A37</f>
        <v>Efficiency Capture</v>
      </c>
      <c r="C27" s="97">
        <f>Assumptions!B37</f>
        <v>0.9</v>
      </c>
      <c r="D27" s="97"/>
      <c r="E27" s="97"/>
      <c r="G27" t="s">
        <v>200</v>
      </c>
      <c r="H27" s="97">
        <f>'CHEPCI &amp; Location factors'!B26</f>
        <v>323.8</v>
      </c>
      <c r="I27" s="97">
        <f>'CHEPCI &amp; Location factors'!A26</f>
        <v>1987</v>
      </c>
      <c r="J27" s="97"/>
      <c r="K27" s="149"/>
      <c r="L27" t="str">
        <f>'Felder et al. &amp; NIST'!A12</f>
        <v>NaCl</v>
      </c>
      <c r="M27" s="97">
        <f>'Felder et al. &amp; NIST'!B12</f>
        <v>0</v>
      </c>
      <c r="N27" s="97">
        <f>'Felder et al. &amp; NIST'!C12</f>
        <v>0</v>
      </c>
      <c r="O27" s="97">
        <f>'Felder et al. &amp; NIST'!D12</f>
        <v>0</v>
      </c>
      <c r="P27" s="97">
        <f>'Felder et al. &amp; NIST'!E12</f>
        <v>0</v>
      </c>
      <c r="Q27" s="97">
        <f>'Felder et al. &amp; NIST'!F12</f>
        <v>0</v>
      </c>
      <c r="R27" s="106">
        <f>'Felder et al. &amp; NIST'!J12</f>
        <v>0</v>
      </c>
      <c r="S27" s="97">
        <f>'Felder et al. &amp; NIST'!G12-273.15</f>
        <v>-273.14999999999998</v>
      </c>
      <c r="T27" s="97">
        <f>'Felder et al. &amp; NIST'!H12-273.15</f>
        <v>-273.14999999999998</v>
      </c>
      <c r="U27" s="97"/>
      <c r="V27" s="97"/>
      <c r="W27" s="325"/>
      <c r="X27" s="22">
        <f>Assumptions!G57</f>
        <v>0</v>
      </c>
      <c r="Y27" s="97">
        <f>Assumptions!H57</f>
        <v>0</v>
      </c>
      <c r="AA27" s="97">
        <f>Assumptions!M57</f>
        <v>0</v>
      </c>
    </row>
    <row r="28" spans="1:37">
      <c r="A28" s="22">
        <f t="shared" si="0"/>
        <v>26</v>
      </c>
      <c r="B28" t="str">
        <f>Assumptions!A38</f>
        <v>Standard Temp</v>
      </c>
      <c r="C28" s="97">
        <f>Assumptions!B38</f>
        <v>25</v>
      </c>
      <c r="D28" s="97"/>
      <c r="E28" s="97"/>
      <c r="G28" t="s">
        <v>200</v>
      </c>
      <c r="H28" s="97">
        <f>'CHEPCI &amp; Location factors'!B27</f>
        <v>342.5</v>
      </c>
      <c r="I28" s="97">
        <f>'CHEPCI &amp; Location factors'!A27</f>
        <v>1988</v>
      </c>
      <c r="J28" s="97"/>
      <c r="K28" s="149"/>
      <c r="L28" t="str">
        <f>'Felder et al. &amp; NIST'!A17</f>
        <v>NH3(g)</v>
      </c>
      <c r="M28" s="97">
        <f>'Felder et al. &amp; NIST'!B17</f>
        <v>0</v>
      </c>
      <c r="N28" s="97">
        <f>'Felder et al. &amp; NIST'!C17</f>
        <v>0</v>
      </c>
      <c r="O28" s="97">
        <f>'Felder et al. &amp; NIST'!D17</f>
        <v>0</v>
      </c>
      <c r="P28" s="97">
        <f>'Felder et al. &amp; NIST'!E17</f>
        <v>0</v>
      </c>
      <c r="Q28" s="97">
        <f>'Felder et al. &amp; NIST'!F17</f>
        <v>0</v>
      </c>
      <c r="R28" s="106">
        <f>'Felder et al. &amp; NIST'!J17</f>
        <v>0</v>
      </c>
      <c r="S28" s="97">
        <f>'Felder et al. &amp; NIST'!G17-273.15</f>
        <v>-273.14999999999998</v>
      </c>
      <c r="T28" s="97">
        <f>'Felder et al. &amp; NIST'!H17-273.15</f>
        <v>-273.14999999999998</v>
      </c>
      <c r="U28" s="97"/>
      <c r="V28" s="97"/>
      <c r="X28" s="327" t="s">
        <v>494</v>
      </c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9"/>
    </row>
    <row r="29" spans="1:37" ht="29.1" customHeight="1">
      <c r="A29" s="22">
        <f t="shared" si="0"/>
        <v>27</v>
      </c>
      <c r="B29" t="str">
        <f>Assumptions!A39</f>
        <v>Yield reaction (MgO)</v>
      </c>
      <c r="C29" s="97">
        <f>Assumptions!B39</f>
        <v>0.67768229340000008</v>
      </c>
      <c r="D29" s="97"/>
      <c r="E29" s="97"/>
      <c r="G29" t="s">
        <v>200</v>
      </c>
      <c r="H29" s="97">
        <f>'CHEPCI &amp; Location factors'!B28</f>
        <v>355.4</v>
      </c>
      <c r="I29" s="97">
        <f>'CHEPCI &amp; Location factors'!A28</f>
        <v>1989</v>
      </c>
      <c r="J29" s="97"/>
      <c r="K29" s="149"/>
      <c r="L29" s="190" t="str">
        <f>'Felder et al. &amp; NIST'!A18</f>
        <v>N2(g)</v>
      </c>
      <c r="M29" s="97">
        <f>'Felder et al. &amp; NIST'!B18</f>
        <v>28.986409999999999</v>
      </c>
      <c r="N29" s="97">
        <f>'Felder et al. &amp; NIST'!C18</f>
        <v>1.8539779999999999</v>
      </c>
      <c r="O29" s="97">
        <f>'Felder et al. &amp; NIST'!D18</f>
        <v>-9.6474589999999996</v>
      </c>
      <c r="P29" s="97">
        <f>'Felder et al. &amp; NIST'!E18</f>
        <v>16.635370000000002</v>
      </c>
      <c r="Q29" s="97">
        <f>'Felder et al. &amp; NIST'!F18</f>
        <v>1.17E-4</v>
      </c>
      <c r="R29" s="106">
        <f>'Felder et al. &amp; NIST'!J18</f>
        <v>0</v>
      </c>
      <c r="S29" s="97">
        <f>'Felder et al. &amp; NIST'!G18-273.15</f>
        <v>-173.14999999999998</v>
      </c>
      <c r="T29" s="97">
        <f>'Felder et al. &amp; NIST'!H18-273.15</f>
        <v>226.85000000000002</v>
      </c>
      <c r="U29" s="97"/>
      <c r="V29" s="97"/>
      <c r="W29" s="324" t="s">
        <v>322</v>
      </c>
      <c r="X29" s="67" t="str">
        <f>Assumptions!Q43</f>
        <v>Electricity €/MWh</v>
      </c>
      <c r="Y29" s="139">
        <f>Assumptions!R43</f>
        <v>62</v>
      </c>
    </row>
    <row r="30" spans="1:37" ht="31.5">
      <c r="A30" s="22">
        <f t="shared" si="0"/>
        <v>28</v>
      </c>
      <c r="B30" t="str">
        <f>Assumptions!A40</f>
        <v>Recovery of unreacted (MgO)</v>
      </c>
      <c r="C30" s="97">
        <f>Assumptions!B40</f>
        <v>0.6</v>
      </c>
      <c r="D30" s="97"/>
      <c r="E30" s="97"/>
      <c r="G30" t="s">
        <v>200</v>
      </c>
      <c r="H30" s="97">
        <f>'CHEPCI &amp; Location factors'!B29</f>
        <v>357.6</v>
      </c>
      <c r="I30" s="97">
        <f>'CHEPCI &amp; Location factors'!A29</f>
        <v>1990</v>
      </c>
      <c r="J30" s="97"/>
      <c r="K30" s="149"/>
      <c r="L30" s="190" t="str">
        <f>'Felder et al. &amp; NIST'!A19</f>
        <v>O2(g)</v>
      </c>
      <c r="M30" s="97">
        <f>'Felder et al. &amp; NIST'!B19</f>
        <v>31.322340000000001</v>
      </c>
      <c r="N30" s="97">
        <f>'Felder et al. &amp; NIST'!C19</f>
        <v>-20.235309999999998</v>
      </c>
      <c r="O30" s="97">
        <f>'Felder et al. &amp; NIST'!D19</f>
        <v>57.866439999999997</v>
      </c>
      <c r="P30" s="97">
        <f>'Felder et al. &amp; NIST'!E19</f>
        <v>-36.506239999999998</v>
      </c>
      <c r="Q30" s="97">
        <f>'Felder et al. &amp; NIST'!F19</f>
        <v>-7.3740000000000003E-3</v>
      </c>
      <c r="R30" s="106">
        <f>'Felder et al. &amp; NIST'!J19</f>
        <v>0</v>
      </c>
      <c r="S30" s="97">
        <f>'Felder et al. &amp; NIST'!G19-273.15</f>
        <v>-173.14999999999998</v>
      </c>
      <c r="T30" s="97">
        <f>'Felder et al. &amp; NIST'!H19-273.15</f>
        <v>426.85</v>
      </c>
      <c r="U30" s="97"/>
      <c r="V30" s="97"/>
      <c r="W30" s="324"/>
      <c r="X30" s="67" t="str">
        <f>Assumptions!Q44</f>
        <v>Natural gas [€/MWh]</v>
      </c>
      <c r="Y30" s="139">
        <f>Assumptions!R44</f>
        <v>32</v>
      </c>
    </row>
    <row r="31" spans="1:37" ht="31.5">
      <c r="A31" s="22">
        <f t="shared" si="0"/>
        <v>29</v>
      </c>
      <c r="B31" t="str">
        <f>Assumptions!A41</f>
        <v>Molecular weight MgO</v>
      </c>
      <c r="C31" s="97">
        <f>Assumptions!B41</f>
        <v>40.32</v>
      </c>
      <c r="D31" s="97"/>
      <c r="E31" s="97"/>
      <c r="G31" t="s">
        <v>200</v>
      </c>
      <c r="H31" s="97">
        <f>'CHEPCI &amp; Location factors'!B30</f>
        <v>361.3</v>
      </c>
      <c r="I31" s="97">
        <f>'CHEPCI &amp; Location factors'!A30</f>
        <v>1991</v>
      </c>
      <c r="J31" s="97"/>
      <c r="K31" s="149"/>
      <c r="L31" t="str">
        <f>'Felder et al. &amp; NIST'!A5</f>
        <v>CO2(g)</v>
      </c>
      <c r="M31" s="97">
        <f>'Felder et al. &amp; NIST'!K5</f>
        <v>44.1</v>
      </c>
      <c r="N31" s="97"/>
      <c r="O31" s="97"/>
      <c r="P31" s="97"/>
      <c r="Q31" s="97"/>
      <c r="R31" s="97"/>
      <c r="S31" s="97"/>
      <c r="T31" s="97"/>
      <c r="U31" s="97"/>
      <c r="V31" s="97"/>
      <c r="W31" s="324"/>
      <c r="X31" s="67" t="str">
        <f>Assumptions!Q45</f>
        <v>cooling water [€/m3]</v>
      </c>
      <c r="Y31" s="139">
        <f>Assumptions!R45</f>
        <v>8.9099999999999999E-2</v>
      </c>
    </row>
    <row r="32" spans="1:37">
      <c r="A32" s="22">
        <f t="shared" si="0"/>
        <v>30</v>
      </c>
      <c r="B32" t="str">
        <f>Assumptions!A42</f>
        <v>Energy recovery from Reaction</v>
      </c>
      <c r="C32" s="97">
        <f>Assumptions!B42</f>
        <v>0.8</v>
      </c>
      <c r="D32" s="97"/>
      <c r="E32" s="97"/>
      <c r="G32" t="s">
        <v>200</v>
      </c>
      <c r="H32" s="97">
        <f>'CHEPCI &amp; Location factors'!B31</f>
        <v>358.2</v>
      </c>
      <c r="I32" s="97">
        <f>'CHEPCI &amp; Location factors'!A31</f>
        <v>1992</v>
      </c>
      <c r="J32" s="97"/>
      <c r="K32" s="149"/>
      <c r="L32" t="str">
        <f>'Felder et al. &amp; NIST'!A6</f>
        <v>MgO</v>
      </c>
      <c r="M32" s="97">
        <f>'Felder et al. &amp; NIST'!K6</f>
        <v>40.32</v>
      </c>
      <c r="N32" s="97"/>
      <c r="O32" s="97"/>
      <c r="P32" s="97"/>
      <c r="Q32" s="97"/>
      <c r="R32" s="97"/>
      <c r="S32" s="97"/>
      <c r="T32" s="97"/>
      <c r="U32" s="97"/>
      <c r="V32" s="97"/>
      <c r="W32" s="324"/>
      <c r="X32" s="67">
        <f>Assumptions!Q46</f>
        <v>0</v>
      </c>
      <c r="Y32" s="139">
        <f>Assumptions!R46</f>
        <v>0</v>
      </c>
    </row>
    <row r="33" spans="1:28">
      <c r="A33" s="22">
        <f t="shared" si="0"/>
        <v>31</v>
      </c>
      <c r="B33" t="str">
        <f>Assumptions!A43</f>
        <v>Scaling factor Capture plant</v>
      </c>
      <c r="C33" s="97">
        <f>Assumptions!B43</f>
        <v>0.6</v>
      </c>
      <c r="D33" s="97"/>
      <c r="E33" s="97"/>
      <c r="G33" t="s">
        <v>200</v>
      </c>
      <c r="H33" s="97">
        <f>'CHEPCI &amp; Location factors'!B32</f>
        <v>359.2</v>
      </c>
      <c r="I33" s="97">
        <f>'CHEPCI &amp; Location factors'!A32</f>
        <v>1993</v>
      </c>
      <c r="J33" s="97"/>
      <c r="K33" s="149"/>
      <c r="L33" t="str">
        <f>'Felder et al. &amp; NIST'!A7</f>
        <v>SiO2</v>
      </c>
      <c r="M33" s="97">
        <f>'Felder et al. &amp; NIST'!K7</f>
        <v>60.08</v>
      </c>
      <c r="N33" s="97"/>
      <c r="O33" s="97"/>
      <c r="P33" s="97"/>
      <c r="Q33" s="97"/>
      <c r="R33" s="97"/>
      <c r="S33" s="97"/>
      <c r="T33" s="97"/>
      <c r="U33" s="97"/>
      <c r="V33" s="97"/>
      <c r="W33" s="324"/>
      <c r="X33" s="67">
        <f>Assumptions!Q47</f>
        <v>0</v>
      </c>
      <c r="Y33" s="139">
        <f>Assumptions!R47</f>
        <v>0</v>
      </c>
    </row>
    <row r="34" spans="1:28">
      <c r="A34" s="22">
        <f t="shared" si="0"/>
        <v>32</v>
      </c>
      <c r="B34" s="150" t="str">
        <f>Assumptions!A44</f>
        <v xml:space="preserve">Average cost of Worker </v>
      </c>
      <c r="C34" s="97">
        <f>Assumptions!B44</f>
        <v>25</v>
      </c>
      <c r="D34" s="97"/>
      <c r="E34" s="97"/>
      <c r="G34" t="s">
        <v>200</v>
      </c>
      <c r="H34" s="97">
        <f>'CHEPCI &amp; Location factors'!B33</f>
        <v>368.1</v>
      </c>
      <c r="I34" s="97">
        <f>'CHEPCI &amp; Location factors'!A33</f>
        <v>1994</v>
      </c>
      <c r="J34" s="97"/>
      <c r="K34" s="149"/>
      <c r="L34" t="str">
        <f>'Felder et al. &amp; NIST'!A8</f>
        <v>Fe2O3</v>
      </c>
      <c r="M34" s="97">
        <f>'Felder et al. &amp; NIST'!K8</f>
        <v>159.68799999999999</v>
      </c>
      <c r="N34" s="97"/>
      <c r="O34" s="97"/>
      <c r="P34" s="97"/>
      <c r="Q34" s="97"/>
      <c r="R34" s="97"/>
      <c r="S34" s="97"/>
      <c r="T34" s="97"/>
      <c r="U34" s="97"/>
      <c r="V34" s="97"/>
      <c r="W34" s="324"/>
      <c r="X34" s="67">
        <f>Assumptions!Q48</f>
        <v>0</v>
      </c>
      <c r="Y34" s="139">
        <f>Assumptions!R48</f>
        <v>0</v>
      </c>
    </row>
    <row r="35" spans="1:28">
      <c r="A35" s="22">
        <f t="shared" si="0"/>
        <v>33</v>
      </c>
      <c r="B35" s="150" t="str">
        <f>Assumptions!A45</f>
        <v>Working hours estimate</v>
      </c>
      <c r="C35" s="97">
        <f>Assumptions!B45</f>
        <v>1</v>
      </c>
      <c r="D35" s="97"/>
      <c r="E35" s="97"/>
      <c r="G35" t="s">
        <v>200</v>
      </c>
      <c r="H35" s="97">
        <f>'CHEPCI &amp; Location factors'!B34</f>
        <v>381.1</v>
      </c>
      <c r="I35" s="97">
        <f>'CHEPCI &amp; Location factors'!A34</f>
        <v>1995</v>
      </c>
      <c r="J35" s="97"/>
      <c r="K35" s="149"/>
      <c r="L35" s="236" t="str">
        <f>'Felder et al. &amp; NIST'!A9</f>
        <v>MgCO3</v>
      </c>
      <c r="M35" s="97">
        <f>'Felder et al. &amp; NIST'!K9</f>
        <v>84.42</v>
      </c>
      <c r="N35" s="97"/>
      <c r="O35" s="97"/>
      <c r="P35" s="97"/>
      <c r="Q35" s="97"/>
      <c r="R35" s="97"/>
      <c r="S35" s="97"/>
      <c r="T35" s="97"/>
      <c r="U35" s="97"/>
      <c r="V35" s="97"/>
      <c r="W35" s="324"/>
      <c r="X35" s="67">
        <f>Assumptions!Q49</f>
        <v>0</v>
      </c>
      <c r="Y35" s="139">
        <f>Assumptions!R49</f>
        <v>0</v>
      </c>
    </row>
    <row r="36" spans="1:28">
      <c r="A36" s="22">
        <f t="shared" si="0"/>
        <v>34</v>
      </c>
      <c r="B36" s="150" t="str">
        <f>Assumptions!A46</f>
        <v>maximum wall thickness reactor</v>
      </c>
      <c r="C36" s="97">
        <f>Assumptions!B46</f>
        <v>0.2</v>
      </c>
      <c r="D36" s="97"/>
      <c r="E36" s="97"/>
      <c r="G36" t="s">
        <v>200</v>
      </c>
      <c r="H36" s="97">
        <f>'CHEPCI &amp; Location factors'!B35</f>
        <v>381.7</v>
      </c>
      <c r="I36" s="97">
        <f>'CHEPCI &amp; Location factors'!A35</f>
        <v>1996</v>
      </c>
      <c r="J36" s="97"/>
      <c r="K36" s="149"/>
      <c r="L36" s="236" t="str">
        <f>'Felder et al. &amp; NIST'!A10</f>
        <v>H2O (l)</v>
      </c>
      <c r="M36" s="97">
        <f>'Felder et al. &amp; NIST'!K10</f>
        <v>18.015999999999998</v>
      </c>
      <c r="N36" s="97"/>
      <c r="O36" s="97"/>
      <c r="P36" s="97"/>
      <c r="Q36" s="97"/>
      <c r="R36" s="97"/>
      <c r="S36" s="97"/>
      <c r="T36" s="97"/>
      <c r="U36" s="97"/>
      <c r="V36" s="97"/>
      <c r="W36" s="324"/>
      <c r="X36" s="67">
        <f>Assumptions!Q50</f>
        <v>0</v>
      </c>
      <c r="Y36" s="139">
        <f>Assumptions!R50</f>
        <v>0</v>
      </c>
    </row>
    <row r="37" spans="1:28">
      <c r="A37" s="22">
        <f t="shared" si="0"/>
        <v>35</v>
      </c>
      <c r="B37" s="161" t="str">
        <f>Assumptions!A47</f>
        <v xml:space="preserve">Recycling Water &amp; Additives </v>
      </c>
      <c r="C37" s="97">
        <f>Assumptions!B47</f>
        <v>0.95</v>
      </c>
      <c r="D37" s="97"/>
      <c r="E37" s="97"/>
      <c r="G37" t="s">
        <v>200</v>
      </c>
      <c r="H37" s="97">
        <f>'CHEPCI &amp; Location factors'!B36</f>
        <v>386.5</v>
      </c>
      <c r="I37" s="97">
        <f>'CHEPCI &amp; Location factors'!A36</f>
        <v>1997</v>
      </c>
      <c r="J37" s="97"/>
      <c r="K37" s="149"/>
      <c r="L37" t="str">
        <f>'Felder et al. &amp; NIST'!A11</f>
        <v>NaHCO3 (shomate for Na2CO3)</v>
      </c>
      <c r="M37" s="97">
        <f>'Felder et al. &amp; NIST'!K11</f>
        <v>84.007000000000005</v>
      </c>
      <c r="N37" s="97"/>
      <c r="O37" s="97"/>
      <c r="P37" s="97"/>
      <c r="Q37" s="97"/>
      <c r="R37" s="97"/>
      <c r="S37" s="97"/>
      <c r="T37" s="97"/>
      <c r="U37" s="97"/>
      <c r="V37" s="97"/>
      <c r="W37" s="324"/>
      <c r="X37" s="67">
        <f>Assumptions!Q51</f>
        <v>0</v>
      </c>
      <c r="Y37" s="139">
        <f>Assumptions!R51</f>
        <v>0</v>
      </c>
    </row>
    <row r="38" spans="1:28">
      <c r="A38" s="22">
        <f t="shared" si="0"/>
        <v>36</v>
      </c>
      <c r="B38" s="150" t="str">
        <f>Assumptions!A48</f>
        <v>minimal Temp difference for heat exchanger</v>
      </c>
      <c r="C38" s="97">
        <f>Assumptions!B48</f>
        <v>10</v>
      </c>
      <c r="D38" s="97"/>
      <c r="E38" s="97"/>
      <c r="G38" t="s">
        <v>200</v>
      </c>
      <c r="H38" s="97">
        <f>'CHEPCI &amp; Location factors'!B37</f>
        <v>389.5</v>
      </c>
      <c r="I38" s="97">
        <f>'CHEPCI &amp; Location factors'!A37</f>
        <v>1998</v>
      </c>
      <c r="J38" s="97"/>
      <c r="K38" s="149"/>
      <c r="L38" t="str">
        <f>'Felder et al. &amp; NIST'!A12</f>
        <v>NaCl</v>
      </c>
      <c r="M38" s="97">
        <f>'Felder et al. &amp; NIST'!K12</f>
        <v>58.45</v>
      </c>
      <c r="N38" s="97"/>
      <c r="O38" s="97"/>
      <c r="P38" s="97"/>
      <c r="Q38" s="97"/>
      <c r="R38" s="97"/>
      <c r="S38" s="97"/>
      <c r="T38" s="97"/>
      <c r="U38" s="97"/>
      <c r="V38" s="97"/>
      <c r="X38" s="67">
        <f>Assumptions!Q52</f>
        <v>0</v>
      </c>
      <c r="Y38" s="139">
        <f>Assumptions!R52</f>
        <v>0</v>
      </c>
    </row>
    <row r="39" spans="1:28">
      <c r="A39" s="22">
        <f t="shared" si="0"/>
        <v>37</v>
      </c>
      <c r="B39" s="150" t="str">
        <f>Assumptions!A49</f>
        <v>Number of compression steps</v>
      </c>
      <c r="C39" s="97">
        <f>Assumptions!B49</f>
        <v>4</v>
      </c>
      <c r="D39" s="97"/>
      <c r="E39" s="97"/>
      <c r="G39" t="s">
        <v>200</v>
      </c>
      <c r="H39" s="97">
        <f>'CHEPCI &amp; Location factors'!B38</f>
        <v>390.6</v>
      </c>
      <c r="I39" s="97">
        <f>'CHEPCI &amp; Location factors'!A38</f>
        <v>1999</v>
      </c>
      <c r="J39" s="97"/>
      <c r="K39" s="149"/>
      <c r="L39" s="183" t="str">
        <f>'Felder et al. &amp; NIST'!A13</f>
        <v>Mg2SiO4</v>
      </c>
      <c r="M39" s="97">
        <f>'Felder et al. &amp; NIST'!K13</f>
        <v>140.72</v>
      </c>
      <c r="N39" s="97"/>
      <c r="O39" s="97"/>
      <c r="P39" s="97"/>
      <c r="Q39" s="97"/>
      <c r="R39" s="97"/>
      <c r="S39" s="97"/>
      <c r="T39" s="97"/>
      <c r="U39" s="97"/>
      <c r="V39" s="97"/>
      <c r="X39" s="67">
        <f>Assumptions!Q53</f>
        <v>0</v>
      </c>
      <c r="Y39" s="139">
        <f>Assumptions!R53</f>
        <v>0</v>
      </c>
    </row>
    <row r="40" spans="1:28">
      <c r="A40" s="22">
        <f t="shared" si="0"/>
        <v>38</v>
      </c>
      <c r="B40" s="150" t="str">
        <f>Assumptions!A50</f>
        <v>Heat treatment used?</v>
      </c>
      <c r="C40" s="97">
        <f>Assumptions!B50</f>
        <v>0</v>
      </c>
      <c r="D40" s="97"/>
      <c r="E40" s="97"/>
      <c r="G40" t="s">
        <v>200</v>
      </c>
      <c r="H40" s="97">
        <f>'CHEPCI &amp; Location factors'!B39</f>
        <v>394.1</v>
      </c>
      <c r="I40" s="97">
        <f>'CHEPCI &amp; Location factors'!A39</f>
        <v>2000</v>
      </c>
      <c r="J40" s="97"/>
      <c r="K40" s="149"/>
      <c r="L40" s="183" t="str">
        <f>'Felder et al. &amp; NIST'!A14</f>
        <v>oxalic acid</v>
      </c>
      <c r="M40" s="97">
        <f>'Felder et al. &amp; NIST'!K14</f>
        <v>90.034000000000006</v>
      </c>
      <c r="N40" s="97"/>
      <c r="O40" s="97"/>
      <c r="P40" s="97"/>
      <c r="Q40" s="97"/>
      <c r="R40" s="97"/>
      <c r="S40" s="97"/>
      <c r="T40" s="97"/>
      <c r="U40" s="97"/>
      <c r="V40" s="97"/>
      <c r="X40" s="67">
        <f>Assumptions!Q54</f>
        <v>0</v>
      </c>
      <c r="Y40" s="139">
        <f>Assumptions!R54</f>
        <v>0</v>
      </c>
    </row>
    <row r="41" spans="1:28">
      <c r="A41" s="22">
        <f t="shared" si="0"/>
        <v>39</v>
      </c>
      <c r="B41" s="150" t="str">
        <f>Assumptions!A51</f>
        <v>Yield reaction (CO2)</v>
      </c>
      <c r="C41" s="97">
        <f>Assumptions!B51</f>
        <v>1</v>
      </c>
      <c r="D41" s="97"/>
      <c r="E41" s="97"/>
      <c r="G41" t="s">
        <v>200</v>
      </c>
      <c r="H41" s="97">
        <f>'CHEPCI &amp; Location factors'!B40</f>
        <v>394.3</v>
      </c>
      <c r="I41" s="97">
        <f>'CHEPCI &amp; Location factors'!A40</f>
        <v>2001</v>
      </c>
      <c r="J41" s="97"/>
      <c r="K41" s="149"/>
      <c r="L41" s="183" t="str">
        <f>'Felder et al. &amp; NIST'!A15</f>
        <v xml:space="preserve">acorbic </v>
      </c>
      <c r="M41" s="97">
        <f>'Felder et al. &amp; NIST'!K15</f>
        <v>176.12</v>
      </c>
      <c r="N41" s="97"/>
      <c r="O41" s="97"/>
      <c r="P41" s="97"/>
      <c r="Q41" s="97"/>
      <c r="R41" s="97"/>
      <c r="S41" s="97"/>
      <c r="T41" s="97"/>
      <c r="U41" s="97"/>
      <c r="V41" s="97"/>
      <c r="X41" s="67">
        <f>Assumptions!Q55</f>
        <v>0</v>
      </c>
      <c r="Y41" s="139">
        <f>Assumptions!R55</f>
        <v>0</v>
      </c>
    </row>
    <row r="42" spans="1:28">
      <c r="A42" s="22">
        <f t="shared" si="0"/>
        <v>40</v>
      </c>
      <c r="B42" s="150" t="str">
        <f>Assumptions!A52</f>
        <v>mineral purity</v>
      </c>
      <c r="C42" s="97">
        <f>Assumptions!B52</f>
        <v>0.85</v>
      </c>
      <c r="D42" s="97"/>
      <c r="E42" s="97"/>
      <c r="G42" t="s">
        <v>200</v>
      </c>
      <c r="H42" s="97">
        <f>'CHEPCI &amp; Location factors'!B41</f>
        <v>395.6</v>
      </c>
      <c r="I42" s="97">
        <f>'CHEPCI &amp; Location factors'!A41</f>
        <v>2002</v>
      </c>
      <c r="J42" s="97"/>
      <c r="K42" s="149"/>
      <c r="L42" s="215" t="str">
        <f>'Felder et al. &amp; NIST'!A16</f>
        <v>MEA (l)</v>
      </c>
      <c r="M42" s="97">
        <f>'Felder et al. &amp; NIST'!K16</f>
        <v>61.08</v>
      </c>
      <c r="N42" s="97"/>
      <c r="O42" s="97"/>
      <c r="P42" s="97"/>
      <c r="Q42" s="97"/>
      <c r="R42" s="97"/>
      <c r="S42" s="97"/>
      <c r="T42" s="97"/>
      <c r="U42" s="97"/>
      <c r="V42" s="97"/>
      <c r="X42" s="67">
        <f>Assumptions!Q56</f>
        <v>0</v>
      </c>
      <c r="Y42" s="139">
        <f>Assumptions!R56</f>
        <v>0</v>
      </c>
    </row>
    <row r="43" spans="1:28">
      <c r="A43" s="22">
        <f t="shared" si="0"/>
        <v>41</v>
      </c>
      <c r="B43" s="150" t="str">
        <f>Assumptions!A53</f>
        <v>efficiency pump</v>
      </c>
      <c r="C43" s="97">
        <f>Assumptions!B53</f>
        <v>0.85</v>
      </c>
      <c r="D43" s="97"/>
      <c r="E43" s="97"/>
      <c r="G43" t="s">
        <v>200</v>
      </c>
      <c r="H43" s="97">
        <f>'CHEPCI &amp; Location factors'!B42</f>
        <v>401.7</v>
      </c>
      <c r="I43" s="97">
        <f>'CHEPCI &amp; Location factors'!A42</f>
        <v>2003</v>
      </c>
      <c r="J43" s="97"/>
      <c r="K43" s="149"/>
      <c r="L43" t="str">
        <f>'Felder et al. &amp; NIST'!A35</f>
        <v>Co2</v>
      </c>
      <c r="M43" s="97">
        <f>'Felder et al. &amp; NIST'!B35</f>
        <v>304.18</v>
      </c>
      <c r="N43" s="97">
        <f>'Felder et al. &amp; NIST'!C35</f>
        <v>73.8</v>
      </c>
      <c r="O43" s="97">
        <f>'Felder et al. &amp; NIST'!D35</f>
        <v>0.22500000000000001</v>
      </c>
      <c r="P43" s="97">
        <f>'Felder et al. &amp; NIST'!E35</f>
        <v>1.28</v>
      </c>
      <c r="Q43" s="97"/>
      <c r="R43" s="97"/>
      <c r="S43" s="97"/>
      <c r="T43" s="97"/>
      <c r="U43" s="97"/>
      <c r="V43" s="97"/>
      <c r="W43" s="324" t="s">
        <v>560</v>
      </c>
      <c r="X43" s="22" t="str">
        <f>Assumptions!G24</f>
        <v>Stoichiometric coefficient</v>
      </c>
      <c r="Y43" s="97">
        <f>Assumptions!H24</f>
        <v>1</v>
      </c>
      <c r="Z43" s="97">
        <f>Assumptions!I24</f>
        <v>2</v>
      </c>
      <c r="AA43" s="97">
        <f>Assumptions!J24</f>
        <v>2</v>
      </c>
      <c r="AB43" s="97">
        <f>Assumptions!K24</f>
        <v>1</v>
      </c>
    </row>
    <row r="44" spans="1:28">
      <c r="A44" s="22">
        <f t="shared" si="0"/>
        <v>42</v>
      </c>
      <c r="B44" s="150" t="str">
        <f>Assumptions!A54</f>
        <v>hydraulic head for pumping</v>
      </c>
      <c r="C44" s="97">
        <f>Assumptions!B54</f>
        <v>10</v>
      </c>
      <c r="D44" s="97"/>
      <c r="E44" s="97"/>
      <c r="G44" t="s">
        <v>200</v>
      </c>
      <c r="H44" s="97">
        <f>'CHEPCI &amp; Location factors'!B43</f>
        <v>444.2</v>
      </c>
      <c r="I44" s="97">
        <f>'CHEPCI &amp; Location factors'!A43</f>
        <v>2004</v>
      </c>
      <c r="J44" s="97"/>
      <c r="K44" s="149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324"/>
      <c r="X44" s="175"/>
      <c r="Y44" s="175"/>
      <c r="Z44" s="175"/>
      <c r="AA44" s="175"/>
      <c r="AB44" s="175"/>
    </row>
    <row r="45" spans="1:28">
      <c r="A45" s="22">
        <f t="shared" si="0"/>
        <v>43</v>
      </c>
      <c r="B45" s="150" t="str">
        <f>Assumptions!A55</f>
        <v>force of gravity (Berlin)</v>
      </c>
      <c r="C45" s="97">
        <f>Assumptions!B55</f>
        <v>9.8127770000000005</v>
      </c>
      <c r="D45" s="97"/>
      <c r="E45" s="97"/>
      <c r="G45" t="s">
        <v>200</v>
      </c>
      <c r="H45" s="97">
        <f>'CHEPCI &amp; Location factors'!B44</f>
        <v>468.2</v>
      </c>
      <c r="I45" s="97">
        <f>'CHEPCI &amp; Location factors'!A44</f>
        <v>2005</v>
      </c>
      <c r="J45" s="97"/>
      <c r="K45" s="149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324"/>
    </row>
    <row r="46" spans="1:28">
      <c r="A46" s="22">
        <f t="shared" si="0"/>
        <v>44</v>
      </c>
      <c r="B46" s="150" t="str">
        <f>Assumptions!A56</f>
        <v>Reaction enthalpy</v>
      </c>
      <c r="C46" s="97">
        <f>Assumptions!B56</f>
        <v>95</v>
      </c>
      <c r="D46" s="97"/>
      <c r="E46" s="97"/>
      <c r="G46" t="s">
        <v>200</v>
      </c>
      <c r="H46" s="97">
        <f>'CHEPCI &amp; Location factors'!B45</f>
        <v>499.6</v>
      </c>
      <c r="I46" s="97">
        <f>'CHEPCI &amp; Location factors'!A45</f>
        <v>2006</v>
      </c>
      <c r="J46" s="97"/>
      <c r="K46" s="149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324"/>
    </row>
    <row r="47" spans="1:28">
      <c r="A47" s="22">
        <f t="shared" si="0"/>
        <v>45</v>
      </c>
      <c r="B47" s="150" t="str">
        <f>Assumptions!A57</f>
        <v>Transport Truck</v>
      </c>
      <c r="C47" s="97">
        <f>Assumptions!B57</f>
        <v>0.04</v>
      </c>
      <c r="D47" s="97"/>
      <c r="E47" s="97"/>
      <c r="G47" t="s">
        <v>200</v>
      </c>
      <c r="H47" s="97">
        <f>'CHEPCI &amp; Location factors'!B46</f>
        <v>525.4</v>
      </c>
      <c r="I47" s="97">
        <f>'CHEPCI &amp; Location factors'!A46</f>
        <v>2007</v>
      </c>
      <c r="J47" s="97"/>
      <c r="K47" s="149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324"/>
    </row>
    <row r="48" spans="1:28">
      <c r="A48" s="22">
        <f t="shared" si="0"/>
        <v>46</v>
      </c>
      <c r="B48" s="214" t="str">
        <f>Assumptions!A58</f>
        <v>Transport Train</v>
      </c>
      <c r="C48" s="97">
        <f>Assumptions!B58</f>
        <v>3.2000000000000001E-2</v>
      </c>
      <c r="D48" s="97"/>
      <c r="E48" s="97"/>
      <c r="G48" t="s">
        <v>200</v>
      </c>
      <c r="H48" s="97">
        <f>'CHEPCI &amp; Location factors'!B47</f>
        <v>575.4</v>
      </c>
      <c r="I48" s="97">
        <f>'CHEPCI &amp; Location factors'!A47</f>
        <v>2008</v>
      </c>
      <c r="J48" s="97"/>
      <c r="K48" s="149"/>
      <c r="L48" s="104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324"/>
    </row>
    <row r="49" spans="1:23">
      <c r="A49" s="22">
        <f t="shared" si="0"/>
        <v>47</v>
      </c>
      <c r="B49" s="214" t="str">
        <f>Assumptions!A59</f>
        <v>Transport Ship</v>
      </c>
      <c r="C49" s="97">
        <f>Assumptions!B59</f>
        <v>3.2000000000000002E-3</v>
      </c>
      <c r="D49" s="97"/>
      <c r="E49" s="97"/>
      <c r="G49" t="s">
        <v>200</v>
      </c>
      <c r="H49" s="97">
        <f>'CHEPCI &amp; Location factors'!B48</f>
        <v>521.9</v>
      </c>
      <c r="I49" s="97">
        <f>'CHEPCI &amp; Location factors'!A48</f>
        <v>2009</v>
      </c>
      <c r="J49" s="97"/>
      <c r="K49" s="149"/>
      <c r="L49" s="164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324"/>
    </row>
    <row r="50" spans="1:23">
      <c r="A50" s="22">
        <f t="shared" si="0"/>
        <v>48</v>
      </c>
      <c r="B50" s="214" t="str">
        <f>Assumptions!A60</f>
        <v>Distance Mineral</v>
      </c>
      <c r="C50" s="97">
        <f>Assumptions!B60</f>
        <v>1200</v>
      </c>
      <c r="D50" s="97"/>
      <c r="E50" s="97"/>
      <c r="G50" t="s">
        <v>200</v>
      </c>
      <c r="H50" s="97">
        <f>'CHEPCI &amp; Location factors'!B49</f>
        <v>550.79999999999995</v>
      </c>
      <c r="I50" s="97">
        <f>'CHEPCI &amp; Location factors'!A49</f>
        <v>2010</v>
      </c>
      <c r="J50" s="97"/>
      <c r="K50" s="149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324"/>
    </row>
    <row r="51" spans="1:23">
      <c r="A51" s="22">
        <f t="shared" si="0"/>
        <v>49</v>
      </c>
      <c r="B51" s="255" t="str">
        <f>Assumptions!A61</f>
        <v>Cement replacement produced</v>
      </c>
      <c r="C51" s="97">
        <f>Assumptions!B61</f>
        <v>372000</v>
      </c>
      <c r="D51" s="97"/>
      <c r="E51" s="97"/>
      <c r="G51" t="s">
        <v>200</v>
      </c>
      <c r="H51" s="97">
        <f>'CHEPCI &amp; Location factors'!B50</f>
        <v>585.70000000000005</v>
      </c>
      <c r="I51" s="97">
        <f>'CHEPCI &amp; Location factors'!A50</f>
        <v>2011</v>
      </c>
      <c r="J51" s="97"/>
      <c r="K51" s="149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324"/>
    </row>
    <row r="52" spans="1:23">
      <c r="A52" s="22">
        <f t="shared" si="0"/>
        <v>50</v>
      </c>
      <c r="B52" s="255" t="str">
        <f>Assumptions!A62</f>
        <v>construction time</v>
      </c>
      <c r="C52" s="97">
        <f>Assumptions!B62</f>
        <v>1</v>
      </c>
      <c r="D52" s="97"/>
      <c r="E52" s="97"/>
      <c r="G52" t="s">
        <v>200</v>
      </c>
      <c r="H52" s="97">
        <f>'CHEPCI &amp; Location factors'!B51</f>
        <v>584.6</v>
      </c>
      <c r="I52" s="97">
        <f>'CHEPCI &amp; Location factors'!A51</f>
        <v>2012</v>
      </c>
      <c r="J52" s="97"/>
      <c r="K52" s="149"/>
      <c r="L52" s="107" t="str">
        <f>'Input Hesam'!C1</f>
        <v>Function from Hesam (Aspen simulation)</v>
      </c>
      <c r="M52" s="97">
        <f>'Input Hesam'!E24</f>
        <v>17.507000000000001</v>
      </c>
      <c r="N52" s="97">
        <f>'Input Hesam'!F24</f>
        <v>12.875999999999999</v>
      </c>
      <c r="O52" s="97"/>
      <c r="P52" s="97"/>
      <c r="Q52" s="97"/>
      <c r="R52" s="97"/>
      <c r="S52" s="97"/>
      <c r="T52" s="97"/>
      <c r="U52" s="97"/>
      <c r="V52" s="97"/>
    </row>
    <row r="53" spans="1:23">
      <c r="A53" s="22">
        <f t="shared" si="0"/>
        <v>51</v>
      </c>
      <c r="B53" s="255" t="str">
        <f>Assumptions!A63</f>
        <v>learning rate</v>
      </c>
      <c r="C53" s="97">
        <f>Assumptions!B63</f>
        <v>0.1055</v>
      </c>
      <c r="D53" s="97"/>
      <c r="E53" s="97"/>
      <c r="G53" t="s">
        <v>200</v>
      </c>
      <c r="H53" s="97">
        <f>'CHEPCI &amp; Location factors'!B52</f>
        <v>576.1</v>
      </c>
      <c r="I53" s="97">
        <f>'CHEPCI &amp; Location factors'!A52</f>
        <v>2013</v>
      </c>
      <c r="J53" s="97"/>
      <c r="K53" s="149"/>
      <c r="L53" s="10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325" t="s">
        <v>600</v>
      </c>
    </row>
    <row r="54" spans="1:23">
      <c r="A54" s="22">
        <f t="shared" si="0"/>
        <v>52</v>
      </c>
      <c r="B54" s="255" t="str">
        <f>Assumptions!A64</f>
        <v>Number of plants to NOAK</v>
      </c>
      <c r="C54" s="97">
        <f>Assumptions!B64</f>
        <v>20</v>
      </c>
      <c r="D54" s="97"/>
      <c r="E54" s="97"/>
      <c r="G54" t="s">
        <v>200</v>
      </c>
      <c r="H54" s="97">
        <f>'CHEPCI &amp; Location factors'!B53</f>
        <v>576.1</v>
      </c>
      <c r="I54" s="97">
        <f>'CHEPCI &amp; Location factors'!A53</f>
        <v>2014</v>
      </c>
      <c r="J54" s="97"/>
      <c r="K54" s="149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325"/>
    </row>
    <row r="55" spans="1:23">
      <c r="A55" s="22">
        <f t="shared" si="0"/>
        <v>53</v>
      </c>
      <c r="B55" s="255" t="str">
        <f>Assumptions!A65</f>
        <v>classification efficiency</v>
      </c>
      <c r="C55" s="97">
        <f>Assumptions!B65</f>
        <v>0.8</v>
      </c>
      <c r="D55" s="97"/>
      <c r="E55" s="97"/>
      <c r="G55" t="s">
        <v>200</v>
      </c>
      <c r="H55" s="97">
        <f>'CHEPCI &amp; Location factors'!B54</f>
        <v>556.79999999999995</v>
      </c>
      <c r="I55" s="97">
        <f>'CHEPCI &amp; Location factors'!A54</f>
        <v>2015</v>
      </c>
      <c r="J55" s="97"/>
      <c r="K55" s="149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325"/>
    </row>
    <row r="56" spans="1:23">
      <c r="A56" s="22">
        <f t="shared" si="0"/>
        <v>54</v>
      </c>
      <c r="B56" s="255">
        <f>Assumptions!A66</f>
        <v>0</v>
      </c>
      <c r="C56" s="97">
        <f>Assumptions!B66</f>
        <v>0</v>
      </c>
      <c r="D56" s="97"/>
      <c r="E56" s="97"/>
      <c r="G56" t="s">
        <v>200</v>
      </c>
      <c r="H56" s="97">
        <f>'CHEPCI &amp; Location factors'!B55</f>
        <v>541.70000000000005</v>
      </c>
      <c r="I56" s="97">
        <f>'CHEPCI &amp; Location factors'!A55</f>
        <v>2016</v>
      </c>
      <c r="J56" s="97"/>
      <c r="K56" s="149"/>
      <c r="M56" s="97"/>
      <c r="N56" s="97"/>
      <c r="O56" s="97"/>
      <c r="P56" s="97"/>
      <c r="Q56" s="97"/>
      <c r="R56" s="97"/>
      <c r="S56" s="97"/>
      <c r="T56" s="97"/>
      <c r="U56" s="97"/>
      <c r="V56" s="97"/>
    </row>
    <row r="57" spans="1:23">
      <c r="A57" s="22">
        <f t="shared" si="0"/>
        <v>55</v>
      </c>
      <c r="B57" s="255">
        <f>Assumptions!A67</f>
        <v>0</v>
      </c>
      <c r="C57" s="97">
        <f>Assumptions!B67</f>
        <v>0</v>
      </c>
      <c r="D57" s="97"/>
      <c r="E57" s="97"/>
      <c r="G57" t="s">
        <v>200</v>
      </c>
      <c r="H57" s="97">
        <f>'CHEPCI &amp; Location factors'!B56</f>
        <v>567.5</v>
      </c>
      <c r="I57" s="97">
        <f>'CHEPCI &amp; Location factors'!A56</f>
        <v>2017</v>
      </c>
      <c r="J57" s="97"/>
      <c r="K57" s="149"/>
      <c r="L57" t="s">
        <v>653</v>
      </c>
      <c r="M57" s="106">
        <f>'VDI-Wärmeatlas'!B19</f>
        <v>3.9999999999999998E-11</v>
      </c>
      <c r="N57" s="106">
        <f>'VDI-Wärmeatlas'!C19</f>
        <v>-4.9999999999999998E-8</v>
      </c>
      <c r="O57" s="106">
        <f>'VDI-Wärmeatlas'!D19</f>
        <v>2.0000000000000002E-5</v>
      </c>
      <c r="P57" s="106">
        <f>'VDI-Wärmeatlas'!E19</f>
        <v>-5.4999999999999997E-3</v>
      </c>
      <c r="Q57" s="106">
        <f>'VDI-Wärmeatlas'!F19</f>
        <v>0.70620000000000005</v>
      </c>
      <c r="R57" s="106">
        <f>'VDI-Wärmeatlas'!G19</f>
        <v>-48.792000000000002</v>
      </c>
      <c r="S57" s="106">
        <f>'VDI-Wärmeatlas'!H19</f>
        <v>1763.8</v>
      </c>
      <c r="T57" s="106"/>
      <c r="U57" s="97"/>
      <c r="V57" s="97"/>
    </row>
    <row r="58" spans="1:23">
      <c r="A58" s="22">
        <f t="shared" si="0"/>
        <v>56</v>
      </c>
      <c r="B58" s="217" t="str">
        <f>Assumptions!A68</f>
        <v>price cement</v>
      </c>
      <c r="C58" s="97">
        <f>Assumptions!B68</f>
        <v>102</v>
      </c>
      <c r="D58" s="97"/>
      <c r="E58" s="97"/>
      <c r="G58" t="s">
        <v>200</v>
      </c>
      <c r="H58" s="97">
        <f>'CHEPCI &amp; Location factors'!B57</f>
        <v>0</v>
      </c>
      <c r="I58" s="97">
        <f>'CHEPCI &amp; Location factors'!A57</f>
        <v>2018</v>
      </c>
      <c r="J58" s="97"/>
      <c r="K58" s="149"/>
      <c r="M58" s="97"/>
      <c r="N58" s="97"/>
      <c r="O58" s="97"/>
      <c r="P58" s="97"/>
      <c r="Q58" s="97"/>
      <c r="R58" s="97"/>
      <c r="S58" s="97"/>
      <c r="T58" s="97"/>
      <c r="U58" s="97"/>
      <c r="V58" s="97"/>
    </row>
    <row r="59" spans="1:23">
      <c r="A59" s="22">
        <f t="shared" si="0"/>
        <v>57</v>
      </c>
      <c r="B59" s="217" t="str">
        <f>Assumptions!A69</f>
        <v>price ETS</v>
      </c>
      <c r="C59" s="97">
        <f>Assumptions!B69</f>
        <v>32</v>
      </c>
      <c r="D59" s="97"/>
      <c r="E59" s="97"/>
      <c r="G59" t="s">
        <v>201</v>
      </c>
      <c r="H59" s="97">
        <f>'CHEPCI &amp; Location factors'!C60</f>
        <v>1.0165283458115075</v>
      </c>
      <c r="I59" s="97"/>
      <c r="J59" s="97">
        <f>'CHEPCI &amp; Location factors'!E60</f>
        <v>1</v>
      </c>
      <c r="K59" s="149"/>
      <c r="M59" s="97"/>
      <c r="N59" s="97"/>
      <c r="O59" s="97"/>
      <c r="P59" s="97"/>
      <c r="Q59" s="97"/>
      <c r="R59" s="97"/>
      <c r="S59" s="97"/>
      <c r="T59" s="97"/>
      <c r="U59" s="97"/>
      <c r="V59" s="97"/>
    </row>
    <row r="60" spans="1:23">
      <c r="A60" s="22">
        <f t="shared" si="0"/>
        <v>58</v>
      </c>
      <c r="B60" s="217" t="str">
        <f>Assumptions!A70</f>
        <v>Emission reduction per tonne CO2 utilized</v>
      </c>
      <c r="C60" s="97">
        <f>Assumptions!B70</f>
        <v>1.5</v>
      </c>
      <c r="D60" s="97"/>
      <c r="E60" s="97"/>
      <c r="G60" t="s">
        <v>201</v>
      </c>
      <c r="H60" s="97">
        <f>'CHEPCI &amp; Location factors'!C61</f>
        <v>1.1261539517323564</v>
      </c>
      <c r="I60" s="97"/>
      <c r="J60" s="97">
        <f>'CHEPCI &amp; Location factors'!E61</f>
        <v>2</v>
      </c>
      <c r="K60" s="149"/>
      <c r="M60" s="97"/>
      <c r="N60" s="97"/>
      <c r="O60" s="97"/>
      <c r="P60" s="97"/>
      <c r="Q60" s="97"/>
      <c r="R60" s="97"/>
      <c r="S60" s="97"/>
      <c r="T60" s="97"/>
      <c r="U60" s="97"/>
      <c r="V60" s="97"/>
    </row>
    <row r="61" spans="1:23">
      <c r="A61" s="22">
        <f t="shared" si="0"/>
        <v>59</v>
      </c>
      <c r="B61" s="217" t="s">
        <v>736</v>
      </c>
      <c r="C61" s="97">
        <f>Assumptions!B71</f>
        <v>0.08</v>
      </c>
      <c r="D61" s="97"/>
      <c r="E61" s="97"/>
      <c r="G61" t="s">
        <v>201</v>
      </c>
      <c r="H61" s="97">
        <f>'CHEPCI &amp; Location factors'!C62</f>
        <v>1.1062220233831115</v>
      </c>
      <c r="I61" s="97"/>
      <c r="J61" s="97">
        <f>'CHEPCI &amp; Location factors'!E62</f>
        <v>3</v>
      </c>
      <c r="K61" s="149"/>
      <c r="M61" s="97"/>
      <c r="N61" s="97"/>
      <c r="O61" s="97"/>
      <c r="P61" s="97"/>
      <c r="Q61" s="97"/>
      <c r="R61" s="97"/>
      <c r="S61" s="97"/>
      <c r="T61" s="97"/>
      <c r="U61" s="97"/>
      <c r="V61" s="97"/>
    </row>
    <row r="62" spans="1:23">
      <c r="A62" s="22">
        <f t="shared" si="0"/>
        <v>60</v>
      </c>
      <c r="B62" s="217" t="str">
        <f>Assumptions!A72</f>
        <v>blending ratio cement with inert</v>
      </c>
      <c r="C62" s="97">
        <f>Assumptions!B72</f>
        <v>0.12</v>
      </c>
      <c r="D62" s="97"/>
      <c r="E62" s="97"/>
      <c r="G62" t="s">
        <v>201</v>
      </c>
      <c r="H62" s="97">
        <f>'CHEPCI &amp; Location factors'!C63</f>
        <v>1.136119915906979</v>
      </c>
      <c r="I62" s="97"/>
      <c r="J62" s="97">
        <f>'CHEPCI &amp; Location factors'!E63</f>
        <v>4</v>
      </c>
      <c r="K62" s="149"/>
      <c r="M62" s="97"/>
      <c r="N62" s="97"/>
      <c r="O62" s="97"/>
      <c r="P62" s="97"/>
      <c r="Q62" s="97"/>
      <c r="R62" s="97"/>
      <c r="S62" s="97"/>
      <c r="T62" s="97"/>
      <c r="U62" s="97"/>
      <c r="V62" s="97"/>
    </row>
    <row r="63" spans="1:23">
      <c r="A63" s="22">
        <f t="shared" si="0"/>
        <v>61</v>
      </c>
      <c r="B63" s="217" t="str">
        <f>Assumptions!A73</f>
        <v>distance Truck to storage</v>
      </c>
      <c r="C63" s="97">
        <f>Assumptions!B73</f>
        <v>10</v>
      </c>
      <c r="D63" s="97"/>
      <c r="E63" s="97"/>
      <c r="G63" t="s">
        <v>201</v>
      </c>
      <c r="H63" s="97">
        <f>'CHEPCI &amp; Location factors'!C64</f>
        <v>1.1859497367800922</v>
      </c>
      <c r="I63" s="97"/>
      <c r="J63" s="97">
        <f>'CHEPCI &amp; Location factors'!E64</f>
        <v>5</v>
      </c>
      <c r="K63" s="149"/>
      <c r="M63" s="97"/>
      <c r="N63" s="97"/>
      <c r="O63" s="97"/>
      <c r="P63" s="97"/>
      <c r="Q63" s="97"/>
      <c r="R63" s="97"/>
      <c r="S63" s="97"/>
      <c r="T63" s="97"/>
      <c r="U63" s="97"/>
      <c r="V63" s="97"/>
    </row>
    <row r="64" spans="1:23">
      <c r="A64" s="22">
        <f t="shared" si="0"/>
        <v>62</v>
      </c>
      <c r="B64" s="238" t="str">
        <f>Assumptions!A74</f>
        <v>Heat transfer coefficient</v>
      </c>
      <c r="C64" s="97">
        <f>Assumptions!B74</f>
        <v>455</v>
      </c>
      <c r="D64" s="97"/>
      <c r="E64" s="97"/>
      <c r="G64" t="s">
        <v>201</v>
      </c>
      <c r="H64" s="97">
        <f>'CHEPCI &amp; Location factors'!C65</f>
        <v>1.5247925187172615</v>
      </c>
      <c r="I64" s="97"/>
      <c r="J64" s="97">
        <f>'CHEPCI &amp; Location factors'!E65</f>
        <v>6</v>
      </c>
      <c r="K64" s="149"/>
      <c r="M64" s="97"/>
      <c r="N64" s="97"/>
      <c r="O64" s="97"/>
      <c r="P64" s="97"/>
      <c r="Q64" s="97"/>
      <c r="R64" s="97"/>
      <c r="S64" s="97"/>
      <c r="T64" s="97"/>
      <c r="U64" s="97"/>
      <c r="V64" s="97"/>
    </row>
    <row r="65" spans="1:22">
      <c r="A65" s="22">
        <f t="shared" si="0"/>
        <v>63</v>
      </c>
      <c r="B65" s="238" t="str">
        <f>Assumptions!A75</f>
        <v>RPM Dewater Centrifuge</v>
      </c>
      <c r="C65" s="97">
        <f>Assumptions!B75</f>
        <v>3000</v>
      </c>
      <c r="D65" s="97"/>
      <c r="E65" s="97"/>
      <c r="G65" t="s">
        <v>201</v>
      </c>
      <c r="H65" s="97">
        <f>'CHEPCI &amp; Location factors'!C66</f>
        <v>1.0165283458115075</v>
      </c>
      <c r="I65" s="97"/>
      <c r="J65" s="97">
        <f>'CHEPCI &amp; Location factors'!E66</f>
        <v>7</v>
      </c>
      <c r="K65" s="149"/>
      <c r="M65" s="97"/>
      <c r="N65" s="97"/>
      <c r="O65" s="97"/>
      <c r="P65" s="97"/>
      <c r="Q65" s="97"/>
      <c r="R65" s="97"/>
      <c r="S65" s="97"/>
      <c r="T65" s="97"/>
      <c r="U65" s="97"/>
      <c r="V65" s="97"/>
    </row>
    <row r="66" spans="1:22">
      <c r="A66" s="22">
        <f t="shared" si="0"/>
        <v>64</v>
      </c>
      <c r="B66" s="238" t="str">
        <f>Assumptions!A76</f>
        <v>Wall thickness centrifuge</v>
      </c>
      <c r="C66" s="97">
        <f>Assumptions!B76</f>
        <v>0.02</v>
      </c>
      <c r="D66" s="97"/>
      <c r="E66" s="97"/>
      <c r="G66" t="s">
        <v>201</v>
      </c>
      <c r="H66" s="97">
        <f>'CHEPCI &amp; Location factors'!C67</f>
        <v>1.0663581666846209</v>
      </c>
      <c r="I66" s="97"/>
      <c r="J66" s="97">
        <f>'CHEPCI &amp; Location factors'!E67</f>
        <v>8</v>
      </c>
      <c r="K66" s="149"/>
      <c r="M66" s="97"/>
      <c r="N66" s="97"/>
      <c r="O66" s="97"/>
      <c r="P66" s="97"/>
      <c r="Q66" s="97"/>
      <c r="R66" s="97"/>
      <c r="S66" s="97"/>
      <c r="T66" s="97"/>
      <c r="U66" s="97"/>
      <c r="V66" s="97"/>
    </row>
    <row r="67" spans="1:22">
      <c r="A67" s="22">
        <f t="shared" si="0"/>
        <v>65</v>
      </c>
      <c r="B67" s="238" t="str">
        <f>Assumptions!A77</f>
        <v xml:space="preserve">Pressure drop cyclone </v>
      </c>
      <c r="C67" s="97">
        <f>Assumptions!B77</f>
        <v>0.2</v>
      </c>
      <c r="D67" s="97"/>
      <c r="E67" s="97"/>
      <c r="G67" t="s">
        <v>201</v>
      </c>
      <c r="H67" s="97">
        <f>'CHEPCI &amp; Location factors'!C68</f>
        <v>1.1161879875577341</v>
      </c>
      <c r="I67" s="97"/>
      <c r="J67" s="97">
        <f>'CHEPCI &amp; Location factors'!E68</f>
        <v>9</v>
      </c>
      <c r="K67" s="149"/>
      <c r="M67" s="97"/>
      <c r="N67" s="97"/>
      <c r="O67" s="97"/>
      <c r="P67" s="97"/>
      <c r="Q67" s="97"/>
      <c r="R67" s="97"/>
      <c r="S67" s="97"/>
      <c r="T67" s="97"/>
      <c r="U67" s="97"/>
      <c r="V67" s="97"/>
    </row>
    <row r="68" spans="1:22">
      <c r="A68" s="22">
        <f t="shared" si="0"/>
        <v>66</v>
      </c>
      <c r="B68" s="238" t="str">
        <f>Assumptions!A78</f>
        <v>Heat capacity oil light Oil (average 15-150°C)</v>
      </c>
      <c r="C68" s="97">
        <f>Assumptions!B78</f>
        <v>2.0499999999999998</v>
      </c>
      <c r="D68" s="97"/>
      <c r="E68" s="97"/>
      <c r="G68" t="s">
        <v>201</v>
      </c>
      <c r="H68" s="97">
        <f>'CHEPCI &amp; Location factors'!C69</f>
        <v>0.60792381465197998</v>
      </c>
      <c r="I68" s="97"/>
      <c r="J68" s="97">
        <f>'CHEPCI &amp; Location factors'!E69</f>
        <v>10</v>
      </c>
      <c r="K68" s="149"/>
      <c r="M68" s="97"/>
      <c r="N68" s="97"/>
      <c r="O68" s="97"/>
      <c r="P68" s="97"/>
      <c r="Q68" s="97"/>
      <c r="R68" s="97"/>
      <c r="S68" s="97"/>
      <c r="T68" s="97"/>
      <c r="U68" s="97"/>
      <c r="V68" s="97"/>
    </row>
    <row r="69" spans="1:22">
      <c r="A69" s="22">
        <f t="shared" ref="A69:A132" si="1">A68+1</f>
        <v>67</v>
      </c>
      <c r="B69" s="238" t="str">
        <f>Assumptions!A79</f>
        <v>Temparature MEA capture stripper</v>
      </c>
      <c r="C69" s="97">
        <f>Assumptions!B79</f>
        <v>80</v>
      </c>
      <c r="D69" s="97"/>
      <c r="E69" s="97"/>
      <c r="G69" t="s">
        <v>201</v>
      </c>
      <c r="H69" s="97">
        <f>'CHEPCI &amp; Location factors'!C70</f>
        <v>1.2557114860024507</v>
      </c>
      <c r="I69" s="97"/>
      <c r="J69" s="97">
        <f>'CHEPCI &amp; Location factors'!E70</f>
        <v>11</v>
      </c>
      <c r="K69" s="149"/>
      <c r="M69" s="97"/>
      <c r="N69" s="97"/>
      <c r="O69" s="97"/>
      <c r="P69" s="97"/>
      <c r="Q69" s="97"/>
      <c r="R69" s="97"/>
      <c r="S69" s="97"/>
      <c r="T69" s="97"/>
      <c r="U69" s="97"/>
      <c r="V69" s="97"/>
    </row>
    <row r="70" spans="1:22">
      <c r="A70" s="22">
        <f t="shared" si="1"/>
        <v>68</v>
      </c>
      <c r="B70" s="256" t="str">
        <f>Assumptions!A80</f>
        <v>Reaction Constant</v>
      </c>
      <c r="C70" s="97">
        <f>Assumptions!B80</f>
        <v>1.4717</v>
      </c>
      <c r="D70" s="97"/>
      <c r="E70" s="97"/>
      <c r="G70" t="s">
        <v>201</v>
      </c>
      <c r="H70" s="97">
        <f>'CHEPCI &amp; Location factors'!C71</f>
        <v>1.1161879875577341</v>
      </c>
      <c r="I70" s="97"/>
      <c r="J70" s="97">
        <f>'CHEPCI &amp; Location factors'!E71</f>
        <v>12</v>
      </c>
      <c r="K70" s="149"/>
      <c r="M70" s="97"/>
      <c r="N70" s="97"/>
      <c r="O70" s="97"/>
      <c r="P70" s="97"/>
      <c r="Q70" s="97"/>
      <c r="R70" s="97"/>
      <c r="S70" s="97"/>
      <c r="T70" s="97"/>
      <c r="U70" s="97"/>
      <c r="V70" s="97"/>
    </row>
    <row r="71" spans="1:22">
      <c r="A71" s="22">
        <f t="shared" si="1"/>
        <v>69</v>
      </c>
      <c r="B71" s="256" t="str">
        <f>Assumptions!A81</f>
        <v xml:space="preserve">Grain size </v>
      </c>
      <c r="C71" s="97">
        <f>Assumptions!B81</f>
        <v>10</v>
      </c>
      <c r="D71" s="97"/>
      <c r="E71" s="97"/>
      <c r="G71" t="s">
        <v>201</v>
      </c>
      <c r="H71" s="97">
        <f>'CHEPCI &amp; Location factors'!C72</f>
        <v>1.2058816651293374</v>
      </c>
      <c r="I71" s="97"/>
      <c r="J71" s="97">
        <f>'CHEPCI &amp; Location factors'!E72</f>
        <v>13</v>
      </c>
      <c r="K71" s="149"/>
      <c r="M71" s="97"/>
      <c r="N71" s="97"/>
      <c r="O71" s="97"/>
      <c r="P71" s="97"/>
      <c r="Q71" s="97"/>
      <c r="R71" s="97"/>
      <c r="S71" s="97"/>
      <c r="T71" s="97"/>
      <c r="U71" s="97"/>
      <c r="V71" s="97"/>
    </row>
    <row r="72" spans="1:22">
      <c r="A72" s="22">
        <f t="shared" si="1"/>
        <v>70</v>
      </c>
      <c r="B72" s="256" t="str">
        <f>Assumptions!A82</f>
        <v>Electricity grid emission [kgCO2/MWh]</v>
      </c>
      <c r="C72" s="97">
        <f>Assumptions!B82</f>
        <v>417</v>
      </c>
      <c r="D72" s="97"/>
      <c r="E72" s="97"/>
      <c r="G72" t="s">
        <v>201</v>
      </c>
      <c r="H72" s="97">
        <f>'CHEPCI &amp; Location factors'!C73</f>
        <v>0.99659641746226235</v>
      </c>
      <c r="I72" s="97"/>
      <c r="J72" s="97">
        <f>'CHEPCI &amp; Location factors'!E73</f>
        <v>14</v>
      </c>
      <c r="K72" s="149"/>
      <c r="M72" s="97"/>
      <c r="N72" s="97"/>
      <c r="O72" s="97"/>
      <c r="P72" s="97"/>
      <c r="Q72" s="97"/>
      <c r="R72" s="97"/>
      <c r="S72" s="97"/>
      <c r="T72" s="97"/>
      <c r="U72" s="97"/>
      <c r="V72" s="97"/>
    </row>
    <row r="73" spans="1:22">
      <c r="A73" s="22">
        <f t="shared" si="1"/>
        <v>71</v>
      </c>
      <c r="B73" s="256" t="str">
        <f>Assumptions!A83</f>
        <v>Natural gas emission [kgCO2/MWh]</v>
      </c>
      <c r="C73" s="97">
        <f>Assumptions!B83</f>
        <v>241</v>
      </c>
      <c r="D73" s="97"/>
      <c r="E73" s="97"/>
      <c r="G73" t="s">
        <v>201</v>
      </c>
      <c r="H73" s="97">
        <f>'CHEPCI &amp; Location factors'!C74</f>
        <v>1.0364602741607529</v>
      </c>
      <c r="I73" s="97"/>
      <c r="J73" s="97">
        <f>'CHEPCI &amp; Location factors'!E74</f>
        <v>15</v>
      </c>
      <c r="K73" s="149"/>
      <c r="M73" s="97"/>
      <c r="N73" s="97"/>
      <c r="O73" s="97"/>
      <c r="P73" s="97"/>
      <c r="Q73" s="97"/>
      <c r="R73" s="97"/>
      <c r="S73" s="97"/>
      <c r="T73" s="97"/>
      <c r="U73" s="97"/>
      <c r="V73" s="97"/>
    </row>
    <row r="74" spans="1:22">
      <c r="A74" s="22">
        <f t="shared" si="1"/>
        <v>72</v>
      </c>
      <c r="B74" s="256" t="str">
        <f>Assumptions!A84</f>
        <v>Transport Emission (Train kgCO2/km*t)</v>
      </c>
      <c r="C74" s="97">
        <f>Assumptions!B84</f>
        <v>2.58E-2</v>
      </c>
      <c r="D74" s="97"/>
      <c r="E74" s="97"/>
      <c r="G74" t="s">
        <v>201</v>
      </c>
      <c r="H74" s="97">
        <f>'CHEPCI &amp; Location factors'!C75</f>
        <v>1.0663581666846209</v>
      </c>
      <c r="I74" s="97"/>
      <c r="J74" s="97">
        <f>'CHEPCI &amp; Location factors'!E75</f>
        <v>16</v>
      </c>
      <c r="K74" s="149"/>
      <c r="M74" s="97"/>
      <c r="N74" s="97"/>
      <c r="O74" s="97"/>
      <c r="P74" s="97"/>
      <c r="Q74" s="97"/>
      <c r="R74" s="97"/>
      <c r="S74" s="97"/>
      <c r="T74" s="97"/>
      <c r="U74" s="97"/>
      <c r="V74" s="97"/>
    </row>
    <row r="75" spans="1:22">
      <c r="A75" s="22">
        <f t="shared" si="1"/>
        <v>73</v>
      </c>
      <c r="B75" s="256" t="str">
        <f>Assumptions!A85</f>
        <v>Transport Emissions (Truck kgCO2/km*t)</v>
      </c>
      <c r="C75" s="97">
        <f>Assumptions!B85</f>
        <v>7.909999999999999E-2</v>
      </c>
      <c r="D75" s="97"/>
      <c r="E75" s="97"/>
      <c r="G75" t="s">
        <v>201</v>
      </c>
      <c r="H75" s="97">
        <f>'CHEPCI &amp; Location factors'!C76</f>
        <v>1.0165283458115075</v>
      </c>
      <c r="I75" s="97"/>
      <c r="J75" s="97">
        <f>'CHEPCI &amp; Location factors'!E76</f>
        <v>17</v>
      </c>
      <c r="K75" s="149"/>
      <c r="M75" s="97"/>
      <c r="N75" s="97"/>
      <c r="O75" s="97"/>
      <c r="P75" s="97"/>
      <c r="Q75" s="97"/>
      <c r="R75" s="97"/>
      <c r="S75" s="97"/>
      <c r="T75" s="97"/>
      <c r="U75" s="97"/>
      <c r="V75" s="97"/>
    </row>
    <row r="76" spans="1:22">
      <c r="A76" s="22">
        <f t="shared" si="1"/>
        <v>74</v>
      </c>
      <c r="B76" s="256" t="str">
        <f>Assumptions!A86</f>
        <v xml:space="preserve"> Mining Mineral (kWh / tmineral)</v>
      </c>
      <c r="C76" s="97">
        <f>Assumptions!B86</f>
        <v>5.23</v>
      </c>
      <c r="D76" s="97"/>
      <c r="E76" s="97"/>
      <c r="G76" t="s">
        <v>201</v>
      </c>
      <c r="H76" s="97">
        <f>'CHEPCI &amp; Location factors'!C77</f>
        <v>0.99659641746226235</v>
      </c>
      <c r="I76" s="97"/>
      <c r="J76" s="97">
        <f>'CHEPCI &amp; Location factors'!E77</f>
        <v>18</v>
      </c>
      <c r="K76" s="149"/>
      <c r="M76" s="97"/>
      <c r="N76" s="97"/>
      <c r="O76" s="97"/>
      <c r="P76" s="97"/>
      <c r="Q76" s="97"/>
      <c r="R76" s="97"/>
      <c r="S76" s="97"/>
      <c r="T76" s="97"/>
      <c r="U76" s="97"/>
      <c r="V76" s="97"/>
    </row>
    <row r="77" spans="1:22">
      <c r="A77" s="22">
        <f t="shared" si="1"/>
        <v>75</v>
      </c>
      <c r="B77" s="264" t="str">
        <f>Assumptions!A87</f>
        <v>Water kgCO2/ t</v>
      </c>
      <c r="C77" s="97">
        <f>Assumptions!B87</f>
        <v>2.6</v>
      </c>
      <c r="D77" s="97"/>
      <c r="E77" s="97"/>
      <c r="G77" t="s">
        <v>201</v>
      </c>
      <c r="H77" s="97">
        <f>'CHEPCI &amp; Location factors'!C78</f>
        <v>1.5945542679396199</v>
      </c>
      <c r="I77" s="97"/>
      <c r="J77" s="97">
        <f>'CHEPCI &amp; Location factors'!E78</f>
        <v>19</v>
      </c>
      <c r="K77" s="149"/>
      <c r="M77" s="97"/>
      <c r="N77" s="97"/>
      <c r="O77" s="97"/>
      <c r="P77" s="97"/>
      <c r="Q77" s="97"/>
      <c r="R77" s="97"/>
      <c r="S77" s="97"/>
      <c r="T77" s="97"/>
      <c r="U77" s="97"/>
      <c r="V77" s="97"/>
    </row>
    <row r="78" spans="1:22">
      <c r="A78" s="22">
        <f t="shared" si="1"/>
        <v>76</v>
      </c>
      <c r="B78" s="264" t="str">
        <f>Assumptions!A88</f>
        <v>Construction kgCO2/1000tCO2caputred</v>
      </c>
      <c r="C78" s="97">
        <f>Assumptions!B88</f>
        <v>4.4340114762649971E-2</v>
      </c>
      <c r="D78" s="97"/>
      <c r="E78" s="97"/>
      <c r="G78" t="s">
        <v>201</v>
      </c>
      <c r="H78" s="97">
        <f>'CHEPCI &amp; Location factors'!C79</f>
        <v>1.0264943099861303</v>
      </c>
      <c r="I78" s="97"/>
      <c r="J78" s="97">
        <f>'CHEPCI &amp; Location factors'!E79</f>
        <v>20</v>
      </c>
      <c r="K78" s="149"/>
      <c r="M78" s="97"/>
      <c r="N78" s="97"/>
      <c r="O78" s="97"/>
      <c r="P78" s="97"/>
      <c r="Q78" s="97"/>
      <c r="R78" s="97"/>
      <c r="S78" s="97"/>
      <c r="T78" s="97"/>
      <c r="U78" s="97"/>
      <c r="V78" s="97"/>
    </row>
    <row r="79" spans="1:22">
      <c r="A79" s="22">
        <f t="shared" si="1"/>
        <v>77</v>
      </c>
      <c r="B79" s="264" t="str">
        <f>Assumptions!A89</f>
        <v>Cement production kgCO2/t</v>
      </c>
      <c r="C79" s="97">
        <f>Assumptions!B89</f>
        <v>852</v>
      </c>
      <c r="D79" s="97"/>
      <c r="E79" s="97"/>
      <c r="G79" t="s">
        <v>201</v>
      </c>
      <c r="H79" s="97">
        <f>'CHEPCI &amp; Location factors'!C80</f>
        <v>1.136119915906979</v>
      </c>
      <c r="I79" s="97"/>
      <c r="J79" s="97">
        <f>'CHEPCI &amp; Location factors'!E80</f>
        <v>21</v>
      </c>
      <c r="K79" s="149"/>
      <c r="M79" s="97"/>
      <c r="N79" s="97"/>
      <c r="O79" s="97"/>
      <c r="P79" s="97"/>
      <c r="Q79" s="97"/>
      <c r="R79" s="97"/>
      <c r="S79" s="97"/>
      <c r="T79" s="97"/>
      <c r="U79" s="97"/>
      <c r="V79" s="97"/>
    </row>
    <row r="80" spans="1:22" ht="31.5">
      <c r="A80" s="22">
        <f t="shared" si="1"/>
        <v>78</v>
      </c>
      <c r="B80" s="264" t="str">
        <f>Assumptions!A90</f>
        <v>NaHCO3 kgCO2/t</v>
      </c>
      <c r="C80" s="97">
        <f>Assumptions!B90</f>
        <v>1020</v>
      </c>
      <c r="D80" s="97"/>
      <c r="E80" s="97"/>
      <c r="G80" s="12" t="str">
        <f>'CHEPCI &amp; Location factors'!B83</f>
        <v>Solid processing plants</v>
      </c>
      <c r="H80" s="97">
        <f>'CHEPCI &amp; Location factors'!C83</f>
        <v>3.1</v>
      </c>
      <c r="I80" s="97"/>
      <c r="J80" s="97"/>
      <c r="K80" s="324" t="s">
        <v>230</v>
      </c>
      <c r="M80" s="97"/>
      <c r="N80" s="97"/>
      <c r="O80" s="97"/>
      <c r="P80" s="97"/>
      <c r="Q80" s="97"/>
      <c r="R80" s="97"/>
      <c r="S80" s="97"/>
      <c r="T80" s="97"/>
      <c r="U80" s="97"/>
      <c r="V80" s="97"/>
    </row>
    <row r="81" spans="1:23" ht="31.5">
      <c r="A81" s="22">
        <f t="shared" si="1"/>
        <v>79</v>
      </c>
      <c r="B81" s="264" t="str">
        <f>Assumptions!A91</f>
        <v>NaCl kgCO2/t</v>
      </c>
      <c r="C81" s="97">
        <f>Assumptions!B91</f>
        <v>86.2</v>
      </c>
      <c r="D81" s="97"/>
      <c r="E81" s="97"/>
      <c r="G81" s="12" t="str">
        <f>'CHEPCI &amp; Location factors'!B84</f>
        <v>Fluid processing plant</v>
      </c>
      <c r="H81" s="97">
        <f>'CHEPCI &amp; Location factors'!C84</f>
        <v>4.74</v>
      </c>
      <c r="I81" s="97"/>
      <c r="J81" s="97"/>
      <c r="K81" s="324"/>
      <c r="M81" s="97"/>
      <c r="N81" s="97"/>
      <c r="O81" s="97"/>
      <c r="P81" s="97"/>
      <c r="Q81" s="97"/>
      <c r="R81" s="97"/>
      <c r="S81" s="97"/>
      <c r="T81" s="97"/>
      <c r="U81" s="97"/>
      <c r="V81" s="97"/>
    </row>
    <row r="82" spans="1:23" ht="31.5">
      <c r="A82" s="22">
        <f t="shared" si="1"/>
        <v>80</v>
      </c>
      <c r="B82" s="264" t="str">
        <f>Assumptions!A92</f>
        <v>MEA kCO2/t</v>
      </c>
      <c r="C82" s="97">
        <f>Assumptions!B92</f>
        <v>3130</v>
      </c>
      <c r="D82" s="97"/>
      <c r="E82" s="97"/>
      <c r="G82" s="12" t="str">
        <f>'CHEPCI &amp; Location factors'!B85</f>
        <v>Mixed fluid-solids processing plant</v>
      </c>
      <c r="H82" s="97">
        <f>'CHEPCI &amp; Location factors'!C85</f>
        <v>3.63</v>
      </c>
      <c r="I82" s="97"/>
      <c r="J82" s="97"/>
      <c r="K82" s="324"/>
      <c r="M82" s="97"/>
      <c r="N82" s="97"/>
      <c r="O82" s="97"/>
      <c r="P82" s="97"/>
      <c r="Q82" s="97"/>
      <c r="R82" s="97"/>
      <c r="S82" s="97"/>
      <c r="T82" s="97"/>
      <c r="U82" s="97"/>
      <c r="V82" s="97"/>
    </row>
    <row r="83" spans="1:23">
      <c r="A83" s="22">
        <f t="shared" si="1"/>
        <v>81</v>
      </c>
      <c r="B83" s="264" t="str">
        <f>Assumptions!A93</f>
        <v>Transport Emissions (ship kgCO2/km*t</v>
      </c>
      <c r="C83" s="97">
        <f>Assumptions!B93</f>
        <v>3.3000000000000002E-2</v>
      </c>
      <c r="D83" s="97"/>
      <c r="E83" s="97"/>
      <c r="G83" s="12" t="str">
        <f>'CHEPCI &amp; Location factors'!B86</f>
        <v>Compressor</v>
      </c>
      <c r="H83" s="97">
        <f>'CHEPCI &amp; Location factors'!C86</f>
        <v>2.5</v>
      </c>
      <c r="I83" s="97"/>
      <c r="J83" s="97"/>
      <c r="K83" s="324" t="s">
        <v>231</v>
      </c>
      <c r="M83" s="97"/>
      <c r="N83" s="97"/>
      <c r="O83" s="97"/>
      <c r="P83" s="97"/>
      <c r="Q83" s="97"/>
      <c r="R83" s="97"/>
      <c r="S83" s="97"/>
      <c r="T83" s="97"/>
      <c r="U83" s="97"/>
      <c r="V83" s="97"/>
    </row>
    <row r="84" spans="1:23">
      <c r="A84" s="22">
        <f t="shared" si="1"/>
        <v>82</v>
      </c>
      <c r="B84" s="264">
        <f>Assumptions!A94</f>
        <v>0</v>
      </c>
      <c r="C84" s="97">
        <f>Assumptions!B94</f>
        <v>0</v>
      </c>
      <c r="D84" s="97"/>
      <c r="E84" s="97"/>
      <c r="G84" s="12" t="str">
        <f>'CHEPCI &amp; Location factors'!B87</f>
        <v>Distillation Columns</v>
      </c>
      <c r="H84" s="97">
        <f>'CHEPCI &amp; Location factors'!C87</f>
        <v>4</v>
      </c>
      <c r="I84" s="97"/>
      <c r="J84" s="97"/>
      <c r="K84" s="324"/>
      <c r="M84" s="97"/>
      <c r="N84" s="97"/>
      <c r="O84" s="97"/>
      <c r="P84" s="97"/>
      <c r="Q84" s="97"/>
      <c r="R84" s="97"/>
      <c r="S84" s="97"/>
      <c r="T84" s="97"/>
      <c r="U84" s="97"/>
      <c r="V84" s="97"/>
    </row>
    <row r="85" spans="1:23">
      <c r="A85" s="22">
        <f t="shared" si="1"/>
        <v>83</v>
      </c>
      <c r="C85" s="97"/>
      <c r="D85" s="97"/>
      <c r="E85" s="97"/>
      <c r="G85" s="12" t="str">
        <f>'CHEPCI &amp; Location factors'!B88</f>
        <v>Fired heaters</v>
      </c>
      <c r="H85" s="97">
        <f>'CHEPCI &amp; Location factors'!C88</f>
        <v>2</v>
      </c>
      <c r="I85" s="97"/>
      <c r="J85" s="97"/>
      <c r="K85" s="324"/>
      <c r="M85" s="97"/>
      <c r="N85" s="97"/>
      <c r="O85" s="97"/>
      <c r="P85" s="97"/>
      <c r="Q85" s="97"/>
      <c r="R85" s="97"/>
      <c r="S85" s="97"/>
      <c r="T85" s="97"/>
      <c r="U85" s="97"/>
      <c r="V85" s="97"/>
    </row>
    <row r="86" spans="1:23">
      <c r="A86" s="22">
        <f t="shared" si="1"/>
        <v>84</v>
      </c>
      <c r="C86" s="97"/>
      <c r="D86" s="97"/>
      <c r="E86" s="97"/>
      <c r="G86" s="12" t="str">
        <f>'CHEPCI &amp; Location factors'!B89</f>
        <v>Heat exchangers</v>
      </c>
      <c r="H86" s="97">
        <f>'CHEPCI &amp; Location factors'!C89</f>
        <v>3.5</v>
      </c>
      <c r="I86" s="97"/>
      <c r="J86" s="97"/>
      <c r="K86" s="324"/>
      <c r="M86" s="97"/>
      <c r="N86" s="97"/>
      <c r="O86" s="97"/>
      <c r="P86" s="97"/>
      <c r="Q86" s="97"/>
      <c r="R86" s="97"/>
      <c r="S86" s="97"/>
      <c r="T86" s="97"/>
      <c r="U86" s="97"/>
      <c r="V86" s="97"/>
    </row>
    <row r="87" spans="1:23">
      <c r="A87" s="22">
        <f t="shared" si="1"/>
        <v>85</v>
      </c>
      <c r="C87" s="97"/>
      <c r="D87" s="97"/>
      <c r="E87" s="97"/>
      <c r="G87" s="12" t="str">
        <f>'CHEPCI &amp; Location factors'!B90</f>
        <v>Instruments</v>
      </c>
      <c r="H87" s="97">
        <f>'CHEPCI &amp; Location factors'!C90</f>
        <v>4</v>
      </c>
      <c r="I87" s="97"/>
      <c r="J87" s="97"/>
      <c r="K87" s="324"/>
      <c r="M87" s="97"/>
      <c r="N87" s="97"/>
      <c r="O87" s="97"/>
      <c r="P87" s="97"/>
      <c r="Q87" s="97"/>
      <c r="R87" s="97"/>
      <c r="S87" s="97"/>
      <c r="T87" s="97"/>
      <c r="U87" s="97"/>
      <c r="V87" s="97"/>
    </row>
    <row r="88" spans="1:23" ht="31.5">
      <c r="A88" s="22">
        <f t="shared" si="1"/>
        <v>86</v>
      </c>
      <c r="C88" s="97"/>
      <c r="D88" s="97"/>
      <c r="E88" s="97"/>
      <c r="G88" s="12" t="str">
        <f>'CHEPCI &amp; Location factors'!B91</f>
        <v>Miscellaneous Equipment</v>
      </c>
      <c r="H88" s="97">
        <f>'CHEPCI &amp; Location factors'!C91</f>
        <v>2.5</v>
      </c>
      <c r="I88" s="97"/>
      <c r="J88" s="97"/>
      <c r="K88" s="324"/>
      <c r="M88" s="97"/>
      <c r="N88" s="97"/>
      <c r="O88" s="97"/>
      <c r="P88" s="97"/>
      <c r="Q88" s="97"/>
      <c r="R88" s="97"/>
      <c r="S88" s="97"/>
      <c r="T88" s="97"/>
      <c r="U88" s="97"/>
      <c r="V88" s="97"/>
    </row>
    <row r="89" spans="1:23">
      <c r="A89" s="22">
        <f t="shared" si="1"/>
        <v>87</v>
      </c>
      <c r="C89" s="97"/>
      <c r="D89" s="97"/>
      <c r="E89" s="97"/>
      <c r="G89" s="12" t="str">
        <f>'CHEPCI &amp; Location factors'!B92</f>
        <v>pressure Vessels</v>
      </c>
      <c r="H89" s="97">
        <f>'CHEPCI &amp; Location factors'!C92</f>
        <v>4</v>
      </c>
      <c r="I89" s="97"/>
      <c r="J89" s="97"/>
      <c r="K89" s="324"/>
      <c r="M89" s="97"/>
      <c r="N89" s="97"/>
      <c r="O89" s="97"/>
      <c r="P89" s="97"/>
      <c r="Q89" s="97"/>
      <c r="R89" s="97"/>
      <c r="S89" s="97"/>
      <c r="T89" s="97"/>
      <c r="U89" s="97"/>
      <c r="V89" s="97"/>
    </row>
    <row r="90" spans="1:23">
      <c r="A90" s="22">
        <f t="shared" si="1"/>
        <v>88</v>
      </c>
      <c r="C90" s="97"/>
      <c r="D90" s="97"/>
      <c r="E90" s="97"/>
      <c r="G90" s="12" t="str">
        <f>'CHEPCI &amp; Location factors'!B93</f>
        <v>Pumps</v>
      </c>
      <c r="H90" s="97">
        <f>'CHEPCI &amp; Location factors'!C93</f>
        <v>4</v>
      </c>
      <c r="I90" s="97"/>
      <c r="J90" s="97"/>
      <c r="K90" s="324"/>
      <c r="M90" s="97"/>
      <c r="N90" s="97"/>
      <c r="O90" s="97"/>
      <c r="P90" s="97"/>
      <c r="Q90" s="97"/>
      <c r="R90" s="97"/>
      <c r="S90" s="97"/>
      <c r="T90" s="97"/>
      <c r="U90" s="97"/>
      <c r="V90" s="97"/>
    </row>
    <row r="91" spans="1:23" ht="31.5">
      <c r="A91" s="22">
        <f t="shared" si="1"/>
        <v>89</v>
      </c>
      <c r="C91" s="97"/>
      <c r="D91" s="97"/>
      <c r="E91" s="97"/>
      <c r="G91" s="7" t="s">
        <v>538</v>
      </c>
      <c r="H91" s="97">
        <f>'Capex-Sinott et al.'!E31</f>
        <v>2.5</v>
      </c>
      <c r="I91" s="97"/>
      <c r="J91" s="97"/>
      <c r="K91" s="325" t="s">
        <v>509</v>
      </c>
      <c r="M91" s="97"/>
      <c r="N91" s="97"/>
      <c r="O91" s="97"/>
      <c r="P91" s="97"/>
      <c r="Q91" s="97"/>
      <c r="R91" s="97"/>
      <c r="S91" s="97"/>
      <c r="T91" s="97"/>
      <c r="U91" s="97"/>
      <c r="V91" s="97"/>
    </row>
    <row r="92" spans="1:23" ht="67.5" customHeight="1">
      <c r="A92" s="22">
        <f t="shared" si="1"/>
        <v>90</v>
      </c>
      <c r="C92" s="97"/>
      <c r="D92" s="97"/>
      <c r="E92" s="97"/>
      <c r="G92" s="7" t="s">
        <v>539</v>
      </c>
      <c r="H92" s="97">
        <f>'Capex-Sinott et al.'!E32</f>
        <v>0.4</v>
      </c>
      <c r="I92" s="97"/>
      <c r="J92" s="97"/>
      <c r="K92" s="325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150"/>
    </row>
    <row r="93" spans="1:23" ht="31.5">
      <c r="A93" s="22">
        <f t="shared" si="1"/>
        <v>91</v>
      </c>
      <c r="C93" s="97"/>
      <c r="D93" s="97"/>
      <c r="E93" s="97"/>
      <c r="G93" s="7" t="s">
        <v>537</v>
      </c>
      <c r="H93" s="97">
        <f>'Capex-Sinott et al.'!E35</f>
        <v>4.55</v>
      </c>
      <c r="I93" s="97"/>
      <c r="J93" s="97"/>
      <c r="K93" s="325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150"/>
    </row>
    <row r="94" spans="1:23">
      <c r="A94" s="22">
        <f t="shared" si="1"/>
        <v>92</v>
      </c>
      <c r="C94" s="97"/>
      <c r="D94" s="97"/>
      <c r="E94" s="97"/>
      <c r="G94" s="7"/>
      <c r="H94" s="97"/>
      <c r="I94" s="97"/>
      <c r="J94" s="97"/>
      <c r="K94" s="149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150"/>
    </row>
    <row r="95" spans="1:23" ht="15.75" customHeight="1">
      <c r="A95" s="22">
        <f t="shared" si="1"/>
        <v>93</v>
      </c>
      <c r="C95" s="97"/>
      <c r="D95" s="97"/>
      <c r="E95" s="97"/>
      <c r="G95" s="7" t="str">
        <f>'Opex CemCap'!F3</f>
        <v>Insur- and loc tax</v>
      </c>
      <c r="H95" s="139">
        <f>'Opex CemCap'!G3</f>
        <v>0.02</v>
      </c>
      <c r="I95" s="139"/>
      <c r="J95" s="97"/>
      <c r="K95" s="324" t="s">
        <v>727</v>
      </c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150"/>
    </row>
    <row r="96" spans="1:23" ht="71.25" customHeight="1">
      <c r="A96" s="22">
        <f t="shared" si="1"/>
        <v>94</v>
      </c>
      <c r="C96" s="97"/>
      <c r="D96" s="97"/>
      <c r="E96" s="97"/>
      <c r="G96" s="7" t="str">
        <f>'Opex CemCap'!F4</f>
        <v>Maintenance Costs (M)</v>
      </c>
      <c r="H96" s="139">
        <f>'Opex CemCap'!G4</f>
        <v>2.5000000000000001E-2</v>
      </c>
      <c r="I96" s="139"/>
      <c r="J96" s="97"/>
      <c r="K96" s="324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150"/>
    </row>
    <row r="97" spans="1:23">
      <c r="A97" s="22">
        <f t="shared" si="1"/>
        <v>95</v>
      </c>
      <c r="C97" s="97"/>
      <c r="D97" s="97"/>
      <c r="E97" s="97"/>
      <c r="G97" s="7" t="str">
        <f>'Opex CemCap'!F5</f>
        <v>Labour (O)</v>
      </c>
      <c r="H97" s="139">
        <f>'Opex CemCap'!G5</f>
        <v>0.3</v>
      </c>
      <c r="I97" s="139"/>
      <c r="J97" s="97"/>
      <c r="K97" s="324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150"/>
    </row>
    <row r="98" spans="1:23">
      <c r="A98" s="22">
        <f t="shared" si="1"/>
        <v>96</v>
      </c>
      <c r="C98" s="97"/>
      <c r="D98" s="97"/>
      <c r="E98" s="97"/>
      <c r="G98" s="7">
        <f>'Opex CemCap'!F6</f>
        <v>0</v>
      </c>
      <c r="H98" s="139">
        <f>'Opex CemCap'!G6</f>
        <v>0.12</v>
      </c>
      <c r="I98" s="139"/>
      <c r="J98" s="97"/>
      <c r="K98" s="324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150"/>
    </row>
    <row r="99" spans="1:23" ht="45" customHeight="1">
      <c r="A99" s="22">
        <f t="shared" si="1"/>
        <v>97</v>
      </c>
      <c r="C99" s="97"/>
      <c r="D99" s="97"/>
      <c r="E99" s="97"/>
      <c r="G99" s="7" t="str">
        <f>'Capex-Cemcap'!B4</f>
        <v>Process contingencies</v>
      </c>
      <c r="H99" s="139">
        <v>0</v>
      </c>
      <c r="I99" s="139"/>
      <c r="J99" s="97"/>
      <c r="K99" s="324" t="s">
        <v>728</v>
      </c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150"/>
    </row>
    <row r="100" spans="1:23">
      <c r="A100" s="22">
        <f t="shared" si="1"/>
        <v>98</v>
      </c>
      <c r="C100" s="97"/>
      <c r="D100" s="97"/>
      <c r="E100" s="97"/>
      <c r="G100" s="7" t="str">
        <f>'Capex-Cemcap'!B5</f>
        <v>indirect coststs</v>
      </c>
      <c r="H100" s="139">
        <f>'Capex-Cemcap'!C5</f>
        <v>0.14000000000000001</v>
      </c>
      <c r="I100" s="139"/>
      <c r="J100" s="97"/>
      <c r="K100" s="324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150"/>
    </row>
    <row r="101" spans="1:23">
      <c r="A101" s="22">
        <f t="shared" si="1"/>
        <v>99</v>
      </c>
      <c r="C101" s="97"/>
      <c r="D101" s="97"/>
      <c r="E101" s="97"/>
      <c r="G101" s="7" t="str">
        <f>'Capex-Cemcap'!B6</f>
        <v>Owners costs</v>
      </c>
      <c r="H101" s="139">
        <f>'Capex-Cemcap'!C6</f>
        <v>7.0000000000000007E-2</v>
      </c>
      <c r="I101" s="139"/>
      <c r="J101" s="97"/>
      <c r="K101" s="324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150"/>
    </row>
    <row r="102" spans="1:23" ht="31.5">
      <c r="A102" s="22">
        <f t="shared" si="1"/>
        <v>100</v>
      </c>
      <c r="C102" s="97"/>
      <c r="D102" s="97"/>
      <c r="E102" s="97"/>
      <c r="G102" s="7" t="str">
        <f>'Capex-Cemcap'!B7</f>
        <v>Project contingencies</v>
      </c>
      <c r="H102" s="139">
        <v>0.85</v>
      </c>
      <c r="I102" s="139"/>
      <c r="J102" s="97"/>
      <c r="K102" s="111" t="s">
        <v>812</v>
      </c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150"/>
    </row>
    <row r="103" spans="1:23">
      <c r="A103" s="22">
        <f t="shared" si="1"/>
        <v>101</v>
      </c>
      <c r="C103" s="97"/>
      <c r="D103" s="97"/>
      <c r="E103" s="97"/>
      <c r="G103" s="7">
        <f>'Opex CemCap'!F11</f>
        <v>0</v>
      </c>
      <c r="H103" s="139">
        <f>'Opex CemCap'!G11</f>
        <v>0</v>
      </c>
      <c r="I103" s="139"/>
      <c r="J103" s="97"/>
      <c r="K103" s="111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150"/>
    </row>
    <row r="104" spans="1:23">
      <c r="A104" s="22">
        <f t="shared" si="1"/>
        <v>102</v>
      </c>
      <c r="C104" s="97"/>
      <c r="D104" s="97"/>
      <c r="E104" s="97"/>
      <c r="G104" s="7">
        <f>'Opex CemCap'!F12</f>
        <v>0</v>
      </c>
      <c r="H104" s="139">
        <f>'Opex CemCap'!G12</f>
        <v>0</v>
      </c>
      <c r="I104" s="139"/>
      <c r="J104" s="97"/>
      <c r="K104" s="111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150"/>
    </row>
    <row r="105" spans="1:23">
      <c r="A105" s="22">
        <f t="shared" si="1"/>
        <v>103</v>
      </c>
      <c r="G105" s="7"/>
      <c r="H105" s="146"/>
      <c r="I105" s="146"/>
      <c r="J105" s="146"/>
    </row>
    <row r="106" spans="1:23">
      <c r="A106" s="22">
        <f t="shared" si="1"/>
        <v>104</v>
      </c>
      <c r="G106" s="7"/>
    </row>
    <row r="107" spans="1:23">
      <c r="A107" s="22">
        <f t="shared" si="1"/>
        <v>105</v>
      </c>
      <c r="G107" s="7"/>
    </row>
    <row r="108" spans="1:23">
      <c r="A108" s="22">
        <f t="shared" si="1"/>
        <v>106</v>
      </c>
      <c r="G108" s="7"/>
    </row>
    <row r="109" spans="1:23">
      <c r="A109" s="22">
        <f t="shared" si="1"/>
        <v>107</v>
      </c>
      <c r="G109" s="7"/>
    </row>
    <row r="110" spans="1:23">
      <c r="A110" s="22">
        <f t="shared" si="1"/>
        <v>108</v>
      </c>
      <c r="G110" s="7"/>
    </row>
    <row r="111" spans="1:23">
      <c r="A111" s="22">
        <f t="shared" si="1"/>
        <v>109</v>
      </c>
      <c r="G111" s="7"/>
    </row>
    <row r="112" spans="1:23">
      <c r="A112" s="22">
        <f t="shared" si="1"/>
        <v>110</v>
      </c>
      <c r="G112" s="7"/>
    </row>
    <row r="113" spans="1:7">
      <c r="A113" s="22">
        <f t="shared" si="1"/>
        <v>111</v>
      </c>
      <c r="G113" s="7"/>
    </row>
    <row r="114" spans="1:7">
      <c r="A114" s="22">
        <f t="shared" si="1"/>
        <v>112</v>
      </c>
      <c r="G114" s="7"/>
    </row>
    <row r="115" spans="1:7">
      <c r="A115" s="22">
        <f t="shared" si="1"/>
        <v>113</v>
      </c>
      <c r="G115" s="7"/>
    </row>
    <row r="116" spans="1:7">
      <c r="A116" s="22">
        <f t="shared" si="1"/>
        <v>114</v>
      </c>
    </row>
    <row r="117" spans="1:7">
      <c r="A117" s="22">
        <f t="shared" si="1"/>
        <v>115</v>
      </c>
    </row>
    <row r="118" spans="1:7">
      <c r="A118" s="22">
        <f t="shared" si="1"/>
        <v>116</v>
      </c>
    </row>
    <row r="119" spans="1:7">
      <c r="A119" s="22">
        <f t="shared" si="1"/>
        <v>117</v>
      </c>
    </row>
    <row r="120" spans="1:7">
      <c r="A120" s="22">
        <f t="shared" si="1"/>
        <v>118</v>
      </c>
    </row>
    <row r="121" spans="1:7">
      <c r="A121" s="22">
        <f t="shared" si="1"/>
        <v>119</v>
      </c>
    </row>
    <row r="122" spans="1:7">
      <c r="A122" s="22">
        <f t="shared" si="1"/>
        <v>120</v>
      </c>
    </row>
    <row r="123" spans="1:7">
      <c r="A123" s="22">
        <f t="shared" si="1"/>
        <v>121</v>
      </c>
    </row>
    <row r="124" spans="1:7">
      <c r="A124" s="22">
        <f t="shared" si="1"/>
        <v>122</v>
      </c>
    </row>
    <row r="125" spans="1:7">
      <c r="A125" s="22">
        <f t="shared" si="1"/>
        <v>123</v>
      </c>
    </row>
    <row r="126" spans="1:7">
      <c r="A126" s="22">
        <f t="shared" si="1"/>
        <v>124</v>
      </c>
    </row>
    <row r="127" spans="1:7">
      <c r="A127" s="22">
        <f t="shared" si="1"/>
        <v>125</v>
      </c>
    </row>
    <row r="128" spans="1:7">
      <c r="A128" s="22">
        <f t="shared" si="1"/>
        <v>126</v>
      </c>
    </row>
    <row r="129" spans="1:1">
      <c r="A129" s="22">
        <f t="shared" si="1"/>
        <v>127</v>
      </c>
    </row>
    <row r="130" spans="1:1">
      <c r="A130" s="22">
        <f t="shared" si="1"/>
        <v>128</v>
      </c>
    </row>
    <row r="131" spans="1:1">
      <c r="A131" s="22">
        <f t="shared" si="1"/>
        <v>129</v>
      </c>
    </row>
    <row r="132" spans="1:1">
      <c r="A132" s="22">
        <f t="shared" si="1"/>
        <v>130</v>
      </c>
    </row>
  </sheetData>
  <mergeCells count="15">
    <mergeCell ref="B1:F1"/>
    <mergeCell ref="G1:K1"/>
    <mergeCell ref="L1:U1"/>
    <mergeCell ref="K80:K82"/>
    <mergeCell ref="W29:W37"/>
    <mergeCell ref="W43:W51"/>
    <mergeCell ref="W53:W55"/>
    <mergeCell ref="K95:K98"/>
    <mergeCell ref="K99:K101"/>
    <mergeCell ref="K91:K93"/>
    <mergeCell ref="AK5:AK8"/>
    <mergeCell ref="X1:AJ1"/>
    <mergeCell ref="K83:K90"/>
    <mergeCell ref="W20:W27"/>
    <mergeCell ref="X28:AJ28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1">
    <tabColor theme="9" tint="0.79998168889431442"/>
  </sheetPr>
  <dimension ref="A1:U115"/>
  <sheetViews>
    <sheetView zoomScale="80" zoomScaleNormal="80" workbookViewId="0">
      <selection activeCell="E30" sqref="E30"/>
    </sheetView>
  </sheetViews>
  <sheetFormatPr baseColWidth="10" defaultRowHeight="15.75"/>
  <cols>
    <col min="1" max="1" width="11.875" customWidth="1"/>
    <col min="2" max="2" width="12.5" customWidth="1"/>
    <col min="9" max="9" width="12.625" bestFit="1" customWidth="1"/>
    <col min="11" max="11" width="11.875" bestFit="1" customWidth="1"/>
    <col min="12" max="12" width="15.5" customWidth="1"/>
    <col min="14" max="14" width="28.875" bestFit="1" customWidth="1"/>
    <col min="15" max="15" width="11.625" customWidth="1"/>
    <col min="16" max="16" width="22.125" customWidth="1"/>
    <col min="17" max="17" width="25.5" customWidth="1"/>
    <col min="18" max="18" width="17.625" customWidth="1"/>
  </cols>
  <sheetData>
    <row r="1" spans="1:21" ht="16.5" thickBot="1">
      <c r="A1" s="331" t="s">
        <v>79</v>
      </c>
      <c r="B1" s="332"/>
      <c r="C1" s="332"/>
      <c r="D1" s="332"/>
      <c r="E1" s="333"/>
      <c r="F1" s="334" t="s">
        <v>81</v>
      </c>
      <c r="G1" s="335"/>
      <c r="N1" s="326" t="s">
        <v>99</v>
      </c>
      <c r="O1" s="326"/>
      <c r="P1" s="326"/>
      <c r="Q1" s="326"/>
    </row>
    <row r="2" spans="1:21">
      <c r="A2" s="54" t="s">
        <v>78</v>
      </c>
      <c r="B2" s="24" t="s">
        <v>80</v>
      </c>
      <c r="C2" s="24"/>
      <c r="D2" s="24"/>
      <c r="E2" s="55"/>
      <c r="F2" s="56" t="s">
        <v>82</v>
      </c>
      <c r="G2" s="57" t="s">
        <v>83</v>
      </c>
      <c r="N2" s="22"/>
      <c r="O2" s="22" t="s">
        <v>96</v>
      </c>
      <c r="P2" s="22" t="s">
        <v>97</v>
      </c>
      <c r="Q2" s="22" t="s">
        <v>98</v>
      </c>
    </row>
    <row r="3" spans="1:21" ht="16.5" thickBot="1">
      <c r="A3" s="3"/>
      <c r="B3" s="10"/>
      <c r="C3" s="10"/>
      <c r="D3" s="10"/>
      <c r="E3" s="50"/>
      <c r="F3" s="58">
        <f t="array" ref="F3:G3">LINEST(B4:B31,LN(A4:A31), ,TRUE)</f>
        <v>0.21139449433830163</v>
      </c>
      <c r="G3" s="59">
        <v>0.42598438870492261</v>
      </c>
      <c r="N3" s="22" t="s">
        <v>93</v>
      </c>
      <c r="O3">
        <v>185</v>
      </c>
      <c r="P3">
        <v>150</v>
      </c>
      <c r="Q3" t="s">
        <v>100</v>
      </c>
    </row>
    <row r="4" spans="1:21">
      <c r="A4" s="3">
        <v>9.8293268409856305E-2</v>
      </c>
      <c r="B4" s="10">
        <v>8.2221715284844996E-2</v>
      </c>
      <c r="C4" s="10"/>
      <c r="D4" s="10"/>
      <c r="E4" s="50"/>
      <c r="N4" s="22" t="s">
        <v>94</v>
      </c>
      <c r="O4">
        <v>100</v>
      </c>
      <c r="P4">
        <v>40</v>
      </c>
      <c r="Q4" t="s">
        <v>101</v>
      </c>
    </row>
    <row r="5" spans="1:21">
      <c r="A5" s="3">
        <v>0.199175293913056</v>
      </c>
      <c r="B5" s="10">
        <v>0.123188750053195</v>
      </c>
      <c r="C5" s="10"/>
      <c r="D5" s="10"/>
      <c r="E5" s="50"/>
      <c r="N5" s="22" t="s">
        <v>95</v>
      </c>
      <c r="O5">
        <v>155</v>
      </c>
      <c r="P5">
        <v>115</v>
      </c>
      <c r="Q5" t="s">
        <v>100</v>
      </c>
    </row>
    <row r="6" spans="1:21">
      <c r="A6" s="3">
        <v>0.30009607175487202</v>
      </c>
      <c r="B6" s="10">
        <v>0.16591514099473001</v>
      </c>
      <c r="C6" s="10"/>
      <c r="D6" s="10"/>
      <c r="E6" s="50"/>
    </row>
    <row r="7" spans="1:21">
      <c r="A7" s="3">
        <v>0.470722932392384</v>
      </c>
      <c r="B7" s="10">
        <v>0.233769485732679</v>
      </c>
      <c r="C7" s="10"/>
      <c r="D7" s="10"/>
      <c r="E7" s="50"/>
    </row>
    <row r="8" spans="1:21">
      <c r="A8" s="3">
        <v>0.36321394327636902</v>
      </c>
      <c r="B8" s="10">
        <v>0.19454343114761199</v>
      </c>
      <c r="C8" s="10"/>
      <c r="D8" s="10"/>
      <c r="E8" s="50"/>
    </row>
    <row r="9" spans="1:21">
      <c r="A9" s="3">
        <v>0.67783772177999402</v>
      </c>
      <c r="B9" s="10">
        <v>0.29384759059681298</v>
      </c>
      <c r="C9" s="10"/>
      <c r="D9" s="10"/>
      <c r="E9" s="50"/>
      <c r="N9" s="327" t="s">
        <v>102</v>
      </c>
      <c r="O9" s="328"/>
      <c r="P9" s="328"/>
      <c r="Q9" s="329"/>
      <c r="R9" s="326" t="s">
        <v>608</v>
      </c>
      <c r="S9" s="326"/>
      <c r="T9" s="326"/>
      <c r="U9" s="326"/>
    </row>
    <row r="10" spans="1:21">
      <c r="A10" s="3">
        <v>0.82866182367510799</v>
      </c>
      <c r="B10" s="10">
        <v>0.332646432019575</v>
      </c>
      <c r="C10" s="10"/>
      <c r="D10" s="10"/>
      <c r="E10" s="50"/>
      <c r="N10" s="22" t="s">
        <v>609</v>
      </c>
      <c r="O10" s="22"/>
      <c r="P10" s="71">
        <v>49</v>
      </c>
      <c r="Q10" t="s">
        <v>116</v>
      </c>
      <c r="R10" s="22" t="s">
        <v>609</v>
      </c>
      <c r="S10" s="22"/>
    </row>
    <row r="11" spans="1:21" ht="78.75">
      <c r="A11" s="3">
        <v>0.99211709097115397</v>
      </c>
      <c r="B11" s="10">
        <v>0.37751556726008401</v>
      </c>
      <c r="C11" s="10"/>
      <c r="D11" s="10"/>
      <c r="E11" s="50"/>
      <c r="N11" s="22" t="s">
        <v>103</v>
      </c>
      <c r="O11" s="22"/>
      <c r="P11" s="7" t="s">
        <v>104</v>
      </c>
      <c r="R11" s="22" t="s">
        <v>103</v>
      </c>
      <c r="S11" s="22"/>
      <c r="T11" s="7" t="s">
        <v>104</v>
      </c>
    </row>
    <row r="12" spans="1:21">
      <c r="A12" s="3">
        <v>1.2554555380485799</v>
      </c>
      <c r="B12" s="10">
        <v>0.41800414149857401</v>
      </c>
      <c r="C12" s="10"/>
      <c r="D12" s="10"/>
      <c r="E12" s="50"/>
      <c r="N12" s="22" t="s">
        <v>105</v>
      </c>
      <c r="O12" s="22"/>
      <c r="P12" s="7">
        <v>38</v>
      </c>
      <c r="Q12" t="s">
        <v>117</v>
      </c>
      <c r="R12" s="22" t="s">
        <v>105</v>
      </c>
      <c r="S12" s="22"/>
      <c r="T12">
        <v>75</v>
      </c>
      <c r="U12" s="171" t="s">
        <v>117</v>
      </c>
    </row>
    <row r="13" spans="1:21">
      <c r="A13" s="3">
        <v>1.5187276532009499</v>
      </c>
      <c r="B13" s="10">
        <v>0.45548124633932502</v>
      </c>
      <c r="C13" s="10"/>
      <c r="D13" s="10"/>
      <c r="E13" s="50"/>
      <c r="N13" s="22" t="s">
        <v>106</v>
      </c>
      <c r="O13" s="22"/>
      <c r="P13" s="68">
        <v>65</v>
      </c>
      <c r="Q13" t="s">
        <v>116</v>
      </c>
      <c r="R13" s="22" t="s">
        <v>106</v>
      </c>
      <c r="S13" s="22"/>
    </row>
    <row r="14" spans="1:21" ht="47.25">
      <c r="A14" s="3">
        <v>1.7820145647008001</v>
      </c>
      <c r="B14" s="10">
        <v>0.493630105355293</v>
      </c>
      <c r="C14" s="10"/>
      <c r="D14" s="10"/>
      <c r="E14" s="50"/>
      <c r="N14" s="22" t="s">
        <v>107</v>
      </c>
      <c r="O14" s="22"/>
      <c r="P14" s="7">
        <v>60</v>
      </c>
      <c r="Q14" s="7" t="s">
        <v>118</v>
      </c>
      <c r="R14" s="22" t="s">
        <v>107</v>
      </c>
      <c r="S14" s="22"/>
    </row>
    <row r="15" spans="1:21">
      <c r="A15" s="3">
        <v>2.0258055269367099</v>
      </c>
      <c r="B15" s="10">
        <v>0.529261158386932</v>
      </c>
      <c r="C15" s="10"/>
      <c r="D15" s="10"/>
      <c r="E15" s="50"/>
      <c r="N15" s="22" t="s">
        <v>108</v>
      </c>
      <c r="O15" s="22"/>
      <c r="P15" s="7" t="s">
        <v>109</v>
      </c>
      <c r="R15" s="22" t="s">
        <v>108</v>
      </c>
      <c r="S15" s="22"/>
    </row>
    <row r="16" spans="1:21" ht="31.5">
      <c r="A16" s="3">
        <v>2.2960643364476301</v>
      </c>
      <c r="B16" s="10">
        <v>0.56872051189233397</v>
      </c>
      <c r="C16" s="10"/>
      <c r="D16" s="10"/>
      <c r="E16" s="50"/>
      <c r="N16" s="22" t="s">
        <v>110</v>
      </c>
      <c r="O16" s="67" t="s">
        <v>111</v>
      </c>
      <c r="P16" s="7">
        <v>2</v>
      </c>
      <c r="Q16" t="s">
        <v>119</v>
      </c>
      <c r="R16" s="22" t="s">
        <v>110</v>
      </c>
      <c r="S16" s="67" t="s">
        <v>111</v>
      </c>
    </row>
    <row r="17" spans="1:20">
      <c r="A17" s="3">
        <v>2.5593283488382901</v>
      </c>
      <c r="B17" s="10">
        <v>0.60582975135141903</v>
      </c>
      <c r="C17" s="10"/>
      <c r="D17" s="10"/>
      <c r="E17" s="50"/>
      <c r="N17" s="22"/>
      <c r="O17" s="67" t="s">
        <v>112</v>
      </c>
      <c r="P17" s="7">
        <v>185</v>
      </c>
      <c r="Q17" t="s">
        <v>120</v>
      </c>
      <c r="R17" s="22"/>
      <c r="S17" s="67" t="s">
        <v>112</v>
      </c>
    </row>
    <row r="18" spans="1:20">
      <c r="A18" s="3">
        <v>2.7850219689403302</v>
      </c>
      <c r="B18" s="10">
        <v>0.63939702706096302</v>
      </c>
      <c r="C18" s="10"/>
      <c r="D18" s="10"/>
      <c r="E18" s="50"/>
      <c r="N18" s="22"/>
      <c r="O18" s="67" t="s">
        <v>113</v>
      </c>
      <c r="P18" s="7">
        <v>150</v>
      </c>
      <c r="Q18" t="s">
        <v>121</v>
      </c>
      <c r="R18" s="22"/>
      <c r="S18" s="67" t="s">
        <v>113</v>
      </c>
    </row>
    <row r="19" spans="1:20" ht="31.5">
      <c r="A19" s="3">
        <v>3.02319912648667</v>
      </c>
      <c r="B19" s="10">
        <v>0.67233228735707296</v>
      </c>
      <c r="C19" s="10"/>
      <c r="D19" s="10"/>
      <c r="E19" s="50"/>
      <c r="N19" s="22"/>
      <c r="O19" s="67" t="s">
        <v>114</v>
      </c>
      <c r="P19" s="69">
        <v>30</v>
      </c>
      <c r="Q19" t="s">
        <v>116</v>
      </c>
      <c r="R19" s="22"/>
      <c r="S19" s="67" t="s">
        <v>114</v>
      </c>
    </row>
    <row r="20" spans="1:20" ht="31.5">
      <c r="A20" s="3">
        <v>3.2985309694164702</v>
      </c>
      <c r="B20" s="10">
        <v>0.68993641790855098</v>
      </c>
      <c r="C20" s="10"/>
      <c r="D20" s="10"/>
      <c r="E20" s="50"/>
      <c r="G20" s="336" t="s">
        <v>158</v>
      </c>
      <c r="H20" s="336"/>
      <c r="I20" s="36"/>
      <c r="J20" s="36"/>
      <c r="K20" s="36"/>
      <c r="N20" s="22"/>
      <c r="O20" s="67" t="s">
        <v>115</v>
      </c>
      <c r="P20" s="7" t="s">
        <v>100</v>
      </c>
      <c r="R20" s="22"/>
      <c r="S20" s="67" t="s">
        <v>115</v>
      </c>
    </row>
    <row r="21" spans="1:20">
      <c r="A21" s="3">
        <v>3.57382053706778</v>
      </c>
      <c r="B21" s="10">
        <v>0.70562125081655402</v>
      </c>
      <c r="C21" s="10"/>
      <c r="D21" s="10"/>
      <c r="E21" s="50"/>
      <c r="G21" s="36" t="s">
        <v>82</v>
      </c>
      <c r="H21" s="36" t="s">
        <v>83</v>
      </c>
      <c r="I21" s="36" t="s">
        <v>91</v>
      </c>
      <c r="J21" s="36" t="s">
        <v>156</v>
      </c>
      <c r="K21" s="36" t="s">
        <v>157</v>
      </c>
      <c r="N21" s="22"/>
      <c r="O21" s="67"/>
      <c r="R21" s="22"/>
      <c r="S21" s="67"/>
    </row>
    <row r="22" spans="1:20" ht="42" customHeight="1">
      <c r="A22" s="3">
        <v>3.8491277194184699</v>
      </c>
      <c r="B22" s="10">
        <v>0.72210579107600503</v>
      </c>
      <c r="C22" s="10"/>
      <c r="D22" s="10"/>
      <c r="E22" s="50"/>
      <c r="G22" s="74">
        <v>-8.0000000000000007E-5</v>
      </c>
      <c r="H22" s="36">
        <v>1.37E-2</v>
      </c>
      <c r="I22" s="36">
        <v>-9.8299999999999998E-2</v>
      </c>
      <c r="J22" s="36">
        <v>0.3896</v>
      </c>
      <c r="K22" s="36">
        <v>5.8999999999999997E-2</v>
      </c>
      <c r="N22" s="67" t="s">
        <v>126</v>
      </c>
      <c r="O22" s="67" t="s">
        <v>123</v>
      </c>
      <c r="P22" s="7">
        <v>13</v>
      </c>
      <c r="Q22" t="s">
        <v>125</v>
      </c>
      <c r="R22" s="67" t="s">
        <v>126</v>
      </c>
      <c r="S22" s="67" t="s">
        <v>123</v>
      </c>
      <c r="T22">
        <v>11</v>
      </c>
    </row>
    <row r="23" spans="1:20" ht="31.5">
      <c r="A23" s="3">
        <v>4.1244172870697797</v>
      </c>
      <c r="B23" s="10">
        <v>0.73779062398400796</v>
      </c>
      <c r="C23" s="10"/>
      <c r="D23" s="10"/>
      <c r="E23" s="50"/>
      <c r="N23" s="22"/>
      <c r="O23" s="67" t="s">
        <v>124</v>
      </c>
      <c r="P23" s="7">
        <v>83</v>
      </c>
      <c r="Q23" t="s">
        <v>125</v>
      </c>
      <c r="R23" s="22"/>
      <c r="S23" s="67" t="s">
        <v>124</v>
      </c>
      <c r="T23">
        <f>11+70</f>
        <v>81</v>
      </c>
    </row>
    <row r="24" spans="1:20" ht="31.5">
      <c r="A24" s="3">
        <v>4.3997174235407099</v>
      </c>
      <c r="B24" s="10">
        <v>0.75395528130288003</v>
      </c>
      <c r="C24" s="10"/>
      <c r="D24" s="10"/>
      <c r="E24" s="50"/>
      <c r="G24" t="s">
        <v>568</v>
      </c>
      <c r="H24" s="7">
        <f>-0.0008*2^4 + 0.0137*2^3 - 0.0983*2^2 + 0.3896*2 + 0.059</f>
        <v>0.54180000000000006</v>
      </c>
      <c r="N24" s="22"/>
      <c r="O24" s="67" t="s">
        <v>122</v>
      </c>
      <c r="P24" s="7">
        <v>233</v>
      </c>
      <c r="Q24" t="s">
        <v>125</v>
      </c>
      <c r="R24" s="67" t="s">
        <v>610</v>
      </c>
      <c r="S24" s="67"/>
      <c r="T24">
        <v>293</v>
      </c>
    </row>
    <row r="25" spans="1:20">
      <c r="A25" s="3">
        <v>4.6750175600116499</v>
      </c>
      <c r="B25" s="10">
        <v>0.77011993862175099</v>
      </c>
      <c r="C25" s="10"/>
      <c r="D25" s="10"/>
      <c r="E25" s="50"/>
      <c r="N25" s="22"/>
      <c r="O25" s="67"/>
      <c r="R25" s="22"/>
      <c r="S25" s="67"/>
    </row>
    <row r="26" spans="1:20" ht="31.5">
      <c r="A26" s="3">
        <v>4.9503141735427096</v>
      </c>
      <c r="B26" s="10">
        <v>0.78612465447033397</v>
      </c>
      <c r="C26" s="10"/>
      <c r="D26" s="10"/>
      <c r="E26" s="50"/>
      <c r="N26" s="22" t="s">
        <v>127</v>
      </c>
      <c r="O26" s="67" t="s">
        <v>123</v>
      </c>
      <c r="P26" s="70">
        <f>P22/0.15</f>
        <v>86.666666666666671</v>
      </c>
      <c r="Q26" s="70" t="s">
        <v>125</v>
      </c>
      <c r="R26" s="22"/>
      <c r="S26" s="67"/>
      <c r="T26" s="330" t="s">
        <v>128</v>
      </c>
    </row>
    <row r="27" spans="1:20" ht="31.5">
      <c r="A27" s="3">
        <v>5.2256002182541401</v>
      </c>
      <c r="B27" s="10">
        <v>0.80164954590804705</v>
      </c>
      <c r="C27" s="10"/>
      <c r="D27" s="10"/>
      <c r="E27" s="50"/>
      <c r="N27" s="22"/>
      <c r="O27" s="67" t="s">
        <v>124</v>
      </c>
      <c r="P27" s="70">
        <f>P23/0.26</f>
        <v>319.23076923076923</v>
      </c>
      <c r="Q27" s="70" t="s">
        <v>125</v>
      </c>
      <c r="R27" s="22"/>
      <c r="S27" s="67"/>
      <c r="T27" s="330"/>
    </row>
    <row r="28" spans="1:20">
      <c r="A28" s="3">
        <v>5.5009038776649497</v>
      </c>
      <c r="B28" s="10">
        <v>0.81797414469720797</v>
      </c>
      <c r="C28" s="10"/>
      <c r="D28" s="10"/>
      <c r="E28" s="50"/>
      <c r="N28" s="22"/>
      <c r="O28" s="67" t="s">
        <v>122</v>
      </c>
      <c r="P28" s="70">
        <f>P24/0.55</f>
        <v>423.63636363636363</v>
      </c>
      <c r="Q28" s="70" t="s">
        <v>125</v>
      </c>
      <c r="R28" s="22"/>
      <c r="S28" s="67"/>
      <c r="T28" s="330"/>
    </row>
    <row r="29" spans="1:20">
      <c r="A29" s="3">
        <v>5.7762040141358897</v>
      </c>
      <c r="B29" s="10">
        <v>0.83413880201608004</v>
      </c>
      <c r="C29" s="10"/>
      <c r="D29" s="10"/>
      <c r="E29" s="50"/>
    </row>
    <row r="30" spans="1:20">
      <c r="A30" s="3">
        <v>6.0515182423663196</v>
      </c>
      <c r="B30" s="10">
        <v>0.85094322521610999</v>
      </c>
      <c r="C30" s="10"/>
      <c r="D30" s="10"/>
      <c r="E30" s="50"/>
    </row>
    <row r="31" spans="1:20" ht="16.5" thickBot="1">
      <c r="A31" s="51">
        <v>6.2014862698719897</v>
      </c>
      <c r="B31" s="52">
        <v>0.85087628935850002</v>
      </c>
      <c r="C31" s="52"/>
      <c r="D31" s="52"/>
      <c r="E31" s="53"/>
    </row>
    <row r="32" spans="1:20" ht="16.5" thickBot="1"/>
    <row r="33" spans="1:12">
      <c r="A33" s="337" t="s">
        <v>84</v>
      </c>
      <c r="B33" s="338"/>
      <c r="C33" s="338"/>
      <c r="D33" s="338"/>
      <c r="E33" s="338"/>
      <c r="F33" s="334" t="s">
        <v>92</v>
      </c>
      <c r="G33" s="341"/>
      <c r="H33" s="341"/>
      <c r="I33" s="341" t="s">
        <v>203</v>
      </c>
      <c r="J33" s="341"/>
      <c r="K33" s="335"/>
      <c r="L33" s="98" t="s">
        <v>202</v>
      </c>
    </row>
    <row r="34" spans="1:12" ht="31.5">
      <c r="A34" s="64" t="s">
        <v>85</v>
      </c>
      <c r="B34" s="63" t="s">
        <v>90</v>
      </c>
      <c r="C34" s="63"/>
      <c r="D34" s="62"/>
      <c r="E34" s="62"/>
      <c r="F34" s="56" t="s">
        <v>82</v>
      </c>
      <c r="G34" s="36" t="s">
        <v>83</v>
      </c>
      <c r="H34" s="36" t="s">
        <v>91</v>
      </c>
      <c r="I34" s="36" t="s">
        <v>82</v>
      </c>
      <c r="J34" s="36" t="s">
        <v>83</v>
      </c>
      <c r="K34" s="57" t="s">
        <v>91</v>
      </c>
      <c r="L34" s="98"/>
    </row>
    <row r="35" spans="1:12" ht="16.5" thickBot="1">
      <c r="A35" s="3"/>
      <c r="B35" s="10"/>
      <c r="C35" s="10"/>
      <c r="D35" s="10"/>
      <c r="E35" s="10"/>
      <c r="F35" s="65">
        <v>6.9999999999999994E-5</v>
      </c>
      <c r="G35" s="60">
        <v>8.0999999999999996E-3</v>
      </c>
      <c r="H35" s="60">
        <v>0.20119999999999999</v>
      </c>
      <c r="I35" s="66">
        <v>-5.0000000000000002E-5</v>
      </c>
      <c r="J35" s="60">
        <v>1.32E-2</v>
      </c>
      <c r="K35" s="59">
        <v>0.39739999999999998</v>
      </c>
      <c r="L35" s="98"/>
    </row>
    <row r="36" spans="1:12">
      <c r="A36" s="3">
        <v>24.948943221008399</v>
      </c>
      <c r="B36" s="10">
        <v>-5.9225363107186998E-3</v>
      </c>
      <c r="C36" s="10"/>
      <c r="D36" s="10"/>
      <c r="E36" s="50"/>
    </row>
    <row r="37" spans="1:12">
      <c r="A37" s="3">
        <v>31.739494826888599</v>
      </c>
      <c r="B37" s="10">
        <v>3.3800340035288201E-3</v>
      </c>
      <c r="C37" s="10"/>
      <c r="D37" s="10"/>
      <c r="E37" s="50"/>
    </row>
    <row r="38" spans="1:12">
      <c r="A38" s="3">
        <v>38.7862936631794</v>
      </c>
      <c r="B38" s="10">
        <v>4.6159647167529601E-3</v>
      </c>
      <c r="C38" s="10"/>
      <c r="D38" s="10"/>
      <c r="E38" s="50"/>
    </row>
    <row r="39" spans="1:12">
      <c r="A39" s="3">
        <v>45.833092499470098</v>
      </c>
      <c r="B39" s="10">
        <v>9.3000413950636799E-3</v>
      </c>
      <c r="C39" s="10"/>
      <c r="D39" s="10"/>
      <c r="E39" s="50"/>
    </row>
    <row r="40" spans="1:12">
      <c r="A40" s="3">
        <v>52.879891335760902</v>
      </c>
      <c r="B40" s="10">
        <v>8.9445201244018301E-3</v>
      </c>
      <c r="C40" s="10"/>
      <c r="D40" s="10"/>
      <c r="E40" s="50"/>
    </row>
    <row r="41" spans="1:12">
      <c r="A41" s="3">
        <v>59.9266901720517</v>
      </c>
      <c r="B41" s="10">
        <v>1.23023868161407E-2</v>
      </c>
      <c r="C41" s="10"/>
      <c r="D41" s="10"/>
      <c r="E41" s="50"/>
    </row>
    <row r="42" spans="1:12">
      <c r="A42" s="3">
        <v>66.375578804051102</v>
      </c>
      <c r="B42" s="10">
        <v>1.1247213612197399E-2</v>
      </c>
      <c r="C42" s="10"/>
      <c r="D42" s="10"/>
      <c r="E42" s="50"/>
    </row>
    <row r="43" spans="1:12">
      <c r="A43" s="3">
        <v>74.020287844633202</v>
      </c>
      <c r="B43" s="10">
        <v>2.14052981754475E-2</v>
      </c>
      <c r="C43" s="10"/>
      <c r="D43" s="10"/>
      <c r="E43" s="50"/>
    </row>
    <row r="44" spans="1:12">
      <c r="A44" s="3">
        <v>81.067086680924007</v>
      </c>
      <c r="B44" s="10">
        <v>2.9537520818844601E-2</v>
      </c>
      <c r="C44" s="10"/>
      <c r="D44" s="10"/>
      <c r="E44" s="50"/>
    </row>
    <row r="45" spans="1:12">
      <c r="A45" s="3">
        <v>88.113885517214797</v>
      </c>
      <c r="B45" s="10">
        <v>4.0587405432699501E-2</v>
      </c>
      <c r="C45" s="10"/>
      <c r="D45" s="10"/>
      <c r="E45" s="50"/>
    </row>
    <row r="46" spans="1:12">
      <c r="A46" s="3">
        <v>94.904437123094993</v>
      </c>
      <c r="B46" s="10">
        <v>5.4421880865504299E-2</v>
      </c>
      <c r="C46" s="10"/>
      <c r="D46" s="10"/>
      <c r="E46" s="50"/>
    </row>
    <row r="47" spans="1:12">
      <c r="A47" s="3">
        <v>102.20748318979599</v>
      </c>
      <c r="B47" s="10">
        <v>9.7539973107513694E-2</v>
      </c>
      <c r="C47" s="10"/>
      <c r="D47" s="10"/>
      <c r="E47" s="50"/>
    </row>
    <row r="48" spans="1:12">
      <c r="A48" s="3">
        <v>109.254282026087</v>
      </c>
      <c r="B48" s="10">
        <v>0.13585673504528201</v>
      </c>
      <c r="C48" s="10"/>
      <c r="D48" s="10"/>
      <c r="E48" s="50"/>
    </row>
    <row r="49" spans="1:5">
      <c r="A49" s="3">
        <v>116.30108086237701</v>
      </c>
      <c r="B49" s="10">
        <v>0.18457098327777399</v>
      </c>
      <c r="C49" s="10"/>
      <c r="D49" s="10"/>
      <c r="E49" s="50"/>
    </row>
    <row r="50" spans="1:5">
      <c r="A50" s="3">
        <v>123.080955500324</v>
      </c>
      <c r="B50" s="10">
        <v>0.236781372536012</v>
      </c>
      <c r="C50" s="10"/>
      <c r="D50" s="10"/>
      <c r="E50" s="50"/>
    </row>
    <row r="51" spans="1:5">
      <c r="A51" s="3">
        <v>127.298357834165</v>
      </c>
      <c r="B51" s="10">
        <v>0.28214966540719999</v>
      </c>
      <c r="C51" s="10"/>
      <c r="D51" s="10"/>
      <c r="E51" s="50"/>
    </row>
    <row r="52" spans="1:5">
      <c r="A52" s="3">
        <v>131.996223725025</v>
      </c>
      <c r="B52" s="10">
        <v>0.36344362050123202</v>
      </c>
      <c r="C52" s="10"/>
      <c r="D52" s="10"/>
      <c r="E52" s="50"/>
    </row>
    <row r="53" spans="1:5">
      <c r="A53" s="3">
        <v>136.16024121919699</v>
      </c>
      <c r="B53" s="10">
        <v>0.42605053788057801</v>
      </c>
      <c r="C53" s="10"/>
      <c r="D53" s="10"/>
      <c r="E53" s="50"/>
    </row>
    <row r="54" spans="1:5">
      <c r="A54" s="3">
        <v>139.28325433982599</v>
      </c>
      <c r="B54" s="10">
        <v>0.48926561293795101</v>
      </c>
      <c r="C54" s="10"/>
      <c r="D54" s="10"/>
      <c r="E54" s="50"/>
    </row>
    <row r="55" spans="1:5">
      <c r="A55" s="3">
        <v>143.84765813151401</v>
      </c>
      <c r="B55" s="10">
        <v>0.55011940868618603</v>
      </c>
      <c r="C55" s="10"/>
      <c r="D55" s="10"/>
      <c r="E55" s="50"/>
    </row>
    <row r="56" spans="1:5">
      <c r="A56" s="3">
        <v>147.37105754965901</v>
      </c>
      <c r="B56" s="10">
        <v>0.61513813099072001</v>
      </c>
      <c r="C56" s="10"/>
      <c r="D56" s="10"/>
      <c r="E56" s="50"/>
    </row>
    <row r="57" spans="1:5">
      <c r="A57" s="3">
        <v>152.58335916823799</v>
      </c>
      <c r="B57" s="10">
        <v>0.68834445593091798</v>
      </c>
      <c r="C57" s="10"/>
      <c r="D57" s="10"/>
      <c r="E57" s="50"/>
    </row>
    <row r="58" spans="1:5">
      <c r="A58" s="3">
        <v>156.44648029336699</v>
      </c>
      <c r="B58" s="10">
        <v>0.72978323306759596</v>
      </c>
      <c r="C58" s="10"/>
      <c r="D58" s="10"/>
      <c r="E58" s="50"/>
    </row>
    <row r="59" spans="1:5">
      <c r="A59" s="3">
        <v>161.46465522224099</v>
      </c>
      <c r="B59" s="10">
        <v>0.80997201450515699</v>
      </c>
      <c r="C59" s="10"/>
      <c r="D59" s="10"/>
      <c r="E59" s="50"/>
    </row>
    <row r="60" spans="1:5">
      <c r="A60" s="3">
        <v>166.98998612796899</v>
      </c>
      <c r="B60" s="10">
        <v>0.877476362627713</v>
      </c>
      <c r="C60" s="10"/>
      <c r="D60" s="10"/>
      <c r="E60" s="50"/>
    </row>
    <row r="61" spans="1:5">
      <c r="A61" s="3">
        <v>173.31608962873</v>
      </c>
      <c r="B61" s="10">
        <v>0.94025766982536596</v>
      </c>
      <c r="C61" s="10"/>
      <c r="D61" s="10"/>
      <c r="E61" s="50"/>
    </row>
    <row r="62" spans="1:5">
      <c r="A62" s="3">
        <v>180.362888465021</v>
      </c>
      <c r="B62" s="10">
        <v>0.99003288604711404</v>
      </c>
      <c r="C62" s="10"/>
      <c r="D62" s="10"/>
      <c r="E62" s="50"/>
    </row>
    <row r="63" spans="1:5">
      <c r="A63" s="3">
        <v>186.81177709702001</v>
      </c>
      <c r="B63" s="10">
        <v>0.99237281040879499</v>
      </c>
      <c r="C63" s="10"/>
      <c r="D63" s="10"/>
      <c r="E63" s="50"/>
    </row>
    <row r="64" spans="1:5">
      <c r="A64" s="3">
        <v>194.45648613760201</v>
      </c>
      <c r="B64" s="10">
        <v>0.96854455371616699</v>
      </c>
      <c r="C64" s="10"/>
      <c r="D64" s="10"/>
      <c r="E64" s="50"/>
    </row>
    <row r="65" spans="1:9">
      <c r="A65" s="3">
        <v>201.18297593587999</v>
      </c>
      <c r="B65" s="10">
        <v>0.904756091691159</v>
      </c>
      <c r="C65" s="10"/>
      <c r="D65" s="10"/>
      <c r="E65" s="50"/>
    </row>
    <row r="66" spans="1:9">
      <c r="A66" s="3">
        <v>207.26884765813099</v>
      </c>
      <c r="B66" s="10">
        <v>0.84454186817004595</v>
      </c>
      <c r="C66" s="10"/>
      <c r="D66" s="10"/>
      <c r="E66" s="50"/>
    </row>
    <row r="67" spans="1:9">
      <c r="A67" s="3">
        <v>213.67502841839499</v>
      </c>
      <c r="B67" s="10">
        <v>0.77697044345338395</v>
      </c>
      <c r="C67" s="10"/>
      <c r="D67" s="10"/>
      <c r="E67" s="50"/>
    </row>
    <row r="68" spans="1:9">
      <c r="A68" s="3">
        <v>216.87811879852799</v>
      </c>
      <c r="B68" s="10">
        <v>0.74151606421861505</v>
      </c>
      <c r="C68" s="10"/>
      <c r="D68" s="10"/>
      <c r="E68" s="50"/>
    </row>
    <row r="69" spans="1:9">
      <c r="A69" s="3">
        <v>223.924917634818</v>
      </c>
      <c r="B69" s="10">
        <v>0.69717811495328896</v>
      </c>
      <c r="C69" s="10"/>
      <c r="D69" s="10"/>
      <c r="E69" s="50"/>
    </row>
    <row r="70" spans="1:9">
      <c r="A70" s="3">
        <v>230.971716471109</v>
      </c>
      <c r="B70" s="10">
        <v>0.64165225824124394</v>
      </c>
      <c r="C70" s="10"/>
      <c r="D70" s="10"/>
      <c r="E70" s="50"/>
    </row>
    <row r="71" spans="1:9">
      <c r="A71" s="3">
        <v>238.01851530740001</v>
      </c>
      <c r="B71" s="10">
        <v>0.58426970754799901</v>
      </c>
      <c r="C71" s="10"/>
      <c r="D71" s="10"/>
      <c r="E71" s="50"/>
    </row>
    <row r="72" spans="1:9">
      <c r="A72" s="3">
        <v>244.38198819592901</v>
      </c>
      <c r="B72" s="10">
        <v>0.52374925698039299</v>
      </c>
      <c r="C72" s="10"/>
      <c r="D72" s="10"/>
      <c r="E72" s="50"/>
    </row>
    <row r="73" spans="1:9" ht="16.5" thickBot="1">
      <c r="A73" s="51">
        <v>248.90902259984901</v>
      </c>
      <c r="B73" s="52">
        <v>0.52809044526872995</v>
      </c>
      <c r="C73" s="52"/>
      <c r="D73" s="52"/>
      <c r="E73" s="53"/>
    </row>
    <row r="78" spans="1:9" ht="16.5" thickBot="1"/>
    <row r="79" spans="1:9">
      <c r="A79" s="339" t="s">
        <v>84</v>
      </c>
      <c r="B79" s="322"/>
      <c r="C79" s="322"/>
      <c r="D79" s="322"/>
      <c r="E79" s="340"/>
      <c r="F79" s="334" t="s">
        <v>86</v>
      </c>
      <c r="G79" s="341"/>
      <c r="H79" s="341" t="s">
        <v>87</v>
      </c>
      <c r="I79" s="335"/>
    </row>
    <row r="80" spans="1:9" ht="47.25">
      <c r="A80" s="48" t="s">
        <v>85</v>
      </c>
      <c r="B80" s="61" t="s">
        <v>88</v>
      </c>
      <c r="C80" s="61" t="s">
        <v>89</v>
      </c>
      <c r="D80" s="49"/>
      <c r="E80" s="38"/>
      <c r="F80" s="56" t="s">
        <v>82</v>
      </c>
      <c r="G80" s="36" t="s">
        <v>83</v>
      </c>
      <c r="H80" s="36" t="s">
        <v>82</v>
      </c>
      <c r="I80" s="57" t="s">
        <v>83</v>
      </c>
    </row>
    <row r="81" spans="1:9" ht="16.5" thickBot="1">
      <c r="A81" s="3"/>
      <c r="B81" s="10"/>
      <c r="C81" s="10"/>
      <c r="D81" s="10"/>
      <c r="E81" s="10"/>
      <c r="F81" s="58">
        <f t="array" ref="F81:G81">LINEST(B82:B95,A82:A95,,TRUE)</f>
        <v>1.2966186238686742E-2</v>
      </c>
      <c r="G81" s="60">
        <v>-0.24228496626000784</v>
      </c>
      <c r="H81" s="60">
        <f t="array" ref="H81:I81">LINEST(B95:B115,A95:A115,,TRUE)</f>
        <v>-3.7609114488706009E-4</v>
      </c>
      <c r="I81" s="59">
        <v>1.0460583227977374</v>
      </c>
    </row>
    <row r="82" spans="1:9">
      <c r="A82" s="3">
        <v>27.895786370730001</v>
      </c>
      <c r="B82" s="10">
        <f>IF(C82&lt;1, C82,1)</f>
        <v>0.140692010853708</v>
      </c>
      <c r="C82" s="10">
        <v>0.140692010853708</v>
      </c>
      <c r="D82" s="10"/>
      <c r="E82" s="50"/>
    </row>
    <row r="83" spans="1:9">
      <c r="A83" s="3">
        <v>33.020730978941401</v>
      </c>
      <c r="B83" s="10">
        <f t="shared" ref="B83:B115" si="0">IF(C83&lt;1, C83,1)</f>
        <v>0.18120285291451399</v>
      </c>
      <c r="C83" s="10">
        <v>0.18120285291451399</v>
      </c>
      <c r="D83" s="10"/>
      <c r="E83" s="50"/>
    </row>
    <row r="84" spans="1:9">
      <c r="A84" s="3">
        <v>38.145675587152901</v>
      </c>
      <c r="B84" s="10">
        <f t="shared" si="0"/>
        <v>0.26447291529236999</v>
      </c>
      <c r="C84" s="10">
        <v>0.26447291529236999</v>
      </c>
      <c r="D84" s="10"/>
      <c r="E84" s="50"/>
    </row>
    <row r="85" spans="1:9">
      <c r="A85" s="3">
        <v>43.270620195364401</v>
      </c>
      <c r="B85" s="10">
        <f t="shared" si="0"/>
        <v>0.32012070764633899</v>
      </c>
      <c r="C85" s="10">
        <v>0.32012070764633899</v>
      </c>
      <c r="D85" s="10"/>
      <c r="E85" s="50"/>
    </row>
    <row r="86" spans="1:9">
      <c r="A86" s="3">
        <v>49.1887109929419</v>
      </c>
      <c r="B86" s="10">
        <f t="shared" si="0"/>
        <v>0.38984647792559601</v>
      </c>
      <c r="C86" s="10">
        <v>0.38984647792559601</v>
      </c>
      <c r="D86" s="10"/>
      <c r="E86" s="50"/>
    </row>
    <row r="87" spans="1:9">
      <c r="A87" s="3">
        <v>54.1611274878138</v>
      </c>
      <c r="B87" s="10">
        <f t="shared" si="0"/>
        <v>0.42700843614453798</v>
      </c>
      <c r="C87" s="10">
        <v>0.42700843614453798</v>
      </c>
      <c r="D87" s="10"/>
      <c r="E87" s="50"/>
    </row>
    <row r="88" spans="1:9">
      <c r="A88" s="3">
        <v>58.965763058012001</v>
      </c>
      <c r="B88" s="10">
        <f t="shared" si="0"/>
        <v>0.51393373189709202</v>
      </c>
      <c r="C88" s="10">
        <v>0.51393373189709202</v>
      </c>
      <c r="D88" s="10"/>
      <c r="E88" s="50"/>
    </row>
    <row r="89" spans="1:9">
      <c r="A89" s="3">
        <v>63.770398628210302</v>
      </c>
      <c r="B89" s="10">
        <f t="shared" si="0"/>
        <v>0.57952999240370495</v>
      </c>
      <c r="C89" s="10">
        <v>0.57952999240370495</v>
      </c>
      <c r="D89" s="10"/>
      <c r="E89" s="50"/>
    </row>
    <row r="90" spans="1:9">
      <c r="A90" s="3">
        <v>68.254725160395296</v>
      </c>
      <c r="B90" s="10">
        <f t="shared" si="0"/>
        <v>0.64074344333664202</v>
      </c>
      <c r="C90" s="10">
        <v>0.64074344333664202</v>
      </c>
      <c r="D90" s="10"/>
      <c r="E90" s="50"/>
    </row>
    <row r="91" spans="1:9">
      <c r="A91" s="3">
        <v>74.020287844633202</v>
      </c>
      <c r="B91" s="10">
        <f t="shared" si="0"/>
        <v>0.71854083971673099</v>
      </c>
      <c r="C91" s="10">
        <v>0.71854083971673099</v>
      </c>
      <c r="D91" s="10"/>
      <c r="E91" s="50"/>
    </row>
    <row r="92" spans="1:9">
      <c r="A92" s="3">
        <v>78.870681848833399</v>
      </c>
      <c r="B92" s="10">
        <f t="shared" si="0"/>
        <v>0.76606690292725699</v>
      </c>
      <c r="C92" s="10">
        <v>0.76606690292725699</v>
      </c>
      <c r="D92" s="10"/>
      <c r="E92" s="50"/>
    </row>
    <row r="93" spans="1:9">
      <c r="A93" s="3">
        <v>82.668631870990097</v>
      </c>
      <c r="B93" s="10">
        <f t="shared" si="0"/>
        <v>0.850838847486033</v>
      </c>
      <c r="C93" s="10">
        <v>0.850838847486033</v>
      </c>
      <c r="D93" s="10"/>
      <c r="E93" s="50"/>
    </row>
    <row r="94" spans="1:9">
      <c r="A94" s="3">
        <v>87.473267441188398</v>
      </c>
      <c r="B94" s="10">
        <f t="shared" si="0"/>
        <v>0.914155395127634</v>
      </c>
      <c r="C94" s="10">
        <v>0.914155395127634</v>
      </c>
      <c r="D94" s="10"/>
      <c r="E94" s="50"/>
    </row>
    <row r="95" spans="1:9">
      <c r="A95" s="3">
        <v>94.428549409475295</v>
      </c>
      <c r="B95" s="10">
        <f t="shared" si="0"/>
        <v>0.97573084249753295</v>
      </c>
      <c r="C95" s="10">
        <v>0.97573084249753295</v>
      </c>
      <c r="D95" s="10"/>
      <c r="E95" s="50"/>
    </row>
    <row r="96" spans="1:9">
      <c r="A96" s="3">
        <v>100.637968903531</v>
      </c>
      <c r="B96" s="10">
        <f t="shared" si="0"/>
        <v>0.99109405921653804</v>
      </c>
      <c r="C96" s="10">
        <v>0.99109405921653804</v>
      </c>
      <c r="D96" s="10"/>
      <c r="E96" s="50"/>
    </row>
    <row r="97" spans="1:5">
      <c r="A97" s="3">
        <v>107.973045874034</v>
      </c>
      <c r="B97" s="10">
        <f t="shared" si="0"/>
        <v>1</v>
      </c>
      <c r="C97" s="10">
        <v>1.0172192581347099</v>
      </c>
      <c r="D97" s="10"/>
      <c r="E97" s="50"/>
    </row>
    <row r="98" spans="1:5">
      <c r="A98" s="3">
        <v>115.019844710325</v>
      </c>
      <c r="B98" s="10">
        <f t="shared" si="0"/>
        <v>1</v>
      </c>
      <c r="C98" s="10">
        <v>1.02110760882108</v>
      </c>
      <c r="D98" s="10"/>
      <c r="E98" s="50"/>
    </row>
    <row r="99" spans="1:5">
      <c r="A99" s="3">
        <v>122.066643546615</v>
      </c>
      <c r="B99" s="10">
        <f t="shared" si="0"/>
        <v>1</v>
      </c>
      <c r="C99" s="10">
        <v>1.0210173295477301</v>
      </c>
      <c r="D99" s="10"/>
      <c r="E99" s="50"/>
    </row>
    <row r="100" spans="1:5">
      <c r="A100" s="3">
        <v>129.11344238290599</v>
      </c>
      <c r="B100" s="10">
        <f t="shared" si="0"/>
        <v>1</v>
      </c>
      <c r="C100" s="10">
        <v>1.0164179363200401</v>
      </c>
      <c r="D100" s="10"/>
      <c r="E100" s="50"/>
    </row>
    <row r="101" spans="1:5">
      <c r="A101" s="3">
        <v>136.16024121919699</v>
      </c>
      <c r="B101" s="10">
        <f t="shared" si="0"/>
        <v>1</v>
      </c>
      <c r="C101" s="10">
        <v>1.01208378508966</v>
      </c>
      <c r="D101" s="10"/>
      <c r="E101" s="50"/>
    </row>
    <row r="102" spans="1:5">
      <c r="A102" s="3">
        <v>143.20704005548799</v>
      </c>
      <c r="B102" s="10">
        <f t="shared" si="0"/>
        <v>1</v>
      </c>
      <c r="C102" s="10">
        <v>1.00907584384586</v>
      </c>
      <c r="D102" s="10"/>
      <c r="E102" s="50"/>
    </row>
    <row r="103" spans="1:5">
      <c r="A103" s="3">
        <v>149.38442864574299</v>
      </c>
      <c r="B103" s="10">
        <f t="shared" si="0"/>
        <v>1</v>
      </c>
      <c r="C103" s="10">
        <v>1.0010773347188899</v>
      </c>
      <c r="D103" s="10"/>
      <c r="E103" s="50"/>
    </row>
    <row r="104" spans="1:5">
      <c r="A104" s="3">
        <v>163.70681848833399</v>
      </c>
      <c r="B104" s="10">
        <f t="shared" si="0"/>
        <v>1</v>
      </c>
      <c r="C104" s="10">
        <v>1.0029778892915699</v>
      </c>
      <c r="D104" s="10"/>
      <c r="E104" s="50"/>
    </row>
    <row r="105" spans="1:5">
      <c r="A105" s="3">
        <v>170.753617324624</v>
      </c>
      <c r="B105" s="10">
        <f t="shared" si="0"/>
        <v>1</v>
      </c>
      <c r="C105" s="10">
        <v>1.00288761001822</v>
      </c>
      <c r="D105" s="10"/>
      <c r="E105" s="50"/>
    </row>
    <row r="106" spans="1:5">
      <c r="A106" s="3">
        <v>177.15979808488899</v>
      </c>
      <c r="B106" s="10">
        <f t="shared" si="0"/>
        <v>1</v>
      </c>
      <c r="C106" s="10">
        <v>1.0021571686247699</v>
      </c>
      <c r="D106" s="10"/>
      <c r="E106" s="50"/>
    </row>
    <row r="107" spans="1:5">
      <c r="A107" s="3">
        <v>195.005587345625</v>
      </c>
      <c r="B107" s="10">
        <f t="shared" si="0"/>
        <v>0.98819700319710801</v>
      </c>
      <c r="C107" s="10">
        <v>0.98819700319710801</v>
      </c>
      <c r="D107" s="10"/>
      <c r="E107" s="50"/>
    </row>
    <row r="108" spans="1:5">
      <c r="A108" s="3">
        <v>201.50328497389299</v>
      </c>
      <c r="B108" s="10">
        <f t="shared" si="0"/>
        <v>0.98047857832106999</v>
      </c>
      <c r="C108" s="10">
        <v>0.98047857832106999</v>
      </c>
      <c r="D108" s="10"/>
      <c r="E108" s="50"/>
    </row>
    <row r="109" spans="1:5">
      <c r="A109" s="3">
        <v>208.55008381018399</v>
      </c>
      <c r="B109" s="10">
        <f t="shared" si="0"/>
        <v>0.98197975103160795</v>
      </c>
      <c r="C109" s="10">
        <v>0.98197975103160795</v>
      </c>
      <c r="D109" s="10"/>
      <c r="E109" s="50"/>
    </row>
    <row r="110" spans="1:5">
      <c r="A110" s="3">
        <v>215.596882646475</v>
      </c>
      <c r="B110" s="10">
        <f t="shared" si="0"/>
        <v>0.97525842182540201</v>
      </c>
      <c r="C110" s="10">
        <v>0.97525842182540201</v>
      </c>
      <c r="D110" s="10"/>
      <c r="E110" s="50"/>
    </row>
    <row r="111" spans="1:5">
      <c r="A111" s="3">
        <v>222.643681482765</v>
      </c>
      <c r="B111" s="10">
        <f t="shared" si="0"/>
        <v>0.967210882632625</v>
      </c>
      <c r="C111" s="10">
        <v>0.967210882632625</v>
      </c>
      <c r="D111" s="10"/>
      <c r="E111" s="50"/>
    </row>
    <row r="112" spans="1:5">
      <c r="A112" s="3">
        <v>229.69048031905601</v>
      </c>
      <c r="B112" s="10">
        <f t="shared" si="0"/>
        <v>0.95730664945864696</v>
      </c>
      <c r="C112" s="10">
        <v>0.95730664945864696</v>
      </c>
      <c r="D112" s="10"/>
      <c r="E112" s="50"/>
    </row>
    <row r="113" spans="1:5">
      <c r="A113" s="3">
        <v>236.73727915534701</v>
      </c>
      <c r="B113" s="10">
        <f t="shared" si="0"/>
        <v>0.94660669029272504</v>
      </c>
      <c r="C113" s="10">
        <v>0.94660669029272504</v>
      </c>
      <c r="D113" s="10"/>
      <c r="E113" s="50"/>
    </row>
    <row r="114" spans="1:5">
      <c r="A114" s="3">
        <v>244.33317919966001</v>
      </c>
      <c r="B114" s="10">
        <f t="shared" si="0"/>
        <v>0.92858659559513601</v>
      </c>
      <c r="C114" s="10">
        <v>0.92858659559513601</v>
      </c>
      <c r="D114" s="10"/>
      <c r="E114" s="50"/>
    </row>
    <row r="115" spans="1:5" ht="16.5" thickBot="1">
      <c r="A115" s="51">
        <v>250.83087682792899</v>
      </c>
      <c r="B115" s="52">
        <f t="shared" si="0"/>
        <v>0.91539281806025197</v>
      </c>
      <c r="C115" s="52">
        <v>0.91539281806025197</v>
      </c>
      <c r="D115" s="52"/>
      <c r="E115" s="53"/>
    </row>
  </sheetData>
  <mergeCells count="13">
    <mergeCell ref="A33:E33"/>
    <mergeCell ref="A79:E79"/>
    <mergeCell ref="F79:G79"/>
    <mergeCell ref="H79:I79"/>
    <mergeCell ref="F33:H33"/>
    <mergeCell ref="I33:K33"/>
    <mergeCell ref="N1:Q1"/>
    <mergeCell ref="N9:Q9"/>
    <mergeCell ref="T26:T28"/>
    <mergeCell ref="A1:E1"/>
    <mergeCell ref="F1:G1"/>
    <mergeCell ref="G20:H20"/>
    <mergeCell ref="R9:U9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theme="9" tint="0.79998168889431442"/>
  </sheetPr>
  <dimension ref="A1:J17"/>
  <sheetViews>
    <sheetView workbookViewId="0">
      <selection activeCell="E30" sqref="E30"/>
    </sheetView>
  </sheetViews>
  <sheetFormatPr baseColWidth="10" defaultRowHeight="15.75"/>
  <cols>
    <col min="1" max="1" width="14.875" customWidth="1"/>
    <col min="4" max="4" width="28.625" customWidth="1"/>
  </cols>
  <sheetData>
    <row r="1" spans="1:10">
      <c r="A1" s="326" t="s">
        <v>99</v>
      </c>
      <c r="B1" s="326"/>
      <c r="C1" s="326"/>
      <c r="D1" s="326"/>
    </row>
    <row r="2" spans="1:10" ht="31.5">
      <c r="A2" s="22"/>
      <c r="B2" s="22" t="s">
        <v>131</v>
      </c>
      <c r="C2" s="22" t="s">
        <v>132</v>
      </c>
      <c r="D2" s="22" t="s">
        <v>133</v>
      </c>
      <c r="E2" s="22" t="s">
        <v>134</v>
      </c>
      <c r="F2" s="67" t="s">
        <v>129</v>
      </c>
      <c r="G2" s="67" t="s">
        <v>135</v>
      </c>
      <c r="H2" s="67" t="s">
        <v>136</v>
      </c>
      <c r="I2" s="67" t="s">
        <v>137</v>
      </c>
      <c r="J2" s="67" t="s">
        <v>138</v>
      </c>
    </row>
    <row r="3" spans="1:10">
      <c r="A3" s="22" t="s">
        <v>93</v>
      </c>
      <c r="B3">
        <v>150</v>
      </c>
      <c r="C3">
        <v>600</v>
      </c>
      <c r="D3">
        <v>100</v>
      </c>
      <c r="E3">
        <v>150</v>
      </c>
      <c r="F3" s="72" t="s">
        <v>130</v>
      </c>
      <c r="G3">
        <v>2.5</v>
      </c>
      <c r="H3">
        <v>3.6</v>
      </c>
      <c r="I3">
        <v>6</v>
      </c>
      <c r="J3">
        <v>24</v>
      </c>
    </row>
    <row r="4" spans="1:10">
      <c r="A4" s="22"/>
    </row>
    <row r="5" spans="1:10">
      <c r="A5" s="22"/>
    </row>
    <row r="6" spans="1:10">
      <c r="A6" s="342" t="s">
        <v>603</v>
      </c>
      <c r="B6" s="342"/>
      <c r="C6" s="342"/>
      <c r="D6" s="342"/>
    </row>
    <row r="7" spans="1:10">
      <c r="A7" s="22" t="s">
        <v>693</v>
      </c>
      <c r="B7" s="26">
        <f>1/4.6</f>
        <v>0.21739130434782611</v>
      </c>
      <c r="C7" t="s">
        <v>605</v>
      </c>
      <c r="D7" t="s">
        <v>692</v>
      </c>
    </row>
    <row r="8" spans="1:10">
      <c r="A8" s="22" t="s">
        <v>694</v>
      </c>
      <c r="B8" s="26">
        <f>10/4.6</f>
        <v>2.1739130434782612</v>
      </c>
      <c r="C8" t="s">
        <v>605</v>
      </c>
      <c r="D8" t="s">
        <v>692</v>
      </c>
    </row>
    <row r="9" spans="1:10">
      <c r="A9" s="22" t="s">
        <v>695</v>
      </c>
      <c r="B9" s="26">
        <f>8/4.6</f>
        <v>1.7391304347826089</v>
      </c>
      <c r="C9" t="s">
        <v>606</v>
      </c>
      <c r="D9" s="212" t="s">
        <v>692</v>
      </c>
    </row>
    <row r="10" spans="1:10">
      <c r="A10" s="22" t="s">
        <v>696</v>
      </c>
      <c r="B10" s="26">
        <f>1/4.6</f>
        <v>0.21739130434782611</v>
      </c>
      <c r="C10" t="s">
        <v>606</v>
      </c>
      <c r="D10" s="212" t="s">
        <v>692</v>
      </c>
    </row>
    <row r="11" spans="1:10">
      <c r="A11" s="22" t="s">
        <v>697</v>
      </c>
      <c r="B11" s="26"/>
      <c r="C11" s="212" t="s">
        <v>606</v>
      </c>
      <c r="D11" s="212" t="s">
        <v>692</v>
      </c>
    </row>
    <row r="12" spans="1:10">
      <c r="A12" s="22" t="s">
        <v>604</v>
      </c>
      <c r="B12" s="26">
        <f>53/4.1</f>
        <v>12.926829268292684</v>
      </c>
      <c r="C12" s="212" t="s">
        <v>606</v>
      </c>
      <c r="D12" s="212" t="s">
        <v>692</v>
      </c>
    </row>
    <row r="13" spans="1:10">
      <c r="A13" s="22"/>
      <c r="B13" s="26"/>
      <c r="C13" s="212"/>
      <c r="D13" s="212"/>
    </row>
    <row r="14" spans="1:10">
      <c r="A14" s="67"/>
    </row>
    <row r="15" spans="1:10">
      <c r="A15" s="22"/>
      <c r="B15" s="26">
        <f>SUM(B7:B13)</f>
        <v>17.274655355249205</v>
      </c>
      <c r="C15" t="s">
        <v>605</v>
      </c>
    </row>
    <row r="16" spans="1:10">
      <c r="A16" s="22"/>
    </row>
    <row r="17" spans="1:1">
      <c r="A17" s="67"/>
    </row>
  </sheetData>
  <mergeCells count="2">
    <mergeCell ref="A1:D1"/>
    <mergeCell ref="A6:D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79998168889431442"/>
  </sheetPr>
  <dimension ref="A1:O60"/>
  <sheetViews>
    <sheetView workbookViewId="0">
      <pane xSplit="2" ySplit="1" topLeftCell="C23" activePane="bottomRight" state="frozen"/>
      <selection activeCell="E30" sqref="E30"/>
      <selection pane="topRight" activeCell="E30" sqref="E30"/>
      <selection pane="bottomLeft" activeCell="E30" sqref="E30"/>
      <selection pane="bottomRight" activeCell="E30" sqref="E30"/>
    </sheetView>
  </sheetViews>
  <sheetFormatPr baseColWidth="10" defaultRowHeight="15.75"/>
  <cols>
    <col min="1" max="1" width="25.625" style="194" customWidth="1"/>
    <col min="2" max="2" width="14.25" style="194" customWidth="1"/>
    <col min="3" max="3" width="12.375" style="194" bestFit="1" customWidth="1"/>
    <col min="4" max="4" width="16" style="194" customWidth="1"/>
    <col min="5" max="5" width="17.5" style="194" customWidth="1"/>
    <col min="6" max="6" width="11.875" style="194" bestFit="1" customWidth="1"/>
    <col min="7" max="7" width="16" style="194" customWidth="1"/>
    <col min="8" max="8" width="17.5" style="194" customWidth="1"/>
    <col min="9" max="9" width="11" style="194"/>
    <col min="10" max="10" width="17" style="194" customWidth="1"/>
    <col min="11" max="11" width="21.375" style="194" customWidth="1"/>
    <col min="12" max="12" width="17" style="194" customWidth="1"/>
    <col min="13" max="13" width="16.625" style="35" bestFit="1" customWidth="1"/>
    <col min="14" max="14" width="16.5" style="35" customWidth="1"/>
    <col min="15" max="15" width="22.5" style="194" customWidth="1"/>
    <col min="16" max="16" width="24.375" style="194" customWidth="1"/>
    <col min="17" max="16384" width="11" style="194"/>
  </cols>
  <sheetData>
    <row r="1" spans="1:15">
      <c r="A1" s="343" t="s">
        <v>67</v>
      </c>
      <c r="B1" s="343"/>
      <c r="C1" s="343"/>
      <c r="D1" s="343"/>
      <c r="E1" s="343"/>
      <c r="F1" s="343"/>
      <c r="G1" s="343"/>
      <c r="H1" s="343"/>
      <c r="I1" s="343"/>
      <c r="J1" s="343"/>
      <c r="K1" s="344" t="s">
        <v>678</v>
      </c>
      <c r="L1" s="345"/>
      <c r="M1" s="345"/>
      <c r="N1" s="311"/>
    </row>
    <row r="2" spans="1:15" ht="31.5">
      <c r="A2" s="24" t="s">
        <v>0</v>
      </c>
      <c r="B2" s="24"/>
      <c r="C2" s="24">
        <v>546280</v>
      </c>
      <c r="D2" s="41" t="s">
        <v>674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>
      <c r="A3" s="22" t="s">
        <v>1</v>
      </c>
      <c r="B3" s="22"/>
      <c r="C3" s="22">
        <v>2005</v>
      </c>
      <c r="D3" s="22" t="s">
        <v>666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>
      <c r="A4" s="22" t="s">
        <v>2</v>
      </c>
      <c r="B4" s="22"/>
      <c r="C4" s="22" t="s">
        <v>664</v>
      </c>
      <c r="D4" s="22"/>
      <c r="E4" s="22"/>
      <c r="F4" s="198"/>
      <c r="G4" s="22"/>
      <c r="H4" s="22"/>
      <c r="I4" s="22"/>
      <c r="J4" s="22"/>
      <c r="K4" s="22"/>
      <c r="L4" s="22"/>
      <c r="M4" s="22"/>
      <c r="N4" s="22"/>
      <c r="O4" s="22"/>
    </row>
    <row r="5" spans="1:15">
      <c r="A5" s="67"/>
      <c r="B5" s="22"/>
      <c r="C5" s="21" t="s">
        <v>38</v>
      </c>
      <c r="D5" s="21" t="s">
        <v>665</v>
      </c>
      <c r="E5" s="22"/>
      <c r="F5" s="199" t="s">
        <v>676</v>
      </c>
      <c r="G5" s="22" t="s">
        <v>24</v>
      </c>
      <c r="H5" s="22"/>
      <c r="I5" s="22"/>
      <c r="J5" s="22"/>
      <c r="K5" s="22"/>
      <c r="L5" s="22"/>
      <c r="M5" s="22" t="s">
        <v>676</v>
      </c>
      <c r="N5" s="22" t="s">
        <v>24</v>
      </c>
      <c r="O5" s="22" t="s">
        <v>25</v>
      </c>
    </row>
    <row r="6" spans="1:15" ht="30.75" customHeight="1" thickBot="1">
      <c r="A6" s="6" t="s">
        <v>3</v>
      </c>
      <c r="B6" s="22"/>
      <c r="C6" s="42">
        <v>29.853162000000001</v>
      </c>
      <c r="D6" s="12" t="s">
        <v>43</v>
      </c>
      <c r="E6" s="303" t="s">
        <v>672</v>
      </c>
      <c r="F6" s="107"/>
      <c r="L6" s="200" t="s">
        <v>677</v>
      </c>
      <c r="M6" s="194">
        <v>13</v>
      </c>
      <c r="N6" s="194" t="s">
        <v>353</v>
      </c>
      <c r="O6" s="295" t="s">
        <v>698</v>
      </c>
    </row>
    <row r="7" spans="1:15" ht="41.25" customHeight="1" thickBot="1">
      <c r="A7" s="6"/>
      <c r="B7" s="22"/>
      <c r="E7" s="346"/>
      <c r="L7" s="194" t="s">
        <v>679</v>
      </c>
      <c r="M7" s="194">
        <v>3.6</v>
      </c>
      <c r="N7" s="194" t="s">
        <v>680</v>
      </c>
      <c r="O7" s="356"/>
    </row>
    <row r="8" spans="1:15" ht="90.75" thickBot="1">
      <c r="A8" s="6"/>
      <c r="B8" s="22"/>
      <c r="E8" s="346"/>
      <c r="L8" s="194" t="s">
        <v>684</v>
      </c>
      <c r="M8" s="31">
        <f>474838/(0.001*1000)/140000</f>
        <v>3.3917000000000002</v>
      </c>
      <c r="N8" s="203" t="s">
        <v>686</v>
      </c>
      <c r="O8" s="202" t="s">
        <v>66</v>
      </c>
    </row>
    <row r="9" spans="1:15" ht="46.5" customHeight="1" thickBot="1">
      <c r="A9" s="6" t="s">
        <v>4</v>
      </c>
      <c r="B9" s="22"/>
      <c r="C9" s="26">
        <f>C6*($B$47/(1-((1+$B$47)^-$B$46)))</f>
        <v>3.0406104900553439</v>
      </c>
      <c r="D9" s="194" t="s">
        <v>48</v>
      </c>
      <c r="E9" s="346"/>
      <c r="G9" s="347" t="s">
        <v>673</v>
      </c>
      <c r="H9" s="348"/>
      <c r="I9" s="348"/>
      <c r="J9" s="349"/>
      <c r="L9" s="194" t="s">
        <v>681</v>
      </c>
      <c r="M9" s="194">
        <v>1.5</v>
      </c>
      <c r="N9" s="194" t="s">
        <v>682</v>
      </c>
      <c r="O9" s="201" t="s">
        <v>683</v>
      </c>
    </row>
    <row r="10" spans="1:15" ht="16.5" thickBot="1">
      <c r="A10" s="6"/>
      <c r="B10" s="22"/>
      <c r="E10" s="346"/>
      <c r="G10" s="350"/>
      <c r="H10" s="351"/>
      <c r="I10" s="351"/>
      <c r="J10" s="352"/>
    </row>
    <row r="11" spans="1:15" ht="16.5" thickBot="1">
      <c r="A11" s="6"/>
      <c r="B11" s="22"/>
      <c r="E11" s="346"/>
      <c r="G11" s="350"/>
      <c r="H11" s="351"/>
      <c r="I11" s="351"/>
      <c r="J11" s="352"/>
    </row>
    <row r="12" spans="1:15" ht="16.5" thickBot="1">
      <c r="A12" s="6" t="s">
        <v>5</v>
      </c>
      <c r="B12" s="22"/>
      <c r="E12" s="346"/>
      <c r="G12" s="350"/>
      <c r="H12" s="351"/>
      <c r="I12" s="351"/>
      <c r="J12" s="352"/>
    </row>
    <row r="13" spans="1:15" ht="32.25" thickBot="1">
      <c r="A13" s="6" t="s">
        <v>59</v>
      </c>
      <c r="B13" s="30" t="s">
        <v>669</v>
      </c>
      <c r="C13" s="44">
        <f>17.440613-C15-C16</f>
        <v>1.4260000000000002</v>
      </c>
      <c r="D13" s="10" t="s">
        <v>54</v>
      </c>
      <c r="E13" s="346"/>
      <c r="G13" s="350"/>
      <c r="H13" s="351"/>
      <c r="I13" s="351"/>
      <c r="J13" s="352"/>
    </row>
    <row r="14" spans="1:15" ht="16.5" thickBot="1">
      <c r="A14" s="6" t="s">
        <v>60</v>
      </c>
      <c r="B14" s="29"/>
      <c r="C14" s="10"/>
      <c r="D14" s="10"/>
      <c r="E14" s="346"/>
      <c r="G14" s="350"/>
      <c r="H14" s="351"/>
      <c r="I14" s="351"/>
      <c r="J14" s="352"/>
    </row>
    <row r="15" spans="1:15" ht="32.25" thickBot="1">
      <c r="A15" s="6"/>
      <c r="B15" s="30" t="s">
        <v>667</v>
      </c>
      <c r="C15" s="45">
        <v>0.85945400000000005</v>
      </c>
      <c r="D15" s="10" t="s">
        <v>54</v>
      </c>
      <c r="E15" s="346"/>
      <c r="G15" s="353"/>
      <c r="H15" s="354"/>
      <c r="I15" s="354"/>
      <c r="J15" s="355"/>
    </row>
    <row r="16" spans="1:15" ht="72.95" customHeight="1" thickBot="1">
      <c r="A16" s="6"/>
      <c r="B16" s="30" t="s">
        <v>668</v>
      </c>
      <c r="C16" s="43">
        <v>15.155158999999999</v>
      </c>
      <c r="D16" s="10" t="s">
        <v>54</v>
      </c>
      <c r="E16" s="346"/>
      <c r="M16" s="194"/>
      <c r="N16" s="194"/>
    </row>
    <row r="17" spans="1:14" ht="48" thickBot="1">
      <c r="A17" s="6"/>
      <c r="B17" s="30" t="s">
        <v>670</v>
      </c>
      <c r="C17" s="31">
        <v>1.8769</v>
      </c>
      <c r="D17" s="10" t="s">
        <v>54</v>
      </c>
      <c r="E17" s="346"/>
      <c r="F17" s="194">
        <f>C17*1000000/C2</f>
        <v>3.4357838471113715</v>
      </c>
      <c r="G17" s="194" t="s">
        <v>685</v>
      </c>
      <c r="M17" s="194"/>
      <c r="N17" s="194"/>
    </row>
    <row r="18" spans="1:14" ht="48" thickBot="1">
      <c r="A18" s="6"/>
      <c r="B18" s="30" t="s">
        <v>671</v>
      </c>
      <c r="C18" s="10">
        <v>1.516362</v>
      </c>
      <c r="D18" s="10" t="s">
        <v>54</v>
      </c>
      <c r="E18" s="346"/>
      <c r="F18" s="194">
        <f>(C18*1000000/1440)/C2*1000</f>
        <v>1.9276363159307803</v>
      </c>
      <c r="G18" s="194" t="s">
        <v>675</v>
      </c>
      <c r="M18" s="194"/>
      <c r="N18" s="194"/>
    </row>
    <row r="19" spans="1:14" ht="16.5" thickBot="1">
      <c r="A19" s="6"/>
      <c r="B19" s="22"/>
      <c r="E19" s="346"/>
      <c r="M19" s="194"/>
      <c r="N19" s="194"/>
    </row>
    <row r="20" spans="1:14">
      <c r="A20" s="32"/>
      <c r="B20" s="22"/>
      <c r="M20" s="194"/>
      <c r="N20" s="194"/>
    </row>
    <row r="21" spans="1:14" ht="16.5" thickBot="1">
      <c r="A21" s="6"/>
      <c r="B21" s="22"/>
      <c r="G21" s="35"/>
      <c r="H21" s="35"/>
      <c r="M21" s="194"/>
      <c r="N21" s="194"/>
    </row>
    <row r="22" spans="1:14" ht="16.5" thickBot="1">
      <c r="A22" s="6"/>
      <c r="B22" s="22"/>
      <c r="G22" s="35"/>
      <c r="H22" s="35"/>
      <c r="M22" s="194"/>
      <c r="N22" s="194"/>
    </row>
    <row r="23" spans="1:14" ht="16.5" thickBot="1">
      <c r="A23" s="6"/>
      <c r="B23" s="22"/>
      <c r="G23" s="35"/>
      <c r="H23" s="35"/>
      <c r="M23" s="194"/>
      <c r="N23" s="194"/>
    </row>
    <row r="24" spans="1:14" ht="16.5" thickBot="1">
      <c r="A24" s="1"/>
      <c r="B24" s="22"/>
      <c r="G24" s="35"/>
      <c r="H24" s="35"/>
      <c r="M24" s="194"/>
      <c r="N24" s="194"/>
    </row>
    <row r="25" spans="1:14" ht="16.5" thickBot="1"/>
    <row r="26" spans="1:14">
      <c r="A26" s="2" t="s">
        <v>6</v>
      </c>
      <c r="B26" s="8" t="s">
        <v>23</v>
      </c>
      <c r="C26" s="8" t="s">
        <v>24</v>
      </c>
      <c r="D26" s="9" t="s">
        <v>25</v>
      </c>
    </row>
    <row r="27" spans="1:14">
      <c r="A27" s="3"/>
      <c r="B27" s="10"/>
      <c r="C27" s="10"/>
      <c r="D27" s="195"/>
    </row>
    <row r="28" spans="1:14" ht="47.25">
      <c r="A28" s="4" t="s">
        <v>7</v>
      </c>
      <c r="B28" s="12">
        <v>342.5</v>
      </c>
      <c r="C28" s="12"/>
      <c r="D28" s="195" t="s">
        <v>26</v>
      </c>
    </row>
    <row r="29" spans="1:14" ht="47.25">
      <c r="A29" s="4" t="s">
        <v>8</v>
      </c>
      <c r="B29" s="12">
        <v>372.7</v>
      </c>
      <c r="C29" s="12"/>
      <c r="D29" s="195" t="s">
        <v>26</v>
      </c>
    </row>
    <row r="30" spans="1:14" ht="47.25">
      <c r="A30" s="4" t="s">
        <v>9</v>
      </c>
      <c r="B30" s="12">
        <v>265.60000000000002</v>
      </c>
      <c r="C30" s="12"/>
      <c r="D30" s="195" t="s">
        <v>26</v>
      </c>
    </row>
    <row r="31" spans="1:14" ht="78.75">
      <c r="A31" s="4" t="s">
        <v>71</v>
      </c>
      <c r="B31" s="12">
        <v>576.1</v>
      </c>
      <c r="C31" s="12"/>
      <c r="D31" s="195" t="s">
        <v>49</v>
      </c>
    </row>
    <row r="32" spans="1:14" ht="47.25">
      <c r="A32" s="4" t="s">
        <v>10</v>
      </c>
      <c r="B32" s="12">
        <v>576.1</v>
      </c>
      <c r="C32" s="12"/>
      <c r="D32" s="195" t="s">
        <v>26</v>
      </c>
    </row>
    <row r="33" spans="1:6" ht="236.25">
      <c r="A33" s="4" t="s">
        <v>11</v>
      </c>
      <c r="B33" s="12">
        <v>567.5</v>
      </c>
      <c r="C33" s="12"/>
      <c r="D33" s="195" t="s">
        <v>27</v>
      </c>
    </row>
    <row r="34" spans="1:6" ht="157.5">
      <c r="A34" s="5" t="s">
        <v>12</v>
      </c>
      <c r="B34" s="13">
        <v>550.79999999999995</v>
      </c>
      <c r="C34" s="14"/>
      <c r="D34" s="15" t="s">
        <v>28</v>
      </c>
    </row>
    <row r="35" spans="1:6" ht="157.5">
      <c r="A35" s="5" t="s">
        <v>13</v>
      </c>
      <c r="B35" s="16">
        <v>584.6</v>
      </c>
      <c r="C35" s="14"/>
      <c r="D35" s="15" t="s">
        <v>28</v>
      </c>
    </row>
    <row r="36" spans="1:6" ht="157.5">
      <c r="A36" s="4" t="s">
        <v>14</v>
      </c>
      <c r="B36" s="12">
        <v>1</v>
      </c>
      <c r="C36" s="10"/>
      <c r="D36" s="195" t="s">
        <v>29</v>
      </c>
    </row>
    <row r="37" spans="1:6" ht="157.5">
      <c r="A37" s="4" t="s">
        <v>15</v>
      </c>
      <c r="B37" s="12">
        <v>1.1299999999999999</v>
      </c>
      <c r="C37" s="12"/>
      <c r="D37" s="195" t="s">
        <v>29</v>
      </c>
    </row>
    <row r="38" spans="1:6" ht="157.5">
      <c r="A38" s="4" t="s">
        <v>16</v>
      </c>
      <c r="B38" s="12">
        <v>1.1100000000000001</v>
      </c>
      <c r="C38" s="12"/>
      <c r="D38" s="195" t="s">
        <v>29</v>
      </c>
    </row>
    <row r="39" spans="1:6" ht="94.5">
      <c r="A39" s="4" t="s">
        <v>17</v>
      </c>
      <c r="B39" s="12">
        <v>0.6</v>
      </c>
      <c r="C39" s="12"/>
      <c r="D39" s="195" t="s">
        <v>30</v>
      </c>
    </row>
    <row r="40" spans="1:6" ht="157.5">
      <c r="A40" s="4" t="s">
        <v>18</v>
      </c>
      <c r="B40" s="12">
        <v>0.84339900000000001</v>
      </c>
      <c r="C40" s="10" t="s">
        <v>31</v>
      </c>
      <c r="D40" s="195" t="s">
        <v>32</v>
      </c>
    </row>
    <row r="41" spans="1:6" ht="110.25">
      <c r="A41" s="4" t="s">
        <v>19</v>
      </c>
      <c r="B41" s="17">
        <v>1.8420000000000001</v>
      </c>
      <c r="C41" s="12" t="s">
        <v>33</v>
      </c>
      <c r="D41" s="7" t="s">
        <v>34</v>
      </c>
    </row>
    <row r="42" spans="1:6" ht="110.25">
      <c r="A42" s="4" t="s">
        <v>20</v>
      </c>
      <c r="B42" s="17">
        <v>1.165</v>
      </c>
      <c r="C42" s="12" t="s">
        <v>33</v>
      </c>
      <c r="D42" s="7" t="s">
        <v>34</v>
      </c>
      <c r="E42" s="7"/>
      <c r="F42" s="7"/>
    </row>
    <row r="43" spans="1:6" ht="141.75">
      <c r="A43" s="4" t="s">
        <v>21</v>
      </c>
      <c r="B43" s="12">
        <v>1.26</v>
      </c>
      <c r="C43" s="12"/>
      <c r="D43" s="195" t="s">
        <v>35</v>
      </c>
    </row>
    <row r="44" spans="1:6" ht="63">
      <c r="A44" s="4" t="s">
        <v>22</v>
      </c>
      <c r="B44" s="18">
        <v>0.08</v>
      </c>
      <c r="C44" s="12" t="s">
        <v>36</v>
      </c>
      <c r="D44" s="12" t="s">
        <v>37</v>
      </c>
    </row>
    <row r="45" spans="1:6" ht="94.5">
      <c r="A45" s="23" t="s">
        <v>40</v>
      </c>
      <c r="B45" s="18">
        <v>8000</v>
      </c>
      <c r="C45" s="18" t="s">
        <v>41</v>
      </c>
      <c r="D45" s="12" t="s">
        <v>42</v>
      </c>
    </row>
    <row r="46" spans="1:6" ht="94.5">
      <c r="A46" s="4" t="s">
        <v>45</v>
      </c>
      <c r="B46" s="12">
        <v>20</v>
      </c>
      <c r="C46" s="12" t="s">
        <v>46</v>
      </c>
      <c r="D46" s="12" t="s">
        <v>42</v>
      </c>
    </row>
    <row r="47" spans="1:6" ht="94.5">
      <c r="A47" s="4" t="s">
        <v>47</v>
      </c>
      <c r="B47" s="12">
        <v>0.08</v>
      </c>
      <c r="C47" s="12"/>
      <c r="D47" s="12" t="s">
        <v>42</v>
      </c>
    </row>
    <row r="48" spans="1:6">
      <c r="A48" s="4"/>
      <c r="B48" s="12"/>
      <c r="C48" s="12"/>
      <c r="D48" s="195"/>
    </row>
    <row r="49" spans="1:4" ht="16.5" thickBot="1">
      <c r="A49" s="6"/>
      <c r="B49" s="19"/>
      <c r="C49" s="19"/>
      <c r="D49" s="20"/>
    </row>
    <row r="50" spans="1:4">
      <c r="A50" s="7"/>
    </row>
    <row r="51" spans="1:4">
      <c r="A51" s="7"/>
    </row>
    <row r="52" spans="1:4">
      <c r="A52" s="7"/>
    </row>
    <row r="53" spans="1:4">
      <c r="A53" s="7"/>
    </row>
    <row r="54" spans="1:4">
      <c r="A54" s="7"/>
    </row>
    <row r="55" spans="1:4">
      <c r="A55" s="7"/>
    </row>
    <row r="56" spans="1:4">
      <c r="A56" s="7"/>
    </row>
    <row r="57" spans="1:4">
      <c r="A57" s="7"/>
    </row>
    <row r="58" spans="1:4">
      <c r="A58" s="7"/>
    </row>
    <row r="59" spans="1:4">
      <c r="A59" s="7"/>
    </row>
    <row r="60" spans="1:4">
      <c r="A60" s="7"/>
    </row>
  </sheetData>
  <mergeCells count="5">
    <mergeCell ref="A1:J1"/>
    <mergeCell ref="K1:N1"/>
    <mergeCell ref="E6:E19"/>
    <mergeCell ref="G9:J15"/>
    <mergeCell ref="O6:O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3">
    <tabColor theme="9" tint="0.79998168889431442"/>
  </sheetPr>
  <dimension ref="A1:R60"/>
  <sheetViews>
    <sheetView workbookViewId="0">
      <pane xSplit="2" ySplit="1" topLeftCell="C2" activePane="bottomRight" state="frozen"/>
      <selection activeCell="E30" sqref="E30"/>
      <selection pane="topRight" activeCell="E30" sqref="E30"/>
      <selection pane="bottomLeft" activeCell="E30" sqref="E30"/>
      <selection pane="bottomRight" activeCell="E30" sqref="E30"/>
    </sheetView>
  </sheetViews>
  <sheetFormatPr baseColWidth="10" defaultRowHeight="15.75"/>
  <cols>
    <col min="1" max="1" width="25.625" customWidth="1"/>
    <col min="4" max="4" width="16" customWidth="1"/>
    <col min="5" max="5" width="17.5" customWidth="1"/>
    <col min="8" max="8" width="17.5" customWidth="1"/>
    <col min="10" max="12" width="17" customWidth="1"/>
    <col min="13" max="13" width="16.625" style="35" bestFit="1" customWidth="1"/>
    <col min="14" max="14" width="16.5" style="35" customWidth="1"/>
    <col min="16" max="16" width="24.375" customWidth="1"/>
  </cols>
  <sheetData>
    <row r="1" spans="1:18">
      <c r="A1" s="343" t="s">
        <v>67</v>
      </c>
      <c r="B1" s="343"/>
      <c r="C1" s="343"/>
      <c r="D1" s="343"/>
      <c r="E1" s="343"/>
      <c r="F1" s="343"/>
      <c r="G1" s="343"/>
      <c r="H1" s="343"/>
      <c r="I1" s="343"/>
      <c r="J1" s="343"/>
      <c r="K1" s="357"/>
      <c r="L1" s="357"/>
      <c r="M1" s="357"/>
      <c r="N1" s="357"/>
    </row>
    <row r="2" spans="1:18" ht="47.25">
      <c r="A2" s="24" t="s">
        <v>0</v>
      </c>
      <c r="B2" s="24"/>
      <c r="C2" s="24">
        <v>140</v>
      </c>
      <c r="D2" s="41" t="s">
        <v>63</v>
      </c>
      <c r="E2" s="28"/>
      <c r="F2" s="24"/>
      <c r="G2" s="24"/>
      <c r="H2" s="24"/>
      <c r="I2" s="24">
        <f>C2</f>
        <v>140</v>
      </c>
      <c r="J2" s="37"/>
      <c r="M2"/>
      <c r="N2"/>
      <c r="P2" s="47" t="s">
        <v>73</v>
      </c>
      <c r="Q2" s="47">
        <f>B35</f>
        <v>584.6</v>
      </c>
    </row>
    <row r="3" spans="1:18">
      <c r="A3" s="22" t="s">
        <v>1</v>
      </c>
      <c r="B3" s="22"/>
      <c r="C3" s="22">
        <v>2012</v>
      </c>
      <c r="D3" s="22"/>
      <c r="E3" s="112"/>
      <c r="F3" s="22"/>
      <c r="G3" s="22"/>
      <c r="H3" s="22"/>
      <c r="I3" s="22">
        <v>2017</v>
      </c>
      <c r="J3" s="38"/>
      <c r="M3"/>
      <c r="N3"/>
      <c r="P3" s="47" t="s">
        <v>72</v>
      </c>
      <c r="Q3" s="47">
        <f>B36</f>
        <v>1</v>
      </c>
    </row>
    <row r="4" spans="1:18">
      <c r="A4" s="22" t="s">
        <v>2</v>
      </c>
      <c r="B4" s="22"/>
      <c r="C4" s="22" t="s">
        <v>64</v>
      </c>
      <c r="D4" s="22"/>
      <c r="E4" s="112"/>
      <c r="F4" s="22"/>
      <c r="G4" s="22"/>
      <c r="H4" s="22"/>
      <c r="I4" s="27" t="s">
        <v>50</v>
      </c>
      <c r="J4" s="40"/>
      <c r="L4" s="104"/>
      <c r="M4"/>
      <c r="N4"/>
    </row>
    <row r="5" spans="1:18" ht="17.25" thickBot="1">
      <c r="A5" s="6"/>
      <c r="B5" s="22"/>
      <c r="C5" s="21" t="s">
        <v>38</v>
      </c>
      <c r="D5" s="21" t="s">
        <v>24</v>
      </c>
      <c r="E5" s="21" t="s">
        <v>25</v>
      </c>
      <c r="F5" s="21" t="s">
        <v>39</v>
      </c>
      <c r="G5" s="21" t="s">
        <v>24</v>
      </c>
      <c r="H5" s="21" t="s">
        <v>25</v>
      </c>
      <c r="I5" s="39" t="s">
        <v>44</v>
      </c>
      <c r="J5" s="39" t="s">
        <v>24</v>
      </c>
      <c r="L5" s="107"/>
      <c r="M5"/>
      <c r="N5"/>
    </row>
    <row r="6" spans="1:18" ht="15.75" customHeight="1" thickBot="1">
      <c r="A6" s="6" t="s">
        <v>3</v>
      </c>
      <c r="B6" s="22"/>
      <c r="C6" s="42">
        <v>8.7051230000000004</v>
      </c>
      <c r="D6" s="12" t="s">
        <v>43</v>
      </c>
      <c r="E6" s="358" t="s">
        <v>66</v>
      </c>
      <c r="I6" s="26">
        <f>C6*($B$33/$Q$2)*$B$40*($B$37/$Q$3)</f>
        <v>8.0536637247886631</v>
      </c>
      <c r="J6" t="s">
        <v>51</v>
      </c>
      <c r="L6" s="107"/>
      <c r="M6"/>
      <c r="N6"/>
      <c r="P6" s="47" t="s">
        <v>77</v>
      </c>
      <c r="Q6" s="47">
        <v>0.15</v>
      </c>
      <c r="R6" s="47" t="s">
        <v>75</v>
      </c>
    </row>
    <row r="7" spans="1:18" ht="16.5" thickBot="1">
      <c r="A7" s="6"/>
      <c r="B7" s="22"/>
      <c r="E7" s="359"/>
      <c r="M7"/>
      <c r="N7"/>
      <c r="P7" s="47" t="s">
        <v>76</v>
      </c>
      <c r="Q7" s="47">
        <v>0.25</v>
      </c>
      <c r="R7" s="47" t="s">
        <v>75</v>
      </c>
    </row>
    <row r="8" spans="1:18" ht="16.5" thickBot="1">
      <c r="A8" s="6"/>
      <c r="B8" s="22"/>
      <c r="E8" s="359"/>
      <c r="M8"/>
      <c r="N8"/>
      <c r="P8" s="47"/>
      <c r="Q8" s="47"/>
      <c r="R8" s="47"/>
    </row>
    <row r="9" spans="1:18" ht="16.5" thickBot="1">
      <c r="A9" s="6" t="s">
        <v>4</v>
      </c>
      <c r="B9" s="22"/>
      <c r="C9" s="26">
        <f>C6*($B$47/(1-((1+$B$47)^-$B$46)))</f>
        <v>0.88663600562721112</v>
      </c>
      <c r="D9" t="s">
        <v>48</v>
      </c>
      <c r="E9" s="359"/>
      <c r="I9" s="33">
        <f>I6*($B$47/(1-((1+$B$47)^-$B$46)))</f>
        <v>0.82028343948860771</v>
      </c>
      <c r="J9" s="22" t="s">
        <v>52</v>
      </c>
      <c r="M9"/>
      <c r="N9"/>
      <c r="P9" s="47"/>
      <c r="Q9" s="47"/>
      <c r="R9" s="47"/>
    </row>
    <row r="10" spans="1:18" ht="16.5" thickBot="1">
      <c r="A10" s="6"/>
      <c r="B10" s="22"/>
      <c r="E10" s="359"/>
      <c r="M10"/>
      <c r="N10"/>
      <c r="P10" s="47"/>
      <c r="Q10" s="47"/>
      <c r="R10" s="47"/>
    </row>
    <row r="11" spans="1:18" ht="16.5" thickBot="1">
      <c r="A11" s="6"/>
      <c r="B11" s="22"/>
      <c r="E11" s="359"/>
      <c r="M11"/>
      <c r="N11"/>
      <c r="P11" s="47"/>
      <c r="Q11" s="47"/>
      <c r="R11" s="47"/>
    </row>
    <row r="12" spans="1:18" ht="16.5" thickBot="1">
      <c r="A12" s="6" t="s">
        <v>5</v>
      </c>
      <c r="B12" s="22"/>
      <c r="E12" s="359"/>
      <c r="I12" s="33">
        <f>SUM(I13:I14)</f>
        <v>2.8997940622773033</v>
      </c>
      <c r="J12" s="22" t="s">
        <v>58</v>
      </c>
      <c r="M12"/>
      <c r="N12"/>
    </row>
    <row r="13" spans="1:18" ht="16.5" thickBot="1">
      <c r="A13" s="6" t="s">
        <v>59</v>
      </c>
      <c r="B13" s="29" t="s">
        <v>68</v>
      </c>
      <c r="C13" s="44">
        <f>40066/1000000</f>
        <v>4.0065999999999997E-2</v>
      </c>
      <c r="D13" s="10" t="s">
        <v>54</v>
      </c>
      <c r="E13" s="359"/>
      <c r="I13" s="26">
        <f>C13*($B$33/$Q$2)*$B$40*($B$37/$Q$3)</f>
        <v>3.706760844130319E-2</v>
      </c>
      <c r="J13" t="s">
        <v>58</v>
      </c>
      <c r="M13"/>
      <c r="N13"/>
    </row>
    <row r="14" spans="1:18" ht="16.5" thickBot="1">
      <c r="A14" s="6" t="s">
        <v>60</v>
      </c>
      <c r="B14" s="29"/>
      <c r="C14" s="10"/>
      <c r="D14" s="10"/>
      <c r="E14" s="359"/>
      <c r="I14" s="25">
        <f>SUM(I15:I18)</f>
        <v>2.8627264538360002</v>
      </c>
      <c r="J14" t="s">
        <v>52</v>
      </c>
      <c r="M14"/>
      <c r="N14"/>
    </row>
    <row r="15" spans="1:18" ht="48" thickBot="1">
      <c r="A15" s="6"/>
      <c r="B15" s="29" t="s">
        <v>53</v>
      </c>
      <c r="C15" s="45">
        <f>1.521989*1000000/(0.15*1000)</f>
        <v>10146.593333333334</v>
      </c>
      <c r="D15" s="10" t="s">
        <v>55</v>
      </c>
      <c r="E15" s="359"/>
      <c r="F15" s="12">
        <v>53.4</v>
      </c>
      <c r="G15" s="12" t="s">
        <v>352</v>
      </c>
      <c r="H15" t="s">
        <v>57</v>
      </c>
      <c r="I15" s="25">
        <f>C15*F15/1000000</f>
        <v>0.54182808400000004</v>
      </c>
      <c r="J15" t="s">
        <v>52</v>
      </c>
      <c r="M15"/>
      <c r="N15"/>
    </row>
    <row r="16" spans="1:18" ht="72.95" customHeight="1" thickBot="1">
      <c r="A16" s="6"/>
      <c r="B16" s="30" t="s">
        <v>65</v>
      </c>
      <c r="C16" s="43">
        <f>2.737764*1000000/(0.05*1000)</f>
        <v>54755.28</v>
      </c>
      <c r="D16" s="10" t="s">
        <v>55</v>
      </c>
      <c r="E16" s="359"/>
      <c r="F16" s="46">
        <f>0.05*1000*B40</f>
        <v>42.16995</v>
      </c>
      <c r="G16" s="12" t="s">
        <v>70</v>
      </c>
      <c r="H16" s="12" t="s">
        <v>66</v>
      </c>
      <c r="I16" s="25">
        <f>C16*F16/1000000</f>
        <v>2.3090274198360001</v>
      </c>
      <c r="J16" t="s">
        <v>52</v>
      </c>
      <c r="M16"/>
      <c r="N16"/>
    </row>
    <row r="17" spans="1:14" ht="63.75" thickBot="1">
      <c r="A17" s="6"/>
      <c r="B17" s="30" t="s">
        <v>22</v>
      </c>
      <c r="C17" s="31">
        <f>474838/(0.001*1000)</f>
        <v>474838</v>
      </c>
      <c r="D17" s="31" t="s">
        <v>56</v>
      </c>
      <c r="E17" s="359"/>
      <c r="F17" s="18">
        <v>2.5000000000000001E-2</v>
      </c>
      <c r="G17" s="12" t="s">
        <v>36</v>
      </c>
      <c r="H17" s="7" t="s">
        <v>69</v>
      </c>
      <c r="I17" s="25">
        <f>C17*F17/1000000</f>
        <v>1.187095E-2</v>
      </c>
      <c r="J17" t="s">
        <v>52</v>
      </c>
      <c r="M17"/>
      <c r="N17"/>
    </row>
    <row r="18" spans="1:14" ht="16.5" thickBot="1">
      <c r="A18" s="6"/>
      <c r="B18" s="29"/>
      <c r="C18" s="10"/>
      <c r="D18" s="31"/>
      <c r="E18" s="359"/>
      <c r="F18" s="12"/>
      <c r="G18" s="12"/>
      <c r="H18" s="12"/>
      <c r="I18" s="25"/>
      <c r="M18"/>
      <c r="N18"/>
    </row>
    <row r="19" spans="1:14" ht="16.5" thickBot="1">
      <c r="A19" s="6" t="s">
        <v>61</v>
      </c>
      <c r="B19" s="22"/>
      <c r="E19" s="359"/>
      <c r="I19" s="33">
        <f>I12+I9</f>
        <v>3.7200775017659109</v>
      </c>
      <c r="J19" s="22" t="s">
        <v>52</v>
      </c>
      <c r="M19"/>
      <c r="N19"/>
    </row>
    <row r="20" spans="1:14" ht="31.5">
      <c r="A20" s="32" t="s">
        <v>74</v>
      </c>
      <c r="B20" s="22"/>
      <c r="C20">
        <f>C15/($C$2*1000)*1000</f>
        <v>72.475666666666669</v>
      </c>
      <c r="D20" t="s">
        <v>353</v>
      </c>
      <c r="E20" s="359"/>
      <c r="I20" s="34">
        <f>I19*1000000/(I2*1000)</f>
        <v>26.571982155470792</v>
      </c>
      <c r="J20" s="22" t="s">
        <v>62</v>
      </c>
      <c r="M20"/>
      <c r="N20"/>
    </row>
    <row r="21" spans="1:14" ht="16.5" thickBot="1">
      <c r="A21" s="6"/>
      <c r="B21" s="22"/>
      <c r="C21">
        <f>C16/($C$2*1000)*1000</f>
        <v>391.10914285714284</v>
      </c>
      <c r="E21" s="359"/>
    </row>
    <row r="22" spans="1:14" ht="16.5" thickBot="1">
      <c r="A22" s="6"/>
      <c r="B22" s="22"/>
      <c r="C22">
        <f>C17/($C$2*1000)</f>
        <v>3.3917000000000002</v>
      </c>
      <c r="E22" s="359"/>
    </row>
    <row r="23" spans="1:14" ht="16.5" thickBot="1">
      <c r="A23" s="6"/>
      <c r="B23" s="22"/>
      <c r="E23" s="359"/>
    </row>
    <row r="24" spans="1:14" ht="16.5" thickBot="1">
      <c r="A24" s="1"/>
      <c r="B24" s="22"/>
      <c r="E24" s="359"/>
    </row>
    <row r="25" spans="1:14" ht="16.5" thickBot="1"/>
    <row r="26" spans="1:14">
      <c r="A26" s="2" t="s">
        <v>6</v>
      </c>
      <c r="B26" s="8" t="s">
        <v>23</v>
      </c>
      <c r="C26" s="8" t="s">
        <v>24</v>
      </c>
      <c r="D26" s="9" t="s">
        <v>25</v>
      </c>
    </row>
    <row r="27" spans="1:14">
      <c r="A27" s="3"/>
      <c r="B27" s="10"/>
      <c r="C27" s="10"/>
      <c r="D27" s="11"/>
    </row>
    <row r="28" spans="1:14" ht="47.25">
      <c r="A28" s="4" t="s">
        <v>7</v>
      </c>
      <c r="B28" s="12">
        <v>342.5</v>
      </c>
      <c r="C28" s="12"/>
      <c r="D28" s="11" t="s">
        <v>26</v>
      </c>
    </row>
    <row r="29" spans="1:14" ht="47.25">
      <c r="A29" s="4" t="s">
        <v>8</v>
      </c>
      <c r="B29" s="12">
        <v>372.7</v>
      </c>
      <c r="C29" s="12"/>
      <c r="D29" s="11" t="s">
        <v>26</v>
      </c>
    </row>
    <row r="30" spans="1:14" ht="47.25">
      <c r="A30" s="4" t="s">
        <v>9</v>
      </c>
      <c r="B30" s="12">
        <v>265.60000000000002</v>
      </c>
      <c r="C30" s="12"/>
      <c r="D30" s="11" t="s">
        <v>26</v>
      </c>
    </row>
    <row r="31" spans="1:14" ht="78.75">
      <c r="A31" s="4" t="s">
        <v>71</v>
      </c>
      <c r="B31" s="12">
        <v>576.1</v>
      </c>
      <c r="C31" s="12"/>
      <c r="D31" s="11" t="s">
        <v>49</v>
      </c>
    </row>
    <row r="32" spans="1:14" ht="47.25">
      <c r="A32" s="4" t="s">
        <v>10</v>
      </c>
      <c r="B32" s="12">
        <v>576.1</v>
      </c>
      <c r="C32" s="12"/>
      <c r="D32" s="11" t="s">
        <v>26</v>
      </c>
    </row>
    <row r="33" spans="1:6" ht="236.25">
      <c r="A33" s="4" t="s">
        <v>11</v>
      </c>
      <c r="B33" s="12">
        <v>567.5</v>
      </c>
      <c r="C33" s="12"/>
      <c r="D33" s="11" t="s">
        <v>27</v>
      </c>
    </row>
    <row r="34" spans="1:6" ht="157.5">
      <c r="A34" s="5" t="s">
        <v>12</v>
      </c>
      <c r="B34" s="13">
        <v>550.79999999999995</v>
      </c>
      <c r="C34" s="14"/>
      <c r="D34" s="15" t="s">
        <v>28</v>
      </c>
    </row>
    <row r="35" spans="1:6" ht="157.5">
      <c r="A35" s="5" t="s">
        <v>13</v>
      </c>
      <c r="B35" s="16">
        <v>584.6</v>
      </c>
      <c r="C35" s="14"/>
      <c r="D35" s="15" t="s">
        <v>28</v>
      </c>
    </row>
    <row r="36" spans="1:6" ht="157.5">
      <c r="A36" s="4" t="s">
        <v>14</v>
      </c>
      <c r="B36" s="12">
        <v>1</v>
      </c>
      <c r="C36" s="10"/>
      <c r="D36" s="11" t="s">
        <v>29</v>
      </c>
    </row>
    <row r="37" spans="1:6" ht="157.5">
      <c r="A37" s="4" t="s">
        <v>15</v>
      </c>
      <c r="B37" s="12">
        <v>1.1299999999999999</v>
      </c>
      <c r="C37" s="12"/>
      <c r="D37" s="11" t="s">
        <v>29</v>
      </c>
    </row>
    <row r="38" spans="1:6" ht="157.5">
      <c r="A38" s="4" t="s">
        <v>16</v>
      </c>
      <c r="B38" s="12">
        <v>1.1100000000000001</v>
      </c>
      <c r="C38" s="12"/>
      <c r="D38" s="11" t="s">
        <v>29</v>
      </c>
    </row>
    <row r="39" spans="1:6" ht="94.5">
      <c r="A39" s="4" t="s">
        <v>17</v>
      </c>
      <c r="B39" s="12">
        <v>0.6</v>
      </c>
      <c r="C39" s="12"/>
      <c r="D39" s="11" t="s">
        <v>30</v>
      </c>
    </row>
    <row r="40" spans="1:6" ht="157.5">
      <c r="A40" s="4" t="s">
        <v>18</v>
      </c>
      <c r="B40" s="12">
        <v>0.84339900000000001</v>
      </c>
      <c r="C40" s="10" t="s">
        <v>31</v>
      </c>
      <c r="D40" s="11" t="s">
        <v>32</v>
      </c>
    </row>
    <row r="41" spans="1:6" ht="110.25">
      <c r="A41" s="4" t="s">
        <v>19</v>
      </c>
      <c r="B41" s="17">
        <v>1.8420000000000001</v>
      </c>
      <c r="C41" s="12" t="s">
        <v>33</v>
      </c>
      <c r="D41" s="7" t="s">
        <v>34</v>
      </c>
    </row>
    <row r="42" spans="1:6" ht="110.25">
      <c r="A42" s="4" t="s">
        <v>20</v>
      </c>
      <c r="B42" s="17">
        <v>1.165</v>
      </c>
      <c r="C42" s="12" t="s">
        <v>33</v>
      </c>
      <c r="D42" s="7" t="s">
        <v>34</v>
      </c>
      <c r="E42" s="7"/>
      <c r="F42" s="7"/>
    </row>
    <row r="43" spans="1:6" ht="141.75">
      <c r="A43" s="4" t="s">
        <v>21</v>
      </c>
      <c r="B43" s="12">
        <v>1.26</v>
      </c>
      <c r="C43" s="12"/>
      <c r="D43" s="11" t="s">
        <v>35</v>
      </c>
    </row>
    <row r="44" spans="1:6" ht="63">
      <c r="A44" s="4" t="s">
        <v>22</v>
      </c>
      <c r="B44" s="18">
        <v>0.08</v>
      </c>
      <c r="C44" s="12" t="s">
        <v>36</v>
      </c>
      <c r="D44" s="12" t="s">
        <v>37</v>
      </c>
    </row>
    <row r="45" spans="1:6" ht="94.5">
      <c r="A45" s="23" t="s">
        <v>40</v>
      </c>
      <c r="B45" s="18">
        <v>8000</v>
      </c>
      <c r="C45" s="18" t="s">
        <v>41</v>
      </c>
      <c r="D45" s="12" t="s">
        <v>42</v>
      </c>
    </row>
    <row r="46" spans="1:6" ht="94.5">
      <c r="A46" s="4" t="s">
        <v>45</v>
      </c>
      <c r="B46" s="12">
        <v>20</v>
      </c>
      <c r="C46" s="12" t="s">
        <v>46</v>
      </c>
      <c r="D46" s="12" t="s">
        <v>42</v>
      </c>
    </row>
    <row r="47" spans="1:6" ht="94.5">
      <c r="A47" s="4" t="s">
        <v>47</v>
      </c>
      <c r="B47" s="12">
        <v>0.08</v>
      </c>
      <c r="C47" s="12"/>
      <c r="D47" s="12" t="s">
        <v>42</v>
      </c>
    </row>
    <row r="48" spans="1:6">
      <c r="A48" s="4"/>
      <c r="B48" s="12"/>
      <c r="C48" s="12"/>
      <c r="D48" s="11"/>
    </row>
    <row r="49" spans="1:4" ht="16.5" thickBot="1">
      <c r="A49" s="6"/>
      <c r="B49" s="19"/>
      <c r="C49" s="19"/>
      <c r="D49" s="20"/>
    </row>
    <row r="50" spans="1:4">
      <c r="A50" s="7"/>
    </row>
    <row r="51" spans="1:4">
      <c r="A51" s="7"/>
    </row>
    <row r="52" spans="1:4">
      <c r="A52" s="7"/>
    </row>
    <row r="53" spans="1:4">
      <c r="A53" s="7"/>
    </row>
    <row r="54" spans="1:4">
      <c r="A54" s="7"/>
    </row>
    <row r="55" spans="1:4">
      <c r="A55" s="7"/>
    </row>
    <row r="56" spans="1:4">
      <c r="A56" s="7"/>
    </row>
    <row r="57" spans="1:4">
      <c r="A57" s="7"/>
    </row>
    <row r="58" spans="1:4">
      <c r="A58" s="7"/>
    </row>
    <row r="59" spans="1:4">
      <c r="A59" s="7"/>
    </row>
    <row r="60" spans="1:4">
      <c r="A60" s="7"/>
    </row>
  </sheetData>
  <mergeCells count="3">
    <mergeCell ref="A1:J1"/>
    <mergeCell ref="K1:N1"/>
    <mergeCell ref="E6:E2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4">
    <tabColor theme="9" tint="0.79998168889431442"/>
  </sheetPr>
  <dimension ref="A1:S76"/>
  <sheetViews>
    <sheetView topLeftCell="A31" zoomScaleNormal="100" workbookViewId="0">
      <selection activeCell="E30" sqref="E30"/>
    </sheetView>
  </sheetViews>
  <sheetFormatPr baseColWidth="10" defaultRowHeight="15.75"/>
  <cols>
    <col min="1" max="2" width="11.875" bestFit="1" customWidth="1"/>
    <col min="6" max="6" width="10.625" customWidth="1"/>
    <col min="10" max="10" width="19.625" customWidth="1"/>
  </cols>
  <sheetData>
    <row r="1" spans="1:19" s="150" customFormat="1">
      <c r="A1" s="327" t="s">
        <v>521</v>
      </c>
      <c r="B1" s="328"/>
      <c r="C1" s="328"/>
      <c r="D1" s="328"/>
      <c r="E1" s="328"/>
      <c r="F1" s="328"/>
      <c r="G1" s="328"/>
      <c r="H1" s="328"/>
      <c r="I1" s="329"/>
      <c r="K1" s="327" t="s">
        <v>522</v>
      </c>
      <c r="L1" s="328"/>
      <c r="M1" s="328"/>
      <c r="N1" s="328"/>
      <c r="O1" s="328"/>
      <c r="P1" s="328"/>
      <c r="Q1" s="328"/>
      <c r="R1" s="328"/>
      <c r="S1" s="329"/>
    </row>
    <row r="2" spans="1:19" ht="110.25">
      <c r="A2" s="67" t="s">
        <v>151</v>
      </c>
      <c r="B2" s="73" t="s">
        <v>150</v>
      </c>
      <c r="K2" s="7" t="s">
        <v>523</v>
      </c>
      <c r="L2" s="7" t="s">
        <v>524</v>
      </c>
      <c r="M2" s="7" t="s">
        <v>523</v>
      </c>
      <c r="N2" s="7" t="s">
        <v>525</v>
      </c>
    </row>
    <row r="3" spans="1:19">
      <c r="A3">
        <v>43.294698462490203</v>
      </c>
      <c r="B3">
        <v>184150.09097338899</v>
      </c>
      <c r="K3" s="150">
        <v>2.11839214920938</v>
      </c>
      <c r="L3" s="150">
        <v>18.772700439981801</v>
      </c>
      <c r="M3" s="150">
        <v>5.0877113827311602</v>
      </c>
      <c r="N3" s="150">
        <v>15.6385115653397</v>
      </c>
    </row>
    <row r="4" spans="1:19">
      <c r="A4">
        <v>53.430905387722099</v>
      </c>
      <c r="B4">
        <v>205489.241444805</v>
      </c>
      <c r="K4" s="150">
        <v>1.9830339174434</v>
      </c>
      <c r="L4" s="150">
        <v>18.256913709934601</v>
      </c>
      <c r="M4" s="150">
        <v>5.7829906375051996</v>
      </c>
      <c r="N4" s="150">
        <v>16.100947603591599</v>
      </c>
    </row>
    <row r="5" spans="1:19">
      <c r="A5">
        <v>66.160039731778397</v>
      </c>
      <c r="B5">
        <v>232053.97707729801</v>
      </c>
      <c r="K5" s="150">
        <v>2.32636586727036</v>
      </c>
      <c r="L5" s="150">
        <v>19.1940279944187</v>
      </c>
      <c r="M5" s="150">
        <v>6.4072920050516</v>
      </c>
      <c r="N5" s="150">
        <v>16.723833226894602</v>
      </c>
    </row>
    <row r="6" spans="1:19">
      <c r="A6">
        <v>79.911826740599295</v>
      </c>
      <c r="B6">
        <v>264385.56505048199</v>
      </c>
      <c r="K6" s="150">
        <v>2.5813365269131601</v>
      </c>
      <c r="L6" s="150">
        <v>19.547739134899299</v>
      </c>
      <c r="M6" s="150">
        <v>7.0795459640776501</v>
      </c>
      <c r="N6" s="150">
        <v>17.003210216051698</v>
      </c>
    </row>
    <row r="7" spans="1:19">
      <c r="A7">
        <v>97.332418104317597</v>
      </c>
      <c r="B7">
        <v>300765.98442475201</v>
      </c>
      <c r="K7" s="150">
        <v>2.88486353435666</v>
      </c>
      <c r="L7" s="150">
        <v>20.213088185192799</v>
      </c>
      <c r="M7" s="150">
        <v>7.9366779700404297</v>
      </c>
      <c r="N7" s="150">
        <v>17.508730635153199</v>
      </c>
    </row>
    <row r="8" spans="1:19">
      <c r="A8">
        <v>119.59877137606</v>
      </c>
      <c r="B8">
        <v>348873.68815487699</v>
      </c>
      <c r="K8" s="150">
        <v>3.1999620496979899</v>
      </c>
      <c r="L8" s="150">
        <v>20.830671362436298</v>
      </c>
      <c r="M8" s="150">
        <v>8.8438815726039302</v>
      </c>
      <c r="N8" s="150">
        <v>18.0667753935763</v>
      </c>
    </row>
    <row r="9" spans="1:19">
      <c r="A9">
        <v>109.304846272777</v>
      </c>
      <c r="B9">
        <v>321173.34104555403</v>
      </c>
      <c r="K9" s="150">
        <v>4.4169092490003399</v>
      </c>
      <c r="L9" s="150">
        <v>22.385563688445799</v>
      </c>
      <c r="M9" s="150">
        <v>9.8394951399551402</v>
      </c>
      <c r="N9" s="150">
        <v>18.5340786138132</v>
      </c>
    </row>
    <row r="10" spans="1:19">
      <c r="A10">
        <v>148.194048101303</v>
      </c>
      <c r="B10">
        <v>405379.50064372201</v>
      </c>
      <c r="K10" s="150">
        <v>4.9141878259998801</v>
      </c>
      <c r="L10" s="150">
        <v>22.887079228798601</v>
      </c>
      <c r="M10" s="150">
        <v>10.9636018645188</v>
      </c>
      <c r="N10" s="150">
        <v>19.058227014884899</v>
      </c>
    </row>
    <row r="11" spans="1:19">
      <c r="A11">
        <v>177.120285924607</v>
      </c>
      <c r="B11">
        <v>462068.58431389899</v>
      </c>
      <c r="K11" s="150">
        <v>5.4756370739554203</v>
      </c>
      <c r="L11" s="150">
        <v>23.476402207620701</v>
      </c>
      <c r="M11" s="150">
        <v>12.2070894211845</v>
      </c>
      <c r="N11" s="150">
        <v>19.501820585206801</v>
      </c>
    </row>
    <row r="12" spans="1:19">
      <c r="A12">
        <v>210.031204441157</v>
      </c>
      <c r="B12">
        <v>543867.00757128897</v>
      </c>
      <c r="K12" s="150">
        <v>6.0966949360283698</v>
      </c>
      <c r="L12" s="150">
        <v>24.000264588026599</v>
      </c>
      <c r="M12" s="150">
        <v>13.591530671873899</v>
      </c>
      <c r="N12" s="150">
        <v>20.008247955360901</v>
      </c>
    </row>
    <row r="13" spans="1:19">
      <c r="A13">
        <v>249.209912153971</v>
      </c>
      <c r="B13">
        <v>636236.52535513497</v>
      </c>
      <c r="K13" s="150">
        <v>6.7936523111704403</v>
      </c>
      <c r="L13" s="150">
        <v>24.6491949958635</v>
      </c>
      <c r="M13" s="150">
        <v>15.1330977574373</v>
      </c>
      <c r="N13" s="150">
        <v>20.4617042588924</v>
      </c>
    </row>
    <row r="14" spans="1:19">
      <c r="A14">
        <v>284.15236946049902</v>
      </c>
      <c r="B14">
        <v>715585.37672779302</v>
      </c>
      <c r="K14" s="150">
        <v>7.5978162503799602</v>
      </c>
      <c r="L14" s="150">
        <v>25.346283398859999</v>
      </c>
      <c r="M14" s="150">
        <v>16.849353616840901</v>
      </c>
      <c r="N14" s="150">
        <v>21.010630658953701</v>
      </c>
    </row>
    <row r="15" spans="1:19">
      <c r="A15">
        <v>318.05179918879003</v>
      </c>
      <c r="B15">
        <v>809085.20035639103</v>
      </c>
      <c r="K15" s="150">
        <v>8.4493891455642398</v>
      </c>
      <c r="L15" s="150">
        <v>26.078571440561898</v>
      </c>
      <c r="M15" s="150">
        <v>18.821227770557101</v>
      </c>
      <c r="N15" s="150">
        <v>21.689078387924301</v>
      </c>
    </row>
    <row r="16" spans="1:19">
      <c r="A16">
        <v>358.57880219191298</v>
      </c>
      <c r="B16">
        <v>923907.42234064406</v>
      </c>
      <c r="K16" s="150">
        <v>9.3999721013668402</v>
      </c>
      <c r="L16" s="150">
        <v>26.791707225624101</v>
      </c>
      <c r="M16" s="150">
        <v>20.8878381717645</v>
      </c>
      <c r="N16" s="150">
        <v>22.1655944244783</v>
      </c>
    </row>
    <row r="17" spans="1:18">
      <c r="A17">
        <v>413.80008004991299</v>
      </c>
      <c r="B17">
        <v>1051721.7407230299</v>
      </c>
      <c r="D17" s="336" t="s">
        <v>155</v>
      </c>
      <c r="E17" s="336"/>
      <c r="F17" s="36"/>
      <c r="K17" s="150">
        <v>10.431860794504299</v>
      </c>
      <c r="L17" s="150">
        <v>27.664666170245699</v>
      </c>
      <c r="M17" s="150">
        <v>23.256790957788201</v>
      </c>
      <c r="N17" s="150">
        <v>22.740022535795902</v>
      </c>
    </row>
    <row r="18" spans="1:18">
      <c r="A18">
        <v>459.63575148084999</v>
      </c>
      <c r="B18">
        <v>1201374.5623970299</v>
      </c>
      <c r="D18" s="36" t="s">
        <v>82</v>
      </c>
      <c r="E18" s="36" t="s">
        <v>83</v>
      </c>
      <c r="F18" s="36" t="s">
        <v>91</v>
      </c>
      <c r="K18" s="150">
        <v>11.614944572680599</v>
      </c>
      <c r="L18" s="150">
        <v>28.408213046821899</v>
      </c>
      <c r="M18" s="150">
        <v>25.8943068404743</v>
      </c>
      <c r="N18" s="150">
        <v>23.371261460223799</v>
      </c>
    </row>
    <row r="19" spans="1:18">
      <c r="A19">
        <v>519.29476596676</v>
      </c>
      <c r="B19">
        <v>1390263.94991085</v>
      </c>
      <c r="D19" s="36">
        <v>1.3741000000000001</v>
      </c>
      <c r="E19" s="36">
        <v>1744.4</v>
      </c>
      <c r="F19" s="36">
        <v>113254</v>
      </c>
      <c r="K19" s="150">
        <v>12.932441729664699</v>
      </c>
      <c r="L19" s="150">
        <v>28.938298703374599</v>
      </c>
      <c r="M19" s="150">
        <v>28.878071354610501</v>
      </c>
      <c r="N19" s="150">
        <v>23.969760965768799</v>
      </c>
    </row>
    <row r="20" spans="1:18">
      <c r="A20">
        <v>558.60615328821098</v>
      </c>
      <c r="B20">
        <v>1524293.99750911</v>
      </c>
      <c r="K20" s="150">
        <v>14.3990823315876</v>
      </c>
      <c r="L20" s="150">
        <v>29.7480245908577</v>
      </c>
      <c r="M20" s="150">
        <v>32.1011078306055</v>
      </c>
      <c r="N20" s="150">
        <v>24.5211367536685</v>
      </c>
      <c r="P20" s="336" t="s">
        <v>526</v>
      </c>
      <c r="Q20" s="336"/>
      <c r="R20" s="36"/>
    </row>
    <row r="21" spans="1:18">
      <c r="K21" s="150">
        <v>16.0319471826738</v>
      </c>
      <c r="L21" s="150">
        <v>30.667006310828199</v>
      </c>
      <c r="M21" s="150">
        <v>35.741459106341097</v>
      </c>
      <c r="N21" s="150">
        <v>25.258441861001</v>
      </c>
      <c r="P21" s="36" t="s">
        <v>82</v>
      </c>
      <c r="Q21" s="36" t="s">
        <v>83</v>
      </c>
      <c r="R21" s="36"/>
    </row>
    <row r="22" spans="1:18" ht="63">
      <c r="K22" s="150">
        <v>17.850200838083399</v>
      </c>
      <c r="L22" s="150">
        <v>31.444809235526701</v>
      </c>
      <c r="M22" s="150">
        <v>39.916291474576703</v>
      </c>
      <c r="N22" s="150">
        <v>26.031976049155901</v>
      </c>
      <c r="P22" s="36">
        <v>15.542999999999999</v>
      </c>
      <c r="Q22" s="36">
        <v>0.24460000000000001</v>
      </c>
      <c r="R22" s="151" t="s">
        <v>527</v>
      </c>
    </row>
    <row r="23" spans="1:18" ht="47.25">
      <c r="A23" s="67" t="s">
        <v>151</v>
      </c>
      <c r="B23" s="73" t="s">
        <v>152</v>
      </c>
      <c r="K23" s="150">
        <v>19.7380413121708</v>
      </c>
      <c r="L23" s="150">
        <v>32.302875845722703</v>
      </c>
      <c r="M23" s="150">
        <v>44.3075582301624</v>
      </c>
      <c r="N23" s="150">
        <v>26.772797093593201</v>
      </c>
      <c r="P23" s="36">
        <v>10.446999999999999</v>
      </c>
      <c r="Q23" s="36">
        <v>0.2485</v>
      </c>
      <c r="R23" s="151" t="s">
        <v>528</v>
      </c>
    </row>
    <row r="24" spans="1:18">
      <c r="A24">
        <v>51.841404327671398</v>
      </c>
      <c r="B24">
        <v>316772.16278760298</v>
      </c>
      <c r="K24" s="150">
        <v>20.585579679679899</v>
      </c>
      <c r="L24" s="150">
        <v>32.714866165377302</v>
      </c>
      <c r="M24" s="150">
        <v>49.332380038438501</v>
      </c>
      <c r="N24" s="150">
        <v>27.522841537496699</v>
      </c>
    </row>
    <row r="25" spans="1:18">
      <c r="A25">
        <v>61.030023550141102</v>
      </c>
      <c r="B25">
        <v>376142.58222626802</v>
      </c>
      <c r="K25" s="150">
        <v>22.786528774285699</v>
      </c>
      <c r="L25" s="150">
        <v>33.393231928470001</v>
      </c>
      <c r="M25" s="150">
        <v>54.926886489054503</v>
      </c>
      <c r="N25" s="150">
        <v>28.331807598336798</v>
      </c>
    </row>
    <row r="26" spans="1:18">
      <c r="A26">
        <v>72.892439933037195</v>
      </c>
      <c r="B26">
        <v>425056.34498284903</v>
      </c>
      <c r="K26" s="150">
        <v>25.370739173182699</v>
      </c>
      <c r="L26" s="150">
        <v>34.304791045579798</v>
      </c>
      <c r="M26" s="150">
        <v>60.957050930921703</v>
      </c>
      <c r="N26" s="150">
        <v>29.145455416339502</v>
      </c>
    </row>
    <row r="27" spans="1:18">
      <c r="A27">
        <v>85.593354167289505</v>
      </c>
      <c r="B27">
        <v>490738.075732278</v>
      </c>
      <c r="K27" s="150">
        <v>28.418064852819001</v>
      </c>
      <c r="L27" s="150">
        <v>35.423005024674502</v>
      </c>
      <c r="M27" s="150">
        <v>68.855895822926996</v>
      </c>
      <c r="N27" s="150">
        <v>29.8523588808611</v>
      </c>
    </row>
    <row r="28" spans="1:18">
      <c r="A28">
        <v>102.35946415905001</v>
      </c>
      <c r="B28">
        <v>564998.41070182796</v>
      </c>
      <c r="K28" s="150">
        <v>30.796864505747202</v>
      </c>
      <c r="L28" s="150">
        <v>36.0590536125478</v>
      </c>
      <c r="M28" s="150">
        <v>76.329629908724002</v>
      </c>
      <c r="N28" s="150">
        <v>30.5532199811665</v>
      </c>
    </row>
    <row r="29" spans="1:18">
      <c r="A29">
        <v>120.03959279985401</v>
      </c>
      <c r="B29">
        <v>638686.14358331298</v>
      </c>
      <c r="K29" s="150">
        <v>34.341370878648803</v>
      </c>
      <c r="L29" s="150">
        <v>36.921899931782001</v>
      </c>
      <c r="M29" s="150">
        <v>85.241211315843699</v>
      </c>
      <c r="N29" s="150">
        <v>31.521950582834702</v>
      </c>
    </row>
    <row r="30" spans="1:18">
      <c r="A30">
        <v>141.84190926673199</v>
      </c>
      <c r="B30">
        <v>731032.49568864296</v>
      </c>
      <c r="K30" s="150">
        <v>38.437691407712002</v>
      </c>
      <c r="L30" s="150">
        <v>37.945258312980897</v>
      </c>
      <c r="M30" s="150">
        <v>94.310892114906295</v>
      </c>
      <c r="N30" s="150">
        <v>32.2762242594887</v>
      </c>
    </row>
    <row r="31" spans="1:18">
      <c r="A31">
        <v>170.00736968818001</v>
      </c>
      <c r="B31">
        <v>841107.60652081505</v>
      </c>
      <c r="K31" s="150">
        <v>42.572463189086001</v>
      </c>
      <c r="L31" s="150">
        <v>38.916391594221601</v>
      </c>
      <c r="M31" s="150">
        <v>104.645143915826</v>
      </c>
      <c r="N31" s="150">
        <v>33.154267252673002</v>
      </c>
    </row>
    <row r="32" spans="1:18">
      <c r="A32">
        <v>208.526725662004</v>
      </c>
      <c r="B32">
        <v>967570.84575599502</v>
      </c>
      <c r="K32" s="150">
        <v>47.555319173052098</v>
      </c>
      <c r="L32" s="150">
        <v>39.947894798448502</v>
      </c>
      <c r="M32" s="150">
        <v>116.512784194527</v>
      </c>
      <c r="N32" s="150">
        <v>34.074594572834201</v>
      </c>
    </row>
    <row r="33" spans="1:14">
      <c r="A33">
        <v>251.98828930142199</v>
      </c>
      <c r="B33">
        <v>1098291.0904641501</v>
      </c>
      <c r="K33" s="150">
        <v>51.957793095068297</v>
      </c>
      <c r="L33" s="150">
        <v>40.983495966388901</v>
      </c>
      <c r="M33" s="150">
        <v>129.726180787993</v>
      </c>
      <c r="N33" s="150">
        <v>35.0361921267532</v>
      </c>
    </row>
    <row r="34" spans="1:14">
      <c r="A34">
        <v>308.534497005444</v>
      </c>
      <c r="B34">
        <v>1247446.5908200799</v>
      </c>
      <c r="K34" s="150">
        <v>57.7184963622745</v>
      </c>
      <c r="L34" s="150">
        <v>42.119755269648799</v>
      </c>
      <c r="M34" s="150">
        <v>142.43781038508499</v>
      </c>
      <c r="N34" s="150">
        <v>35.802696037974002</v>
      </c>
    </row>
    <row r="35" spans="1:14">
      <c r="A35">
        <v>378.71363727559702</v>
      </c>
      <c r="B35">
        <v>1436643.0087061799</v>
      </c>
      <c r="K35" s="150">
        <v>64.1607982001523</v>
      </c>
      <c r="L35" s="150">
        <v>42.963175110086098</v>
      </c>
      <c r="M35" s="150">
        <v>160.82074461633599</v>
      </c>
      <c r="N35" s="150">
        <v>36.807622397803698</v>
      </c>
    </row>
    <row r="36" spans="1:14">
      <c r="A36">
        <v>468.22556050435202</v>
      </c>
      <c r="B36">
        <v>1633650.10750624</v>
      </c>
      <c r="D36" s="336" t="s">
        <v>158</v>
      </c>
      <c r="E36" s="336"/>
      <c r="F36" s="36"/>
      <c r="G36" s="36"/>
      <c r="H36" s="36"/>
      <c r="K36" s="150">
        <v>71.687533556995703</v>
      </c>
      <c r="L36" s="150">
        <v>43.991094314820302</v>
      </c>
      <c r="M36" s="150">
        <v>179.05790704519799</v>
      </c>
      <c r="N36" s="150">
        <v>37.945572500938802</v>
      </c>
    </row>
    <row r="37" spans="1:14">
      <c r="A37">
        <v>578.89157608205903</v>
      </c>
      <c r="B37">
        <v>1856896.6430156501</v>
      </c>
      <c r="D37" s="36" t="s">
        <v>82</v>
      </c>
      <c r="E37" s="36" t="s">
        <v>83</v>
      </c>
      <c r="F37" s="36" t="s">
        <v>91</v>
      </c>
      <c r="G37" s="36" t="s">
        <v>156</v>
      </c>
      <c r="H37" s="36" t="s">
        <v>157</v>
      </c>
      <c r="K37" s="150">
        <v>78.924863333235095</v>
      </c>
      <c r="L37" s="150">
        <v>45.074868604304399</v>
      </c>
      <c r="M37" s="150">
        <v>199.20166732400199</v>
      </c>
      <c r="N37" s="150">
        <v>39.052979188628299</v>
      </c>
    </row>
    <row r="38" spans="1:14">
      <c r="A38">
        <v>715.49189592697701</v>
      </c>
      <c r="B38">
        <v>2053854.35494792</v>
      </c>
      <c r="D38" s="74">
        <v>1.9999999999999999E-7</v>
      </c>
      <c r="E38" s="36">
        <v>1.1999999999999999E-3</v>
      </c>
      <c r="F38" s="36">
        <v>-3.2789000000000001</v>
      </c>
      <c r="G38" s="36">
        <v>4476.5</v>
      </c>
      <c r="H38" s="36">
        <v>136981</v>
      </c>
      <c r="K38" s="150">
        <v>88.492720072554704</v>
      </c>
      <c r="L38" s="150">
        <v>46.607152014028003</v>
      </c>
      <c r="M38" s="150">
        <v>221.977119179011</v>
      </c>
      <c r="N38" s="150">
        <v>39.853302727865803</v>
      </c>
    </row>
    <row r="39" spans="1:14">
      <c r="A39">
        <v>884.11719108130103</v>
      </c>
      <c r="B39">
        <v>2225065.1299165399</v>
      </c>
      <c r="K39" s="150">
        <v>98.602733145267095</v>
      </c>
      <c r="L39" s="150">
        <v>47.878811672073702</v>
      </c>
      <c r="M39" s="150">
        <v>247.14852741862001</v>
      </c>
      <c r="N39" s="150">
        <v>41.152018828042998</v>
      </c>
    </row>
    <row r="40" spans="1:14">
      <c r="A40">
        <v>1092.6558306643401</v>
      </c>
      <c r="B40">
        <v>2444208.2014363101</v>
      </c>
      <c r="K40" s="150">
        <v>109.784970160993</v>
      </c>
      <c r="L40" s="150">
        <v>49.235739539009799</v>
      </c>
      <c r="M40" s="150">
        <v>275.178609455394</v>
      </c>
      <c r="N40" s="150">
        <v>42.203726851350197</v>
      </c>
    </row>
    <row r="41" spans="1:14">
      <c r="A41">
        <v>1350.3275480171701</v>
      </c>
      <c r="B41">
        <v>2675261.23318522</v>
      </c>
      <c r="K41" s="150">
        <v>122.236802884311</v>
      </c>
      <c r="L41" s="150">
        <v>50.3704298501004</v>
      </c>
      <c r="M41" s="150">
        <v>305.391133594949</v>
      </c>
      <c r="N41" s="150">
        <v>43.294885072800099</v>
      </c>
    </row>
    <row r="42" spans="1:14">
      <c r="A42">
        <v>1668.698952446</v>
      </c>
      <c r="B42">
        <v>2918160.83198176</v>
      </c>
      <c r="K42" s="150">
        <v>136.098733512774</v>
      </c>
      <c r="L42" s="150">
        <v>51.893085680101599</v>
      </c>
      <c r="M42" s="150">
        <v>343.243249259913</v>
      </c>
      <c r="N42" s="150">
        <v>44.667139255881096</v>
      </c>
    </row>
    <row r="43" spans="1:14">
      <c r="A43">
        <v>2046.9789007204699</v>
      </c>
      <c r="B43">
        <v>3116536.16874386</v>
      </c>
      <c r="K43" s="150">
        <v>151.53409749817101</v>
      </c>
      <c r="L43" s="150">
        <v>53.238560374089197</v>
      </c>
      <c r="M43" s="150">
        <v>383.55447965429897</v>
      </c>
      <c r="N43" s="150">
        <v>45.584510686528297</v>
      </c>
    </row>
    <row r="44" spans="1:14">
      <c r="A44">
        <v>2546.9213250569901</v>
      </c>
      <c r="B44">
        <v>3307182.4256232302</v>
      </c>
      <c r="K44" s="150">
        <v>168.84716287336099</v>
      </c>
      <c r="L44" s="150">
        <v>54.582245268473599</v>
      </c>
      <c r="M44" s="150">
        <v>422.900362459723</v>
      </c>
      <c r="N44" s="150">
        <v>46.835674702070399</v>
      </c>
    </row>
    <row r="45" spans="1:14">
      <c r="A45">
        <v>2858.2049835816501</v>
      </c>
      <c r="B45">
        <v>3418454.8163999799</v>
      </c>
      <c r="K45" s="150">
        <v>189.27074036713699</v>
      </c>
      <c r="L45" s="150">
        <v>56.255161223680602</v>
      </c>
      <c r="M45" s="150">
        <v>472.76944034670299</v>
      </c>
      <c r="N45" s="150">
        <v>48.688692875486097</v>
      </c>
    </row>
    <row r="46" spans="1:14">
      <c r="K46" s="150">
        <v>207.93767013350001</v>
      </c>
      <c r="L46" s="150">
        <v>57.474043090532</v>
      </c>
      <c r="M46" s="150">
        <v>524.25697401868399</v>
      </c>
      <c r="N46" s="150">
        <v>49.612878384710299</v>
      </c>
    </row>
    <row r="47" spans="1:14">
      <c r="K47" s="150">
        <v>232.87822334378299</v>
      </c>
      <c r="L47" s="150">
        <v>59.370392618929003</v>
      </c>
      <c r="M47" s="150">
        <v>585.03357486963</v>
      </c>
      <c r="N47" s="150">
        <v>50.850792699335202</v>
      </c>
    </row>
    <row r="48" spans="1:14" ht="31.5">
      <c r="A48" s="67" t="s">
        <v>153</v>
      </c>
      <c r="B48" s="73" t="s">
        <v>154</v>
      </c>
      <c r="K48" s="150">
        <v>259.29004181356402</v>
      </c>
      <c r="L48" s="150">
        <v>60.8685732073913</v>
      </c>
      <c r="M48" s="150">
        <v>649.91392616422399</v>
      </c>
      <c r="N48" s="150">
        <v>52.268039673463498</v>
      </c>
    </row>
    <row r="49" spans="1:14">
      <c r="A49">
        <v>21.716140037714698</v>
      </c>
      <c r="B49">
        <v>166111.830570511</v>
      </c>
      <c r="K49" s="150">
        <v>292.70653427196902</v>
      </c>
      <c r="L49" s="150">
        <v>62.304905226641203</v>
      </c>
      <c r="M49" s="150">
        <v>727.779797012053</v>
      </c>
      <c r="N49" s="150">
        <v>54.0805300207142</v>
      </c>
    </row>
    <row r="50" spans="1:14">
      <c r="A50">
        <v>27.219923179006202</v>
      </c>
      <c r="B50">
        <v>187688.414657655</v>
      </c>
      <c r="K50" s="150">
        <v>323.277640828573</v>
      </c>
      <c r="L50" s="150">
        <v>63.9562844580933</v>
      </c>
      <c r="M50" s="150">
        <v>792.40790632901405</v>
      </c>
      <c r="N50" s="150">
        <v>55.037234159814702</v>
      </c>
    </row>
    <row r="51" spans="1:14">
      <c r="A51">
        <v>34.116480876378503</v>
      </c>
      <c r="B51">
        <v>209682.03036449201</v>
      </c>
      <c r="K51" s="150">
        <v>354.827156502658</v>
      </c>
      <c r="L51" s="150">
        <v>65.287871684794794</v>
      </c>
      <c r="M51" s="150">
        <v>896.39296919724404</v>
      </c>
      <c r="N51" s="150">
        <v>56.428865466262003</v>
      </c>
    </row>
    <row r="52" spans="1:14">
      <c r="A52">
        <v>42.762816876083299</v>
      </c>
      <c r="B52">
        <v>236700.81383311501</v>
      </c>
      <c r="K52" s="150">
        <v>397.587922328758</v>
      </c>
      <c r="L52" s="150">
        <v>67.326379145312998</v>
      </c>
      <c r="M52" s="150">
        <v>969.963318688502</v>
      </c>
      <c r="N52" s="150">
        <v>57.570910803667402</v>
      </c>
    </row>
    <row r="53" spans="1:14">
      <c r="A53">
        <v>53.378001006025599</v>
      </c>
      <c r="B53">
        <v>264115.427465207</v>
      </c>
      <c r="K53" s="150">
        <v>443.67833252533302</v>
      </c>
      <c r="L53" s="150">
        <v>69.112513070303294</v>
      </c>
    </row>
    <row r="54" spans="1:14">
      <c r="A54">
        <v>67.183457679318906</v>
      </c>
      <c r="B54">
        <v>300605.68500781601</v>
      </c>
      <c r="K54" s="150">
        <v>493.59909392110598</v>
      </c>
      <c r="L54" s="150">
        <v>70.656480881089905</v>
      </c>
    </row>
    <row r="55" spans="1:14">
      <c r="A55">
        <v>112.374949728244</v>
      </c>
      <c r="B55">
        <v>397458.86887185299</v>
      </c>
      <c r="K55" s="150">
        <v>565.73300081343496</v>
      </c>
      <c r="L55" s="150">
        <v>73.2003991818911</v>
      </c>
    </row>
    <row r="56" spans="1:14">
      <c r="A56">
        <v>100.93685628891301</v>
      </c>
      <c r="B56">
        <v>376578.03468030598</v>
      </c>
      <c r="K56" s="150">
        <v>643.060738176055</v>
      </c>
      <c r="L56" s="150">
        <v>74.9359901907318</v>
      </c>
    </row>
    <row r="57" spans="1:14">
      <c r="A57">
        <v>129.618322804424</v>
      </c>
      <c r="B57">
        <v>430605.78301915497</v>
      </c>
      <c r="K57" s="150">
        <v>715.98550271742397</v>
      </c>
      <c r="L57" s="150">
        <v>77.190998537598702</v>
      </c>
    </row>
    <row r="58" spans="1:14">
      <c r="A58">
        <v>162.47586651774799</v>
      </c>
      <c r="B58">
        <v>490272.71409901499</v>
      </c>
      <c r="K58" s="150">
        <v>795.39258868797799</v>
      </c>
      <c r="L58" s="150">
        <v>79.163230226473203</v>
      </c>
    </row>
    <row r="59" spans="1:14">
      <c r="A59">
        <v>204.821542883663</v>
      </c>
      <c r="B59">
        <v>540597.72762006801</v>
      </c>
      <c r="K59" s="150">
        <v>894.66608120648095</v>
      </c>
      <c r="L59" s="150">
        <v>81.564516200356096</v>
      </c>
    </row>
    <row r="60" spans="1:14">
      <c r="A60">
        <v>255.23821717692701</v>
      </c>
      <c r="B60">
        <v>612466.46911716799</v>
      </c>
      <c r="K60" s="150">
        <v>973.08005164000099</v>
      </c>
      <c r="L60" s="150">
        <v>83.782706882201794</v>
      </c>
    </row>
    <row r="61" spans="1:14">
      <c r="A61">
        <v>319.93560881832798</v>
      </c>
      <c r="B61">
        <v>695698.19559850404</v>
      </c>
    </row>
    <row r="62" spans="1:14">
      <c r="A62">
        <v>401.01971624463198</v>
      </c>
      <c r="B62">
        <v>785695.32764504198</v>
      </c>
      <c r="D62" s="336" t="s">
        <v>159</v>
      </c>
      <c r="E62" s="336"/>
    </row>
    <row r="63" spans="1:14">
      <c r="A63">
        <v>502.61274682418298</v>
      </c>
      <c r="B63">
        <v>874246.63474753499</v>
      </c>
      <c r="D63" s="36" t="s">
        <v>82</v>
      </c>
      <c r="E63" s="36" t="s">
        <v>83</v>
      </c>
    </row>
    <row r="64" spans="1:14">
      <c r="A64">
        <v>629.93542426231602</v>
      </c>
      <c r="B64">
        <v>970638.90508318204</v>
      </c>
      <c r="D64" s="74">
        <v>33352</v>
      </c>
      <c r="E64" s="36">
        <v>0.52380000000000004</v>
      </c>
    </row>
    <row r="65" spans="1:2">
      <c r="A65">
        <v>789.54688518940804</v>
      </c>
      <c r="B65">
        <v>1086459.59530744</v>
      </c>
    </row>
    <row r="66" spans="1:2">
      <c r="A66">
        <v>981.22905336333804</v>
      </c>
      <c r="B66">
        <v>1224117.04451945</v>
      </c>
    </row>
    <row r="67" spans="1:2">
      <c r="A67">
        <v>1240.5046146202201</v>
      </c>
      <c r="B67">
        <v>1394007.4856521001</v>
      </c>
    </row>
    <row r="68" spans="1:2">
      <c r="A68">
        <v>1562.2129189724801</v>
      </c>
      <c r="B68">
        <v>1565543.1240939701</v>
      </c>
    </row>
    <row r="69" spans="1:2">
      <c r="A69">
        <v>1948.87335044151</v>
      </c>
      <c r="B69">
        <v>1762339.9843456701</v>
      </c>
    </row>
    <row r="70" spans="1:2">
      <c r="A70">
        <v>2442.8145537223199</v>
      </c>
      <c r="B70">
        <v>1993446.72272696</v>
      </c>
    </row>
    <row r="71" spans="1:2">
      <c r="A71">
        <v>3061.5775749091799</v>
      </c>
      <c r="B71">
        <v>2206032.7404422602</v>
      </c>
    </row>
    <row r="72" spans="1:2">
      <c r="A72">
        <v>3783.3235395043698</v>
      </c>
      <c r="B72">
        <v>2471776.8673854298</v>
      </c>
    </row>
    <row r="73" spans="1:2">
      <c r="A73">
        <v>4785.6248463488901</v>
      </c>
      <c r="B73">
        <v>2825700.1360044102</v>
      </c>
    </row>
    <row r="74" spans="1:2">
      <c r="A74">
        <v>5997.8937674342596</v>
      </c>
      <c r="B74">
        <v>3134074.99583229</v>
      </c>
    </row>
    <row r="75" spans="1:2">
      <c r="A75">
        <v>7622.3728933919101</v>
      </c>
      <c r="B75">
        <v>3630132.2636019401</v>
      </c>
    </row>
    <row r="76" spans="1:2">
      <c r="A76">
        <v>9375.6703526115198</v>
      </c>
      <c r="B76">
        <v>4031626.7836226402</v>
      </c>
    </row>
  </sheetData>
  <mergeCells count="6">
    <mergeCell ref="D17:E17"/>
    <mergeCell ref="D36:E36"/>
    <mergeCell ref="D62:E62"/>
    <mergeCell ref="A1:I1"/>
    <mergeCell ref="K1:S1"/>
    <mergeCell ref="P20:Q20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5">
    <tabColor theme="9" tint="0.79998168889431442"/>
  </sheetPr>
  <dimension ref="A1:H103"/>
  <sheetViews>
    <sheetView topLeftCell="A28" workbookViewId="0">
      <selection activeCell="E30" sqref="E30"/>
    </sheetView>
  </sheetViews>
  <sheetFormatPr baseColWidth="10" defaultRowHeight="15.75"/>
  <cols>
    <col min="4" max="4" width="57.625" customWidth="1"/>
    <col min="5" max="5" width="8.875" customWidth="1"/>
  </cols>
  <sheetData>
    <row r="1" spans="1:5" ht="47.25">
      <c r="A1" s="79" t="s">
        <v>160</v>
      </c>
      <c r="B1" s="80" t="s">
        <v>161</v>
      </c>
      <c r="C1" s="80"/>
      <c r="D1" s="81" t="s">
        <v>25</v>
      </c>
      <c r="E1" s="62"/>
    </row>
    <row r="2" spans="1:5" ht="15.75" customHeight="1">
      <c r="A2" s="3">
        <v>1963</v>
      </c>
      <c r="B2" s="10">
        <v>102.4</v>
      </c>
      <c r="C2" s="10"/>
      <c r="D2" s="360" t="s">
        <v>195</v>
      </c>
      <c r="E2" s="94"/>
    </row>
    <row r="3" spans="1:5">
      <c r="A3" s="3">
        <f>A2+1</f>
        <v>1964</v>
      </c>
      <c r="B3" s="10">
        <v>103.3</v>
      </c>
      <c r="C3" s="10"/>
      <c r="D3" s="360"/>
      <c r="E3" s="94"/>
    </row>
    <row r="4" spans="1:5">
      <c r="A4" s="3">
        <f t="shared" ref="A4:A57" si="0">A3+1</f>
        <v>1965</v>
      </c>
      <c r="B4" s="10">
        <v>104.2</v>
      </c>
      <c r="C4" s="10"/>
      <c r="D4" s="360"/>
      <c r="E4" s="94"/>
    </row>
    <row r="5" spans="1:5">
      <c r="A5" s="3">
        <f t="shared" si="0"/>
        <v>1966</v>
      </c>
      <c r="B5" s="10">
        <v>107.9</v>
      </c>
      <c r="C5" s="10"/>
      <c r="D5" s="360"/>
      <c r="E5" s="94"/>
    </row>
    <row r="6" spans="1:5">
      <c r="A6" s="3">
        <f t="shared" si="0"/>
        <v>1967</v>
      </c>
      <c r="B6" s="10">
        <v>109.7</v>
      </c>
      <c r="C6" s="10"/>
      <c r="D6" s="360"/>
      <c r="E6" s="94"/>
    </row>
    <row r="7" spans="1:5">
      <c r="A7" s="3">
        <f t="shared" si="0"/>
        <v>1968</v>
      </c>
      <c r="B7" s="10">
        <v>113.7</v>
      </c>
      <c r="C7" s="10"/>
      <c r="D7" s="360"/>
      <c r="E7" s="94"/>
    </row>
    <row r="8" spans="1:5">
      <c r="A8" s="3">
        <f t="shared" si="0"/>
        <v>1969</v>
      </c>
      <c r="B8" s="10">
        <v>119</v>
      </c>
      <c r="C8" s="10"/>
      <c r="D8" s="360"/>
      <c r="E8" s="94"/>
    </row>
    <row r="9" spans="1:5">
      <c r="A9" s="3">
        <f t="shared" si="0"/>
        <v>1970</v>
      </c>
      <c r="B9" s="10">
        <v>125.7</v>
      </c>
      <c r="C9" s="10"/>
      <c r="D9" s="360"/>
      <c r="E9" s="94"/>
    </row>
    <row r="10" spans="1:5">
      <c r="A10" s="3">
        <f t="shared" si="0"/>
        <v>1971</v>
      </c>
      <c r="B10" s="10">
        <v>132.30000000000001</v>
      </c>
      <c r="C10" s="10"/>
      <c r="D10" s="360"/>
      <c r="E10" s="94"/>
    </row>
    <row r="11" spans="1:5">
      <c r="A11" s="3">
        <f t="shared" si="0"/>
        <v>1972</v>
      </c>
      <c r="B11" s="10">
        <v>137.19999999999999</v>
      </c>
      <c r="C11" s="10"/>
      <c r="D11" s="360"/>
      <c r="E11" s="94"/>
    </row>
    <row r="12" spans="1:5">
      <c r="A12" s="3">
        <f t="shared" si="0"/>
        <v>1973</v>
      </c>
      <c r="B12" s="10">
        <v>144.1</v>
      </c>
      <c r="C12" s="10"/>
      <c r="D12" s="360"/>
      <c r="E12" s="94"/>
    </row>
    <row r="13" spans="1:5">
      <c r="A13" s="3">
        <f t="shared" si="0"/>
        <v>1974</v>
      </c>
      <c r="B13" s="10">
        <v>165.4</v>
      </c>
      <c r="C13" s="10"/>
      <c r="D13" s="360"/>
      <c r="E13" s="94"/>
    </row>
    <row r="14" spans="1:5">
      <c r="A14" s="3">
        <f t="shared" si="0"/>
        <v>1975</v>
      </c>
      <c r="B14" s="10">
        <v>182.4</v>
      </c>
      <c r="C14" s="10"/>
      <c r="D14" s="360"/>
      <c r="E14" s="94"/>
    </row>
    <row r="15" spans="1:5">
      <c r="A15" s="3">
        <f t="shared" si="0"/>
        <v>1976</v>
      </c>
      <c r="B15" s="10">
        <v>192.1</v>
      </c>
      <c r="C15" s="10"/>
      <c r="D15" s="360"/>
      <c r="E15" s="94"/>
    </row>
    <row r="16" spans="1:5">
      <c r="A16" s="3">
        <f t="shared" si="0"/>
        <v>1977</v>
      </c>
      <c r="B16" s="10">
        <v>204.1</v>
      </c>
      <c r="C16" s="10"/>
      <c r="D16" s="360"/>
      <c r="E16" s="94"/>
    </row>
    <row r="17" spans="1:5">
      <c r="A17" s="3">
        <f t="shared" si="0"/>
        <v>1978</v>
      </c>
      <c r="B17" s="10">
        <v>218.8</v>
      </c>
      <c r="C17" s="10"/>
      <c r="D17" s="360"/>
      <c r="E17" s="94"/>
    </row>
    <row r="18" spans="1:5">
      <c r="A18" s="3">
        <f t="shared" si="0"/>
        <v>1979</v>
      </c>
      <c r="B18" s="10">
        <v>238.7</v>
      </c>
      <c r="C18" s="10"/>
      <c r="D18" s="360"/>
      <c r="E18" s="94"/>
    </row>
    <row r="19" spans="1:5">
      <c r="A19" s="3">
        <f>A18+1</f>
        <v>1980</v>
      </c>
      <c r="B19" s="10">
        <v>261.2</v>
      </c>
      <c r="C19" s="10"/>
      <c r="D19" s="360"/>
      <c r="E19" s="94"/>
    </row>
    <row r="20" spans="1:5">
      <c r="A20" s="3">
        <f t="shared" si="0"/>
        <v>1981</v>
      </c>
      <c r="B20" s="10">
        <v>297</v>
      </c>
      <c r="C20" s="10"/>
      <c r="D20" s="360"/>
      <c r="E20" s="94"/>
    </row>
    <row r="21" spans="1:5">
      <c r="A21" s="3">
        <f t="shared" si="0"/>
        <v>1982</v>
      </c>
      <c r="B21" s="10">
        <v>314</v>
      </c>
      <c r="C21" s="10"/>
      <c r="D21" s="360"/>
      <c r="E21" s="94"/>
    </row>
    <row r="22" spans="1:5">
      <c r="A22" s="3">
        <f t="shared" si="0"/>
        <v>1983</v>
      </c>
      <c r="B22" s="10">
        <v>317</v>
      </c>
      <c r="C22" s="10"/>
      <c r="D22" s="360"/>
      <c r="E22" s="94"/>
    </row>
    <row r="23" spans="1:5">
      <c r="A23" s="3">
        <f t="shared" si="0"/>
        <v>1984</v>
      </c>
      <c r="B23" s="10">
        <v>322.7</v>
      </c>
      <c r="C23" s="10"/>
      <c r="D23" s="360"/>
      <c r="E23" s="94"/>
    </row>
    <row r="24" spans="1:5">
      <c r="A24" s="3">
        <f t="shared" si="0"/>
        <v>1985</v>
      </c>
      <c r="B24" s="10">
        <v>325.3</v>
      </c>
      <c r="C24" s="10"/>
      <c r="D24" s="360"/>
      <c r="E24" s="94"/>
    </row>
    <row r="25" spans="1:5">
      <c r="A25" s="3">
        <f t="shared" si="0"/>
        <v>1986</v>
      </c>
      <c r="B25" s="10">
        <v>318.39999999999998</v>
      </c>
      <c r="C25" s="10"/>
      <c r="D25" s="360"/>
      <c r="E25" s="94"/>
    </row>
    <row r="26" spans="1:5">
      <c r="A26" s="3">
        <f t="shared" si="0"/>
        <v>1987</v>
      </c>
      <c r="B26" s="10">
        <v>323.8</v>
      </c>
      <c r="C26" s="10"/>
      <c r="D26" s="360"/>
      <c r="E26" s="94"/>
    </row>
    <row r="27" spans="1:5">
      <c r="A27" s="3">
        <f t="shared" si="0"/>
        <v>1988</v>
      </c>
      <c r="B27" s="10">
        <v>342.5</v>
      </c>
      <c r="C27" s="10"/>
      <c r="D27" s="360"/>
      <c r="E27" s="94"/>
    </row>
    <row r="28" spans="1:5">
      <c r="A28" s="3">
        <f t="shared" si="0"/>
        <v>1989</v>
      </c>
      <c r="B28" s="10">
        <v>355.4</v>
      </c>
      <c r="C28" s="10"/>
      <c r="D28" s="360"/>
      <c r="E28" s="94"/>
    </row>
    <row r="29" spans="1:5">
      <c r="A29" s="3">
        <f t="shared" si="0"/>
        <v>1990</v>
      </c>
      <c r="B29" s="10">
        <v>357.6</v>
      </c>
      <c r="C29" s="10"/>
      <c r="D29" s="360"/>
      <c r="E29" s="94"/>
    </row>
    <row r="30" spans="1:5">
      <c r="A30" s="3">
        <f>A29+1</f>
        <v>1991</v>
      </c>
      <c r="B30" s="10">
        <v>361.3</v>
      </c>
      <c r="C30" s="10"/>
      <c r="D30" s="360"/>
      <c r="E30" s="94"/>
    </row>
    <row r="31" spans="1:5">
      <c r="A31" s="3">
        <f t="shared" si="0"/>
        <v>1992</v>
      </c>
      <c r="B31" s="10">
        <v>358.2</v>
      </c>
      <c r="C31" s="10"/>
      <c r="D31" s="360"/>
      <c r="E31" s="94"/>
    </row>
    <row r="32" spans="1:5">
      <c r="A32" s="3">
        <f t="shared" si="0"/>
        <v>1993</v>
      </c>
      <c r="B32" s="10">
        <v>359.2</v>
      </c>
      <c r="C32" s="10"/>
      <c r="D32" s="360"/>
      <c r="E32" s="94"/>
    </row>
    <row r="33" spans="1:5">
      <c r="A33" s="3">
        <f t="shared" si="0"/>
        <v>1994</v>
      </c>
      <c r="B33" s="10">
        <v>368.1</v>
      </c>
      <c r="C33" s="10"/>
      <c r="D33" s="360"/>
      <c r="E33" s="94"/>
    </row>
    <row r="34" spans="1:5">
      <c r="A34" s="3">
        <f t="shared" si="0"/>
        <v>1995</v>
      </c>
      <c r="B34" s="10">
        <v>381.1</v>
      </c>
      <c r="C34" s="10"/>
      <c r="D34" s="360"/>
      <c r="E34" s="94"/>
    </row>
    <row r="35" spans="1:5">
      <c r="A35" s="3">
        <f t="shared" si="0"/>
        <v>1996</v>
      </c>
      <c r="B35" s="10">
        <v>381.7</v>
      </c>
      <c r="C35" s="10"/>
      <c r="D35" s="360"/>
      <c r="E35" s="94"/>
    </row>
    <row r="36" spans="1:5">
      <c r="A36" s="3">
        <f t="shared" si="0"/>
        <v>1997</v>
      </c>
      <c r="B36" s="10">
        <v>386.5</v>
      </c>
      <c r="C36" s="10"/>
      <c r="D36" s="360"/>
      <c r="E36" s="94"/>
    </row>
    <row r="37" spans="1:5">
      <c r="A37" s="3">
        <f>A36+1</f>
        <v>1998</v>
      </c>
      <c r="B37" s="10">
        <v>389.5</v>
      </c>
      <c r="C37" s="10"/>
      <c r="D37" s="360"/>
      <c r="E37" s="94"/>
    </row>
    <row r="38" spans="1:5">
      <c r="A38" s="3">
        <f t="shared" si="0"/>
        <v>1999</v>
      </c>
      <c r="B38" s="10">
        <v>390.6</v>
      </c>
      <c r="C38" s="10"/>
      <c r="D38" s="360"/>
      <c r="E38" s="94"/>
    </row>
    <row r="39" spans="1:5">
      <c r="A39" s="3">
        <f t="shared" si="0"/>
        <v>2000</v>
      </c>
      <c r="B39" s="10">
        <v>394.1</v>
      </c>
      <c r="C39" s="10"/>
      <c r="D39" s="360"/>
      <c r="E39" s="94"/>
    </row>
    <row r="40" spans="1:5">
      <c r="A40" s="3">
        <f t="shared" si="0"/>
        <v>2001</v>
      </c>
      <c r="B40" s="10">
        <v>394.3</v>
      </c>
      <c r="C40" s="10"/>
      <c r="D40" s="361" t="s">
        <v>162</v>
      </c>
      <c r="E40" s="12"/>
    </row>
    <row r="41" spans="1:5">
      <c r="A41" s="3">
        <f t="shared" si="0"/>
        <v>2002</v>
      </c>
      <c r="B41" s="10">
        <v>395.6</v>
      </c>
      <c r="C41" s="10"/>
      <c r="D41" s="361"/>
      <c r="E41" s="12"/>
    </row>
    <row r="42" spans="1:5">
      <c r="A42" s="3">
        <f t="shared" si="0"/>
        <v>2003</v>
      </c>
      <c r="B42" s="10">
        <v>401.7</v>
      </c>
      <c r="C42" s="10"/>
      <c r="D42" s="361"/>
      <c r="E42" s="12"/>
    </row>
    <row r="43" spans="1:5">
      <c r="A43" s="3">
        <f t="shared" si="0"/>
        <v>2004</v>
      </c>
      <c r="B43" s="10">
        <v>444.2</v>
      </c>
      <c r="C43" s="10"/>
      <c r="D43" s="361"/>
      <c r="E43" s="12"/>
    </row>
    <row r="44" spans="1:5">
      <c r="A44" s="3">
        <f t="shared" si="0"/>
        <v>2005</v>
      </c>
      <c r="B44" s="10">
        <v>468.2</v>
      </c>
      <c r="C44" s="10"/>
      <c r="D44" s="361"/>
      <c r="E44" s="12"/>
    </row>
    <row r="45" spans="1:5">
      <c r="A45" s="3">
        <f t="shared" si="0"/>
        <v>2006</v>
      </c>
      <c r="B45" s="10">
        <v>499.6</v>
      </c>
      <c r="C45" s="10"/>
      <c r="D45" s="361"/>
      <c r="E45" s="12"/>
    </row>
    <row r="46" spans="1:5">
      <c r="A46" s="3">
        <f t="shared" si="0"/>
        <v>2007</v>
      </c>
      <c r="B46" s="10">
        <v>525.4</v>
      </c>
      <c r="C46" s="10"/>
      <c r="D46" s="361"/>
      <c r="E46" s="12"/>
    </row>
    <row r="47" spans="1:5" ht="31.5">
      <c r="A47" s="3">
        <f>A46+1</f>
        <v>2008</v>
      </c>
      <c r="B47" s="10">
        <v>575.4</v>
      </c>
      <c r="C47" s="10"/>
      <c r="D47" s="82" t="s">
        <v>162</v>
      </c>
      <c r="E47" s="76"/>
    </row>
    <row r="48" spans="1:5">
      <c r="A48" s="3">
        <f t="shared" si="0"/>
        <v>2009</v>
      </c>
      <c r="B48" s="10">
        <v>521.9</v>
      </c>
      <c r="C48" s="10"/>
      <c r="D48" s="83" t="s">
        <v>163</v>
      </c>
      <c r="E48" s="77"/>
    </row>
    <row r="49" spans="1:8" ht="47.25">
      <c r="A49" s="3">
        <f t="shared" si="0"/>
        <v>2010</v>
      </c>
      <c r="B49" s="13">
        <v>550.79999999999995</v>
      </c>
      <c r="C49" s="13"/>
      <c r="D49" s="84" t="s">
        <v>166</v>
      </c>
      <c r="E49" s="78"/>
    </row>
    <row r="50" spans="1:8">
      <c r="A50" s="3">
        <f t="shared" si="0"/>
        <v>2011</v>
      </c>
      <c r="B50" s="10">
        <v>585.70000000000005</v>
      </c>
      <c r="C50" s="10"/>
      <c r="D50" s="83" t="s">
        <v>163</v>
      </c>
      <c r="E50" s="77"/>
      <c r="F50" s="10"/>
    </row>
    <row r="51" spans="1:8" ht="47.25">
      <c r="A51" s="3">
        <f t="shared" si="0"/>
        <v>2012</v>
      </c>
      <c r="B51" s="16">
        <v>584.6</v>
      </c>
      <c r="C51" s="16"/>
      <c r="D51" s="84" t="s">
        <v>166</v>
      </c>
      <c r="E51" s="78"/>
      <c r="F51" s="10"/>
    </row>
    <row r="52" spans="1:8">
      <c r="A52" s="3">
        <f t="shared" si="0"/>
        <v>2013</v>
      </c>
      <c r="B52" s="12">
        <v>576.1</v>
      </c>
      <c r="C52" s="12"/>
      <c r="D52" s="82" t="s">
        <v>167</v>
      </c>
      <c r="E52" s="76"/>
      <c r="F52" s="10"/>
    </row>
    <row r="53" spans="1:8" ht="31.5">
      <c r="A53" s="3">
        <f t="shared" si="0"/>
        <v>2014</v>
      </c>
      <c r="B53" s="12">
        <v>576.1</v>
      </c>
      <c r="C53" s="12"/>
      <c r="D53" s="82" t="s">
        <v>49</v>
      </c>
      <c r="E53" s="76"/>
      <c r="F53" s="10"/>
    </row>
    <row r="54" spans="1:8" ht="31.5">
      <c r="A54" s="3">
        <f t="shared" si="0"/>
        <v>2015</v>
      </c>
      <c r="B54" s="10">
        <v>556.79999999999995</v>
      </c>
      <c r="C54" s="10"/>
      <c r="D54" s="82" t="s">
        <v>164</v>
      </c>
      <c r="E54" s="76"/>
      <c r="F54" s="10"/>
    </row>
    <row r="55" spans="1:8" ht="31.5">
      <c r="A55" s="3">
        <f>A54+1</f>
        <v>2016</v>
      </c>
      <c r="B55" s="10">
        <v>541.70000000000005</v>
      </c>
      <c r="C55" s="10"/>
      <c r="D55" s="82" t="s">
        <v>165</v>
      </c>
      <c r="E55" s="76"/>
      <c r="F55" s="10"/>
    </row>
    <row r="56" spans="1:8" ht="63">
      <c r="A56" s="3">
        <f t="shared" si="0"/>
        <v>2017</v>
      </c>
      <c r="B56" s="12">
        <v>567.5</v>
      </c>
      <c r="C56" s="12"/>
      <c r="D56" s="82" t="s">
        <v>168</v>
      </c>
      <c r="E56" s="76"/>
      <c r="F56" s="10"/>
    </row>
    <row r="57" spans="1:8" ht="16.5" thickBot="1">
      <c r="A57" s="51">
        <f t="shared" si="0"/>
        <v>2018</v>
      </c>
      <c r="B57" s="52"/>
      <c r="C57" s="52"/>
      <c r="D57" s="85"/>
      <c r="E57" s="77"/>
      <c r="F57" s="10"/>
    </row>
    <row r="58" spans="1:8" ht="16.5" thickBot="1">
      <c r="D58" s="77"/>
      <c r="E58" s="77"/>
      <c r="F58" s="10"/>
    </row>
    <row r="59" spans="1:8" ht="47.25">
      <c r="A59" s="86" t="s">
        <v>2</v>
      </c>
      <c r="B59" s="87" t="s">
        <v>189</v>
      </c>
      <c r="C59" s="87" t="s">
        <v>190</v>
      </c>
      <c r="D59" s="88"/>
      <c r="E59" s="87" t="s">
        <v>199</v>
      </c>
      <c r="F59" s="87" t="s">
        <v>191</v>
      </c>
      <c r="G59" s="89" t="s">
        <v>192</v>
      </c>
    </row>
    <row r="60" spans="1:8" ht="94.5">
      <c r="A60" s="3" t="s">
        <v>169</v>
      </c>
      <c r="B60" s="10">
        <v>1.02</v>
      </c>
      <c r="C60" s="44">
        <f>B60*$F$60/$G$60</f>
        <v>1.0165283458115075</v>
      </c>
      <c r="D60" s="362" t="s">
        <v>194</v>
      </c>
      <c r="E60" s="95">
        <v>1</v>
      </c>
      <c r="F60" s="90">
        <v>0.83656567209999999</v>
      </c>
      <c r="G60" s="91">
        <v>0.83942271660000001</v>
      </c>
      <c r="H60" s="7" t="s">
        <v>193</v>
      </c>
    </row>
    <row r="61" spans="1:8">
      <c r="A61" s="4" t="s">
        <v>50</v>
      </c>
      <c r="B61" s="10">
        <v>1.1299999999999999</v>
      </c>
      <c r="C61" s="44">
        <f t="shared" ref="C61:C80" si="1">B61*$F$60/$G$60</f>
        <v>1.1261539517323564</v>
      </c>
      <c r="D61" s="363"/>
      <c r="E61" s="95">
        <f>E60+1</f>
        <v>2</v>
      </c>
      <c r="F61" s="10"/>
      <c r="G61" s="50"/>
    </row>
    <row r="62" spans="1:8">
      <c r="A62" s="4" t="s">
        <v>170</v>
      </c>
      <c r="B62" s="10">
        <v>1.1100000000000001</v>
      </c>
      <c r="C62" s="44">
        <f t="shared" si="1"/>
        <v>1.1062220233831115</v>
      </c>
      <c r="D62" s="363"/>
      <c r="E62" s="95">
        <f t="shared" ref="E62:E79" si="2">E61+1</f>
        <v>3</v>
      </c>
      <c r="F62" s="10"/>
      <c r="G62" s="50"/>
    </row>
    <row r="63" spans="1:8">
      <c r="A63" s="4" t="s">
        <v>171</v>
      </c>
      <c r="B63" s="10">
        <v>1.1399999999999999</v>
      </c>
      <c r="C63" s="44">
        <f t="shared" si="1"/>
        <v>1.136119915906979</v>
      </c>
      <c r="D63" s="363"/>
      <c r="E63" s="95">
        <f t="shared" si="2"/>
        <v>4</v>
      </c>
      <c r="F63" s="10"/>
      <c r="G63" s="50"/>
    </row>
    <row r="64" spans="1:8">
      <c r="A64" s="5" t="s">
        <v>172</v>
      </c>
      <c r="B64" s="10">
        <v>1.19</v>
      </c>
      <c r="C64" s="44">
        <f t="shared" si="1"/>
        <v>1.1859497367800922</v>
      </c>
      <c r="D64" s="363"/>
      <c r="E64" s="95">
        <f t="shared" si="2"/>
        <v>5</v>
      </c>
      <c r="F64" s="10"/>
      <c r="G64" s="50"/>
    </row>
    <row r="65" spans="1:7">
      <c r="A65" s="5" t="s">
        <v>173</v>
      </c>
      <c r="B65" s="10">
        <v>1.53</v>
      </c>
      <c r="C65" s="44">
        <f t="shared" si="1"/>
        <v>1.5247925187172615</v>
      </c>
      <c r="D65" s="363"/>
      <c r="E65" s="95">
        <f t="shared" si="2"/>
        <v>6</v>
      </c>
      <c r="F65" s="10"/>
      <c r="G65" s="50"/>
    </row>
    <row r="66" spans="1:7">
      <c r="A66" s="23" t="s">
        <v>174</v>
      </c>
      <c r="B66" s="10">
        <v>1.02</v>
      </c>
      <c r="C66" s="44">
        <f t="shared" si="1"/>
        <v>1.0165283458115075</v>
      </c>
      <c r="D66" s="363"/>
      <c r="E66" s="95">
        <f t="shared" si="2"/>
        <v>7</v>
      </c>
      <c r="F66" s="10"/>
      <c r="G66" s="50"/>
    </row>
    <row r="67" spans="1:7">
      <c r="A67" s="23" t="s">
        <v>175</v>
      </c>
      <c r="B67" s="10">
        <v>1.07</v>
      </c>
      <c r="C67" s="44">
        <f t="shared" si="1"/>
        <v>1.0663581666846209</v>
      </c>
      <c r="D67" s="363"/>
      <c r="E67" s="95">
        <f t="shared" si="2"/>
        <v>8</v>
      </c>
      <c r="F67" s="10"/>
      <c r="G67" s="50"/>
    </row>
    <row r="68" spans="1:7" ht="31.5">
      <c r="A68" s="23" t="s">
        <v>176</v>
      </c>
      <c r="B68" s="10">
        <v>1.1200000000000001</v>
      </c>
      <c r="C68" s="44">
        <f t="shared" si="1"/>
        <v>1.1161879875577341</v>
      </c>
      <c r="D68" s="363"/>
      <c r="E68" s="95">
        <f t="shared" si="2"/>
        <v>9</v>
      </c>
      <c r="F68" s="10"/>
      <c r="G68" s="50"/>
    </row>
    <row r="69" spans="1:7" ht="47.25">
      <c r="A69" s="23" t="s">
        <v>177</v>
      </c>
      <c r="B69" s="10">
        <v>0.61</v>
      </c>
      <c r="C69" s="44">
        <f t="shared" si="1"/>
        <v>0.60792381465197998</v>
      </c>
      <c r="D69" s="363"/>
      <c r="E69" s="95">
        <f t="shared" si="2"/>
        <v>10</v>
      </c>
      <c r="F69" s="10"/>
      <c r="G69" s="50"/>
    </row>
    <row r="70" spans="1:7">
      <c r="A70" s="23" t="s">
        <v>178</v>
      </c>
      <c r="B70" s="10">
        <v>1.26</v>
      </c>
      <c r="C70" s="44">
        <f t="shared" si="1"/>
        <v>1.2557114860024507</v>
      </c>
      <c r="D70" s="363"/>
      <c r="E70" s="95">
        <f t="shared" si="2"/>
        <v>11</v>
      </c>
      <c r="F70" s="10"/>
      <c r="G70" s="50"/>
    </row>
    <row r="71" spans="1:7">
      <c r="A71" s="23" t="s">
        <v>179</v>
      </c>
      <c r="B71" s="10">
        <v>1.1200000000000001</v>
      </c>
      <c r="C71" s="44">
        <f t="shared" si="1"/>
        <v>1.1161879875577341</v>
      </c>
      <c r="D71" s="363"/>
      <c r="E71" s="95">
        <f t="shared" si="2"/>
        <v>12</v>
      </c>
      <c r="F71" s="10"/>
      <c r="G71" s="50"/>
    </row>
    <row r="72" spans="1:7">
      <c r="A72" s="23" t="s">
        <v>180</v>
      </c>
      <c r="B72" s="10">
        <v>1.21</v>
      </c>
      <c r="C72" s="44">
        <f t="shared" si="1"/>
        <v>1.2058816651293374</v>
      </c>
      <c r="D72" s="363"/>
      <c r="E72" s="95">
        <f t="shared" si="2"/>
        <v>13</v>
      </c>
      <c r="F72" s="10"/>
      <c r="G72" s="50"/>
    </row>
    <row r="73" spans="1:7" ht="31.5">
      <c r="A73" s="23" t="s">
        <v>181</v>
      </c>
      <c r="B73" s="10">
        <v>1</v>
      </c>
      <c r="C73" s="44">
        <f t="shared" si="1"/>
        <v>0.99659641746226235</v>
      </c>
      <c r="D73" s="363"/>
      <c r="E73" s="95">
        <f t="shared" si="2"/>
        <v>14</v>
      </c>
      <c r="F73" s="10"/>
      <c r="G73" s="50"/>
    </row>
    <row r="74" spans="1:7" ht="31.5">
      <c r="A74" s="23" t="s">
        <v>182</v>
      </c>
      <c r="B74" s="10">
        <v>1.04</v>
      </c>
      <c r="C74" s="44">
        <f t="shared" si="1"/>
        <v>1.0364602741607529</v>
      </c>
      <c r="D74" s="363"/>
      <c r="E74" s="95">
        <f t="shared" si="2"/>
        <v>15</v>
      </c>
      <c r="F74" s="10"/>
      <c r="G74" s="50"/>
    </row>
    <row r="75" spans="1:7" ht="31.5">
      <c r="A75" s="23" t="s">
        <v>183</v>
      </c>
      <c r="B75" s="10">
        <v>1.07</v>
      </c>
      <c r="C75" s="44">
        <f t="shared" si="1"/>
        <v>1.0663581666846209</v>
      </c>
      <c r="D75" s="363"/>
      <c r="E75" s="95">
        <f t="shared" si="2"/>
        <v>16</v>
      </c>
      <c r="F75" s="10"/>
      <c r="G75" s="50"/>
    </row>
    <row r="76" spans="1:7">
      <c r="A76" s="23" t="s">
        <v>184</v>
      </c>
      <c r="B76" s="10">
        <v>1.02</v>
      </c>
      <c r="C76" s="44">
        <f t="shared" si="1"/>
        <v>1.0165283458115075</v>
      </c>
      <c r="D76" s="363"/>
      <c r="E76" s="95">
        <f t="shared" si="2"/>
        <v>17</v>
      </c>
      <c r="F76" s="10"/>
      <c r="G76" s="50"/>
    </row>
    <row r="77" spans="1:7" ht="31.5">
      <c r="A77" s="23" t="s">
        <v>185</v>
      </c>
      <c r="B77" s="10">
        <v>1</v>
      </c>
      <c r="C77" s="44">
        <f t="shared" si="1"/>
        <v>0.99659641746226235</v>
      </c>
      <c r="D77" s="363"/>
      <c r="E77" s="95">
        <f t="shared" si="2"/>
        <v>18</v>
      </c>
      <c r="F77" s="10"/>
      <c r="G77" s="50"/>
    </row>
    <row r="78" spans="1:7" ht="31.5">
      <c r="A78" s="23" t="s">
        <v>186</v>
      </c>
      <c r="B78" s="10">
        <v>1.6</v>
      </c>
      <c r="C78" s="44">
        <f t="shared" si="1"/>
        <v>1.5945542679396199</v>
      </c>
      <c r="D78" s="363"/>
      <c r="E78" s="95">
        <f t="shared" si="2"/>
        <v>19</v>
      </c>
      <c r="F78" s="10"/>
      <c r="G78" s="50"/>
    </row>
    <row r="79" spans="1:7">
      <c r="A79" s="23" t="s">
        <v>187</v>
      </c>
      <c r="B79" s="10">
        <v>1.03</v>
      </c>
      <c r="C79" s="44">
        <f t="shared" si="1"/>
        <v>1.0264943099861303</v>
      </c>
      <c r="D79" s="363"/>
      <c r="E79" s="95">
        <f t="shared" si="2"/>
        <v>20</v>
      </c>
      <c r="F79" s="10"/>
      <c r="G79" s="50"/>
    </row>
    <row r="80" spans="1:7" ht="16.5" thickBot="1">
      <c r="A80" s="92" t="s">
        <v>188</v>
      </c>
      <c r="B80" s="52">
        <v>1.1399999999999999</v>
      </c>
      <c r="C80" s="93">
        <f t="shared" si="1"/>
        <v>1.136119915906979</v>
      </c>
      <c r="D80" s="364"/>
      <c r="E80" s="96">
        <f>E79+1</f>
        <v>21</v>
      </c>
      <c r="F80" s="52"/>
      <c r="G80" s="53"/>
    </row>
    <row r="81" spans="1:7" ht="16.5" thickBot="1">
      <c r="D81" s="75"/>
      <c r="E81" s="75"/>
    </row>
    <row r="82" spans="1:7">
      <c r="A82" s="86" t="s">
        <v>216</v>
      </c>
      <c r="B82" s="87" t="s">
        <v>217</v>
      </c>
      <c r="C82" s="87" t="s">
        <v>23</v>
      </c>
      <c r="D82" s="88"/>
      <c r="E82" s="87"/>
      <c r="F82" s="87"/>
      <c r="G82" s="89"/>
    </row>
    <row r="83" spans="1:7" ht="47.25">
      <c r="A83" s="3" t="s">
        <v>215</v>
      </c>
      <c r="B83" s="12" t="s">
        <v>224</v>
      </c>
      <c r="C83" s="44">
        <v>3.1</v>
      </c>
      <c r="D83" s="362" t="s">
        <v>194</v>
      </c>
      <c r="E83" s="99"/>
      <c r="F83" s="90"/>
      <c r="G83" s="91"/>
    </row>
    <row r="84" spans="1:7" ht="47.25">
      <c r="A84" s="3" t="s">
        <v>215</v>
      </c>
      <c r="B84" s="12" t="s">
        <v>225</v>
      </c>
      <c r="C84" s="44">
        <v>4.74</v>
      </c>
      <c r="D84" s="363"/>
      <c r="E84" s="99"/>
      <c r="F84" s="10"/>
      <c r="G84" s="50"/>
    </row>
    <row r="85" spans="1:7" ht="63">
      <c r="A85" s="3" t="s">
        <v>215</v>
      </c>
      <c r="B85" s="12" t="s">
        <v>226</v>
      </c>
      <c r="C85" s="44">
        <v>3.63</v>
      </c>
      <c r="D85" s="363"/>
      <c r="E85" s="99"/>
      <c r="F85" s="10"/>
      <c r="G85" s="50"/>
    </row>
    <row r="86" spans="1:7">
      <c r="A86" s="4" t="s">
        <v>218</v>
      </c>
      <c r="B86" s="12" t="s">
        <v>219</v>
      </c>
      <c r="C86" s="44">
        <v>2.5</v>
      </c>
      <c r="D86" s="363"/>
      <c r="E86" s="99"/>
      <c r="F86" s="10"/>
      <c r="G86" s="50"/>
    </row>
    <row r="87" spans="1:7" ht="31.5">
      <c r="A87" s="5"/>
      <c r="B87" s="12" t="s">
        <v>220</v>
      </c>
      <c r="C87" s="44">
        <v>4</v>
      </c>
      <c r="D87" s="363"/>
      <c r="E87" s="99"/>
      <c r="F87" s="10"/>
      <c r="G87" s="50"/>
    </row>
    <row r="88" spans="1:7" ht="31.5">
      <c r="A88" s="5"/>
      <c r="B88" s="12" t="s">
        <v>221</v>
      </c>
      <c r="C88" s="44">
        <v>2</v>
      </c>
      <c r="D88" s="363"/>
      <c r="E88" s="99"/>
      <c r="F88" s="10"/>
      <c r="G88" s="50"/>
    </row>
    <row r="89" spans="1:7" ht="31.5">
      <c r="A89" s="23"/>
      <c r="B89" s="12" t="s">
        <v>223</v>
      </c>
      <c r="C89" s="44">
        <v>3.5</v>
      </c>
      <c r="D89" s="363"/>
      <c r="E89" s="99"/>
      <c r="F89" s="10"/>
      <c r="G89" s="50"/>
    </row>
    <row r="90" spans="1:7">
      <c r="A90" s="23"/>
      <c r="B90" s="12" t="s">
        <v>222</v>
      </c>
      <c r="C90" s="44">
        <v>4</v>
      </c>
      <c r="D90" s="363"/>
      <c r="E90" s="99"/>
      <c r="F90" s="10"/>
      <c r="G90" s="50"/>
    </row>
    <row r="91" spans="1:7" ht="47.25">
      <c r="A91" s="23"/>
      <c r="B91" s="12" t="s">
        <v>227</v>
      </c>
      <c r="C91" s="44">
        <v>2.5</v>
      </c>
      <c r="D91" s="363"/>
      <c r="E91" s="99"/>
      <c r="F91" s="10"/>
      <c r="G91" s="50"/>
    </row>
    <row r="92" spans="1:7" ht="31.5">
      <c r="A92" s="23"/>
      <c r="B92" s="12" t="s">
        <v>228</v>
      </c>
      <c r="C92" s="44">
        <v>4</v>
      </c>
      <c r="D92" s="363"/>
      <c r="E92" s="99"/>
      <c r="F92" s="10"/>
      <c r="G92" s="50"/>
    </row>
    <row r="93" spans="1:7">
      <c r="A93" s="23"/>
      <c r="B93" s="12" t="s">
        <v>229</v>
      </c>
      <c r="C93" s="44">
        <v>4</v>
      </c>
      <c r="D93" s="363"/>
      <c r="E93" s="99"/>
      <c r="F93" s="10"/>
      <c r="G93" s="50"/>
    </row>
    <row r="94" spans="1:7">
      <c r="A94" s="23"/>
      <c r="B94" s="12"/>
      <c r="C94" s="44"/>
      <c r="D94" s="363"/>
      <c r="E94" s="99"/>
      <c r="F94" s="10"/>
      <c r="G94" s="50"/>
    </row>
    <row r="95" spans="1:7">
      <c r="A95" s="23"/>
      <c r="B95" s="12"/>
      <c r="C95" s="44"/>
      <c r="D95" s="363"/>
      <c r="E95" s="99"/>
      <c r="F95" s="10"/>
      <c r="G95" s="50"/>
    </row>
    <row r="96" spans="1:7">
      <c r="A96" s="23"/>
      <c r="B96" s="12"/>
      <c r="C96" s="44"/>
      <c r="D96" s="363"/>
      <c r="E96" s="99"/>
      <c r="F96" s="10"/>
      <c r="G96" s="50"/>
    </row>
    <row r="97" spans="1:7">
      <c r="A97" s="23"/>
      <c r="B97" s="12"/>
      <c r="C97" s="44"/>
      <c r="D97" s="363"/>
      <c r="E97" s="99"/>
      <c r="F97" s="10"/>
      <c r="G97" s="50"/>
    </row>
    <row r="98" spans="1:7">
      <c r="A98" s="23"/>
      <c r="B98" s="12"/>
      <c r="C98" s="44"/>
      <c r="D98" s="363"/>
      <c r="E98" s="99"/>
      <c r="F98" s="10"/>
      <c r="G98" s="50"/>
    </row>
    <row r="99" spans="1:7">
      <c r="A99" s="23"/>
      <c r="B99" s="12"/>
      <c r="C99" s="44"/>
      <c r="D99" s="363"/>
      <c r="E99" s="99"/>
      <c r="F99" s="10"/>
      <c r="G99" s="50"/>
    </row>
    <row r="100" spans="1:7">
      <c r="A100" s="23"/>
      <c r="B100" s="12"/>
      <c r="C100" s="44"/>
      <c r="D100" s="363"/>
      <c r="E100" s="99"/>
      <c r="F100" s="10"/>
      <c r="G100" s="50"/>
    </row>
    <row r="101" spans="1:7">
      <c r="A101" s="23"/>
      <c r="B101" s="12"/>
      <c r="C101" s="44"/>
      <c r="D101" s="363"/>
      <c r="E101" s="99"/>
      <c r="F101" s="10"/>
      <c r="G101" s="50"/>
    </row>
    <row r="102" spans="1:7">
      <c r="A102" s="23"/>
      <c r="B102" s="12"/>
      <c r="C102" s="44"/>
      <c r="D102" s="363"/>
      <c r="E102" s="99"/>
      <c r="F102" s="10"/>
      <c r="G102" s="50"/>
    </row>
    <row r="103" spans="1:7" ht="16.5" thickBot="1">
      <c r="A103" s="92"/>
      <c r="B103" s="19"/>
      <c r="C103" s="93"/>
      <c r="D103" s="364"/>
      <c r="E103" s="100"/>
      <c r="F103" s="52"/>
      <c r="G103" s="53"/>
    </row>
  </sheetData>
  <mergeCells count="4">
    <mergeCell ref="D2:D39"/>
    <mergeCell ref="D40:D46"/>
    <mergeCell ref="D60:D80"/>
    <mergeCell ref="D83:D10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79998168889431442"/>
  </sheetPr>
  <dimension ref="A1:J34"/>
  <sheetViews>
    <sheetView zoomScale="90" zoomScaleNormal="90" workbookViewId="0">
      <selection activeCell="E30" sqref="E30"/>
    </sheetView>
  </sheetViews>
  <sheetFormatPr baseColWidth="10" defaultRowHeight="15.75"/>
  <cols>
    <col min="1" max="8" width="11" style="217"/>
    <col min="9" max="9" width="23.875" style="217" customWidth="1"/>
    <col min="10" max="10" width="28" style="217" customWidth="1"/>
    <col min="11" max="16384" width="11" style="217"/>
  </cols>
  <sheetData>
    <row r="1" spans="1:10" ht="31.5" customHeight="1">
      <c r="A1" s="365" t="s">
        <v>510</v>
      </c>
      <c r="B1" s="366"/>
      <c r="C1" s="367"/>
      <c r="F1" s="365" t="s">
        <v>519</v>
      </c>
      <c r="G1" s="366"/>
      <c r="H1" s="366"/>
      <c r="I1" s="367"/>
    </row>
    <row r="2" spans="1:10">
      <c r="A2" s="67"/>
      <c r="B2" s="67" t="s">
        <v>511</v>
      </c>
      <c r="C2" s="22" t="s">
        <v>513</v>
      </c>
      <c r="F2" s="67"/>
      <c r="G2" s="67"/>
      <c r="H2" s="67"/>
      <c r="I2" s="67" t="s">
        <v>520</v>
      </c>
    </row>
    <row r="3" spans="1:10" ht="47.25">
      <c r="A3" s="67" t="s">
        <v>512</v>
      </c>
      <c r="B3" s="7" t="s">
        <v>514</v>
      </c>
      <c r="C3" s="7"/>
      <c r="F3" s="67" t="s">
        <v>709</v>
      </c>
      <c r="G3" s="7">
        <v>0.02</v>
      </c>
      <c r="H3" s="217" t="s">
        <v>710</v>
      </c>
      <c r="I3" s="219" t="s">
        <v>711</v>
      </c>
      <c r="J3" s="149"/>
    </row>
    <row r="4" spans="1:10" ht="47.25">
      <c r="A4" s="67" t="s">
        <v>515</v>
      </c>
      <c r="B4" s="7"/>
      <c r="C4" s="7"/>
      <c r="F4" s="67" t="s">
        <v>712</v>
      </c>
      <c r="G4" s="26">
        <v>2.5000000000000001E-2</v>
      </c>
      <c r="H4" s="147" t="s">
        <v>710</v>
      </c>
      <c r="I4" s="219" t="s">
        <v>711</v>
      </c>
      <c r="J4" s="149"/>
    </row>
    <row r="5" spans="1:10" ht="31.5">
      <c r="A5" s="67" t="s">
        <v>516</v>
      </c>
      <c r="B5" s="7"/>
      <c r="C5" s="7"/>
      <c r="F5" s="368" t="s">
        <v>716</v>
      </c>
      <c r="G5" s="26">
        <v>0.3</v>
      </c>
      <c r="H5" s="147" t="s">
        <v>714</v>
      </c>
      <c r="I5" s="370" t="s">
        <v>711</v>
      </c>
      <c r="J5" s="149"/>
    </row>
    <row r="6" spans="1:10" ht="31.5">
      <c r="A6" s="67" t="s">
        <v>517</v>
      </c>
      <c r="B6" s="7"/>
      <c r="C6" s="7"/>
      <c r="F6" s="369"/>
      <c r="G6" s="217">
        <f>0.3*0.4</f>
        <v>0.12</v>
      </c>
      <c r="H6" s="217" t="s">
        <v>715</v>
      </c>
      <c r="I6" s="370"/>
      <c r="J6" s="148"/>
    </row>
    <row r="7" spans="1:10" ht="31.5">
      <c r="A7" s="67" t="s">
        <v>518</v>
      </c>
      <c r="B7" s="7"/>
      <c r="C7" s="7"/>
      <c r="J7" s="149"/>
    </row>
    <row r="8" spans="1:10" ht="63">
      <c r="A8" s="218" t="s">
        <v>713</v>
      </c>
      <c r="B8" s="7" t="s">
        <v>717</v>
      </c>
      <c r="C8" s="7"/>
      <c r="J8" s="149"/>
    </row>
    <row r="9" spans="1:10">
      <c r="B9" s="7"/>
      <c r="C9" s="7"/>
      <c r="J9" s="149"/>
    </row>
    <row r="10" spans="1:10" ht="80.25" customHeight="1">
      <c r="B10" s="7"/>
      <c r="C10" s="7"/>
      <c r="J10" s="148"/>
    </row>
    <row r="11" spans="1:10">
      <c r="B11" s="7"/>
      <c r="C11" s="7"/>
      <c r="J11" s="148"/>
    </row>
    <row r="12" spans="1:10">
      <c r="J12" s="148"/>
    </row>
    <row r="13" spans="1:10">
      <c r="J13" s="148"/>
    </row>
    <row r="14" spans="1:10">
      <c r="J14" s="149"/>
    </row>
    <row r="15" spans="1:10">
      <c r="J15" s="149"/>
    </row>
    <row r="16" spans="1:10">
      <c r="J16" s="149"/>
    </row>
    <row r="17" spans="10:10">
      <c r="J17" s="149"/>
    </row>
    <row r="18" spans="10:10">
      <c r="J18" s="149"/>
    </row>
    <row r="19" spans="10:10">
      <c r="J19" s="149"/>
    </row>
    <row r="20" spans="10:10">
      <c r="J20" s="149"/>
    </row>
    <row r="21" spans="10:10">
      <c r="J21" s="149"/>
    </row>
    <row r="22" spans="10:10">
      <c r="J22" s="149"/>
    </row>
    <row r="23" spans="10:10">
      <c r="J23" s="149"/>
    </row>
    <row r="24" spans="10:10">
      <c r="J24" s="149"/>
    </row>
    <row r="25" spans="10:10">
      <c r="J25" s="149"/>
    </row>
    <row r="26" spans="10:10">
      <c r="J26" s="149"/>
    </row>
    <row r="27" spans="10:10">
      <c r="J27" s="149"/>
    </row>
    <row r="28" spans="10:10">
      <c r="J28" s="149"/>
    </row>
    <row r="29" spans="10:10">
      <c r="J29" s="149"/>
    </row>
    <row r="30" spans="10:10">
      <c r="J30" s="149"/>
    </row>
    <row r="31" spans="10:10">
      <c r="J31" s="149"/>
    </row>
    <row r="32" spans="10:10">
      <c r="J32" s="149"/>
    </row>
    <row r="33" spans="10:10">
      <c r="J33" s="149"/>
    </row>
    <row r="34" spans="10:10">
      <c r="J34" s="149"/>
    </row>
  </sheetData>
  <mergeCells count="4">
    <mergeCell ref="A1:C1"/>
    <mergeCell ref="F1:I1"/>
    <mergeCell ref="F5:F6"/>
    <mergeCell ref="I5:I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</sheetPr>
  <dimension ref="A1:G8"/>
  <sheetViews>
    <sheetView zoomScale="80" zoomScaleNormal="80" workbookViewId="0">
      <selection activeCell="C7" sqref="C7"/>
    </sheetView>
  </sheetViews>
  <sheetFormatPr baseColWidth="10" defaultRowHeight="15.75"/>
  <cols>
    <col min="1" max="1" width="20.625" style="217" customWidth="1"/>
    <col min="2" max="2" width="22.125" style="217" customWidth="1"/>
    <col min="3" max="3" width="13.125" style="217" customWidth="1"/>
    <col min="4" max="14" width="11" style="217"/>
    <col min="15" max="15" width="20.5" style="217" customWidth="1"/>
    <col min="16" max="16384" width="11" style="217"/>
  </cols>
  <sheetData>
    <row r="1" spans="1:7" ht="47.25">
      <c r="A1" s="67" t="s">
        <v>500</v>
      </c>
      <c r="B1" s="22" t="s">
        <v>38</v>
      </c>
      <c r="C1" s="67"/>
      <c r="D1" s="67"/>
      <c r="E1" s="67"/>
    </row>
    <row r="2" spans="1:7" ht="78.75">
      <c r="A2" s="22"/>
      <c r="B2" s="217" t="s">
        <v>718</v>
      </c>
      <c r="C2" s="7" t="s">
        <v>719</v>
      </c>
    </row>
    <row r="3" spans="1:7" ht="31.5">
      <c r="A3" s="22"/>
      <c r="C3" s="217" t="s">
        <v>721</v>
      </c>
      <c r="D3" s="7" t="s">
        <v>722</v>
      </c>
      <c r="E3" s="217" t="s">
        <v>723</v>
      </c>
      <c r="F3" s="31" t="s">
        <v>724</v>
      </c>
      <c r="G3" s="31" t="s">
        <v>725</v>
      </c>
    </row>
    <row r="4" spans="1:7">
      <c r="A4" s="22"/>
      <c r="B4" s="217" t="s">
        <v>720</v>
      </c>
      <c r="C4" s="217">
        <v>0.4</v>
      </c>
      <c r="D4" s="217">
        <v>0.3</v>
      </c>
      <c r="E4" s="217">
        <v>0.2</v>
      </c>
      <c r="F4" s="31">
        <v>0.5</v>
      </c>
      <c r="G4" s="31">
        <v>0</v>
      </c>
    </row>
    <row r="5" spans="1:7">
      <c r="A5" s="22"/>
      <c r="B5" s="217" t="s">
        <v>726</v>
      </c>
      <c r="C5" s="217">
        <v>0.14000000000000001</v>
      </c>
    </row>
    <row r="6" spans="1:7">
      <c r="A6" s="22"/>
      <c r="B6" s="7" t="s">
        <v>808</v>
      </c>
      <c r="C6" s="217">
        <v>7.0000000000000007E-2</v>
      </c>
      <c r="D6" s="217" t="s">
        <v>811</v>
      </c>
    </row>
    <row r="7" spans="1:7">
      <c r="A7" s="22"/>
      <c r="B7" s="217" t="s">
        <v>809</v>
      </c>
      <c r="C7" s="217">
        <v>0.3</v>
      </c>
      <c r="D7" s="217" t="s">
        <v>810</v>
      </c>
    </row>
    <row r="8" spans="1:7">
      <c r="A8" s="22"/>
    </row>
  </sheetData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7">
    <tabColor theme="9" tint="0.79998168889431442"/>
  </sheetPr>
  <dimension ref="A1:K37"/>
  <sheetViews>
    <sheetView topLeftCell="A16" zoomScale="80" zoomScaleNormal="80" workbookViewId="0">
      <selection activeCell="G19" sqref="G19:K19"/>
    </sheetView>
  </sheetViews>
  <sheetFormatPr baseColWidth="10" defaultRowHeight="15.75"/>
  <cols>
    <col min="1" max="1" width="20.625" customWidth="1"/>
    <col min="2" max="2" width="17" customWidth="1"/>
    <col min="15" max="15" width="20.5" customWidth="1"/>
  </cols>
  <sheetData>
    <row r="1" spans="1:6">
      <c r="A1" s="327" t="s">
        <v>232</v>
      </c>
      <c r="B1" s="328"/>
      <c r="C1" s="328"/>
      <c r="D1" s="328"/>
      <c r="E1" s="328"/>
      <c r="F1" s="329"/>
    </row>
    <row r="2" spans="1:6" ht="63">
      <c r="A2" s="371" t="s">
        <v>233</v>
      </c>
      <c r="B2" s="67" t="s">
        <v>234</v>
      </c>
      <c r="C2" s="67" t="s">
        <v>242</v>
      </c>
      <c r="D2" s="22"/>
      <c r="E2" s="22"/>
      <c r="F2" s="22"/>
    </row>
    <row r="3" spans="1:6">
      <c r="A3" s="371"/>
      <c r="B3">
        <v>1</v>
      </c>
      <c r="C3">
        <v>5</v>
      </c>
    </row>
    <row r="4" spans="1:6">
      <c r="A4" s="371"/>
      <c r="B4">
        <v>2</v>
      </c>
      <c r="C4">
        <v>7</v>
      </c>
    </row>
    <row r="5" spans="1:6">
      <c r="A5" s="371"/>
      <c r="B5">
        <v>2.5</v>
      </c>
      <c r="C5">
        <v>9</v>
      </c>
    </row>
    <row r="6" spans="1:6">
      <c r="A6" s="371"/>
      <c r="B6">
        <v>3</v>
      </c>
      <c r="C6">
        <v>10</v>
      </c>
    </row>
    <row r="7" spans="1:6">
      <c r="A7" s="371"/>
      <c r="B7">
        <v>3.5</v>
      </c>
      <c r="C7">
        <v>12</v>
      </c>
    </row>
    <row r="8" spans="1:6">
      <c r="A8" s="67" t="s">
        <v>235</v>
      </c>
      <c r="B8" s="342" t="s">
        <v>236</v>
      </c>
      <c r="C8" s="342"/>
      <c r="D8" s="342"/>
      <c r="E8" s="22"/>
      <c r="F8" s="22"/>
    </row>
    <row r="9" spans="1:6">
      <c r="A9" s="67"/>
      <c r="B9" s="101">
        <v>1</v>
      </c>
      <c r="C9" s="67" t="s">
        <v>237</v>
      </c>
      <c r="D9" s="67" t="s">
        <v>238</v>
      </c>
      <c r="E9" s="22"/>
      <c r="F9" s="22"/>
    </row>
    <row r="10" spans="1:6">
      <c r="A10" s="67" t="s">
        <v>239</v>
      </c>
      <c r="B10">
        <v>1</v>
      </c>
      <c r="C10">
        <v>0.85</v>
      </c>
      <c r="D10">
        <v>0.7</v>
      </c>
    </row>
    <row r="11" spans="1:6">
      <c r="A11" s="67" t="s">
        <v>240</v>
      </c>
      <c r="B11">
        <v>0.9</v>
      </c>
      <c r="C11">
        <v>0.8</v>
      </c>
      <c r="D11">
        <v>0.65</v>
      </c>
    </row>
    <row r="12" spans="1:6" ht="31.5">
      <c r="A12" s="67" t="s">
        <v>241</v>
      </c>
      <c r="B12" s="67" t="s">
        <v>243</v>
      </c>
      <c r="C12" s="22" t="s">
        <v>244</v>
      </c>
      <c r="D12" s="22"/>
      <c r="E12" s="22"/>
      <c r="F12" s="22"/>
    </row>
    <row r="13" spans="1:6">
      <c r="A13" s="22"/>
      <c r="B13">
        <v>2</v>
      </c>
      <c r="C13">
        <v>4</v>
      </c>
    </row>
    <row r="14" spans="1:6" ht="31.5">
      <c r="A14" s="67" t="s">
        <v>245</v>
      </c>
      <c r="B14" s="67" t="s">
        <v>246</v>
      </c>
      <c r="C14" s="67" t="s">
        <v>247</v>
      </c>
      <c r="D14" s="67" t="s">
        <v>248</v>
      </c>
      <c r="E14" s="22"/>
      <c r="F14" s="22"/>
    </row>
    <row r="15" spans="1:6">
      <c r="A15" s="22" t="s">
        <v>249</v>
      </c>
      <c r="B15">
        <v>1.5</v>
      </c>
      <c r="C15">
        <v>1.5</v>
      </c>
      <c r="D15">
        <v>1.5</v>
      </c>
    </row>
    <row r="16" spans="1:6" ht="31.5">
      <c r="A16" s="67" t="s">
        <v>250</v>
      </c>
      <c r="B16">
        <v>2.35</v>
      </c>
      <c r="C16">
        <v>2.5</v>
      </c>
      <c r="D16">
        <v>4</v>
      </c>
    </row>
    <row r="17" spans="1:11">
      <c r="A17" s="22" t="s">
        <v>251</v>
      </c>
      <c r="B17">
        <v>1.5</v>
      </c>
      <c r="C17">
        <v>1.5</v>
      </c>
      <c r="D17">
        <v>1</v>
      </c>
    </row>
    <row r="18" spans="1:11">
      <c r="A18" s="22"/>
    </row>
    <row r="19" spans="1:11" ht="47.25">
      <c r="A19" s="67" t="s">
        <v>255</v>
      </c>
      <c r="B19" s="326" t="s">
        <v>254</v>
      </c>
      <c r="C19" s="326"/>
      <c r="D19" s="326"/>
      <c r="E19" s="326"/>
      <c r="F19" s="326"/>
      <c r="G19" s="326" t="s">
        <v>771</v>
      </c>
      <c r="H19" s="326"/>
      <c r="I19" s="326"/>
      <c r="J19" s="326"/>
      <c r="K19" s="326"/>
    </row>
    <row r="20" spans="1:11">
      <c r="A20" s="22"/>
      <c r="B20">
        <v>100</v>
      </c>
      <c r="C20">
        <v>300</v>
      </c>
      <c r="D20">
        <v>500</v>
      </c>
      <c r="E20">
        <v>700</v>
      </c>
      <c r="F20">
        <v>900</v>
      </c>
      <c r="G20" s="158">
        <v>37.777777780000001</v>
      </c>
      <c r="H20" s="158">
        <v>148.88888890000001</v>
      </c>
      <c r="I20" s="158">
        <v>260</v>
      </c>
      <c r="J20" s="158">
        <v>371.11111110000002</v>
      </c>
      <c r="K20" s="158">
        <v>482.22222219999998</v>
      </c>
    </row>
    <row r="21" spans="1:11">
      <c r="A21" s="22" t="s">
        <v>246</v>
      </c>
      <c r="B21">
        <v>12.9</v>
      </c>
      <c r="C21">
        <v>12.9</v>
      </c>
      <c r="D21">
        <v>12.9</v>
      </c>
      <c r="E21">
        <v>11.5</v>
      </c>
      <c r="F21">
        <v>5.9</v>
      </c>
      <c r="G21" s="158">
        <v>88.942369080000006</v>
      </c>
      <c r="H21" s="158">
        <v>88.942369080000006</v>
      </c>
      <c r="I21" s="158">
        <v>88.942369080000006</v>
      </c>
      <c r="J21" s="158">
        <v>79.289708869999998</v>
      </c>
      <c r="K21" s="158">
        <v>40.679068030000003</v>
      </c>
    </row>
    <row r="22" spans="1:11">
      <c r="A22" s="102" t="s">
        <v>256</v>
      </c>
      <c r="B22">
        <v>17.100000000000001</v>
      </c>
      <c r="C22">
        <v>17.100000000000001</v>
      </c>
      <c r="D22">
        <v>17.100000000000001</v>
      </c>
      <c r="E22">
        <v>14.3</v>
      </c>
      <c r="F22">
        <v>5.9</v>
      </c>
      <c r="G22" s="158">
        <v>117.90034970000001</v>
      </c>
      <c r="H22" s="158">
        <v>117.90034970000001</v>
      </c>
      <c r="I22" s="158">
        <v>117.90034970000001</v>
      </c>
      <c r="J22" s="158">
        <v>98.595029289999999</v>
      </c>
      <c r="K22" s="158">
        <v>40.679068030000003</v>
      </c>
    </row>
    <row r="23" spans="1:11" ht="47.25">
      <c r="A23" s="67" t="s">
        <v>271</v>
      </c>
      <c r="B23" t="s">
        <v>272</v>
      </c>
      <c r="C23" t="s">
        <v>82</v>
      </c>
      <c r="D23" t="s">
        <v>83</v>
      </c>
      <c r="E23" t="s">
        <v>275</v>
      </c>
      <c r="F23" t="s">
        <v>274</v>
      </c>
      <c r="G23" t="s">
        <v>277</v>
      </c>
    </row>
    <row r="24" spans="1:11">
      <c r="A24" s="22" t="s">
        <v>279</v>
      </c>
      <c r="B24" t="s">
        <v>273</v>
      </c>
      <c r="C24">
        <v>17400</v>
      </c>
      <c r="D24">
        <v>79</v>
      </c>
      <c r="E24">
        <v>0.85</v>
      </c>
      <c r="F24">
        <v>120</v>
      </c>
      <c r="G24">
        <v>250000</v>
      </c>
    </row>
    <row r="25" spans="1:11">
      <c r="A25" s="22" t="s">
        <v>280</v>
      </c>
      <c r="B25" t="s">
        <v>276</v>
      </c>
      <c r="C25">
        <v>61500</v>
      </c>
      <c r="D25">
        <v>32500</v>
      </c>
      <c r="E25">
        <v>0.8</v>
      </c>
      <c r="F25">
        <v>0.5</v>
      </c>
      <c r="G25">
        <v>100</v>
      </c>
    </row>
    <row r="26" spans="1:11">
      <c r="A26" s="22" t="s">
        <v>281</v>
      </c>
      <c r="B26" t="s">
        <v>278</v>
      </c>
      <c r="C26">
        <v>113000</v>
      </c>
      <c r="D26">
        <v>3250</v>
      </c>
      <c r="E26">
        <v>0.65</v>
      </c>
      <c r="F26">
        <v>100</v>
      </c>
      <c r="G26">
        <v>10000</v>
      </c>
    </row>
    <row r="27" spans="1:11" ht="31.5">
      <c r="A27" s="67" t="s">
        <v>578</v>
      </c>
      <c r="B27" t="s">
        <v>579</v>
      </c>
      <c r="C27">
        <v>580000</v>
      </c>
      <c r="D27">
        <v>20000</v>
      </c>
      <c r="E27">
        <v>0.6</v>
      </c>
      <c r="F27">
        <v>75</v>
      </c>
      <c r="G27">
        <v>30000</v>
      </c>
    </row>
    <row r="28" spans="1:11">
      <c r="A28" s="22" t="s">
        <v>592</v>
      </c>
      <c r="B28" t="s">
        <v>593</v>
      </c>
      <c r="C28">
        <v>28000</v>
      </c>
      <c r="D28">
        <v>54</v>
      </c>
      <c r="E28">
        <v>1.2</v>
      </c>
      <c r="F28">
        <v>10</v>
      </c>
      <c r="G28">
        <v>1000</v>
      </c>
    </row>
    <row r="29" spans="1:11" s="171" customFormat="1">
      <c r="A29" s="22" t="s">
        <v>612</v>
      </c>
      <c r="B29" s="171" t="s">
        <v>611</v>
      </c>
      <c r="C29" s="171">
        <v>80000</v>
      </c>
      <c r="D29" s="171">
        <v>109000</v>
      </c>
      <c r="E29" s="171">
        <v>0.8</v>
      </c>
      <c r="F29" s="31">
        <v>0.2</v>
      </c>
      <c r="G29" s="31">
        <v>60</v>
      </c>
    </row>
    <row r="30" spans="1:11" ht="47.25">
      <c r="A30" s="67" t="s">
        <v>500</v>
      </c>
      <c r="B30" s="22" t="s">
        <v>38</v>
      </c>
      <c r="C30" s="67" t="s">
        <v>501</v>
      </c>
      <c r="D30" s="67" t="s">
        <v>502</v>
      </c>
      <c r="E30" s="67" t="s">
        <v>503</v>
      </c>
    </row>
    <row r="31" spans="1:11">
      <c r="A31" s="22"/>
      <c r="B31" t="s">
        <v>504</v>
      </c>
      <c r="C31">
        <v>3.3</v>
      </c>
      <c r="D31">
        <v>3.2</v>
      </c>
      <c r="E31">
        <v>2.5</v>
      </c>
    </row>
    <row r="32" spans="1:11">
      <c r="A32" s="22"/>
      <c r="B32" t="s">
        <v>505</v>
      </c>
      <c r="C32">
        <v>0.3</v>
      </c>
      <c r="D32">
        <v>0.4</v>
      </c>
      <c r="E32">
        <v>0.4</v>
      </c>
    </row>
    <row r="33" spans="1:5" ht="31.5">
      <c r="A33" s="22"/>
      <c r="B33" s="7" t="s">
        <v>506</v>
      </c>
      <c r="C33">
        <v>0.3</v>
      </c>
      <c r="D33">
        <v>0.25</v>
      </c>
      <c r="E33">
        <v>0.2</v>
      </c>
    </row>
    <row r="34" spans="1:5">
      <c r="A34" s="22"/>
      <c r="B34" t="s">
        <v>507</v>
      </c>
      <c r="C34">
        <v>0.1</v>
      </c>
      <c r="D34">
        <v>0.1</v>
      </c>
      <c r="E34">
        <v>0.1</v>
      </c>
    </row>
    <row r="35" spans="1:5" ht="31.5">
      <c r="A35" s="22"/>
      <c r="B35" s="7" t="s">
        <v>508</v>
      </c>
      <c r="C35">
        <v>6</v>
      </c>
      <c r="D35">
        <v>6.05</v>
      </c>
      <c r="E35">
        <v>4.55</v>
      </c>
    </row>
    <row r="36" spans="1:5">
      <c r="A36" s="22"/>
    </row>
    <row r="37" spans="1:5">
      <c r="A37" s="22"/>
    </row>
  </sheetData>
  <mergeCells count="5">
    <mergeCell ref="A1:F1"/>
    <mergeCell ref="A2:A7"/>
    <mergeCell ref="B8:D8"/>
    <mergeCell ref="B19:F19"/>
    <mergeCell ref="G19:K19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</sheetPr>
  <dimension ref="A1:N22"/>
  <sheetViews>
    <sheetView topLeftCell="I10" zoomScaleNormal="100" workbookViewId="0">
      <selection activeCell="E30" sqref="E30"/>
    </sheetView>
  </sheetViews>
  <sheetFormatPr baseColWidth="10" defaultRowHeight="15.75"/>
  <cols>
    <col min="1" max="1" width="16" style="191" customWidth="1"/>
    <col min="2" max="2" width="9.375" style="191" customWidth="1"/>
    <col min="3" max="3" width="10.875" style="191" customWidth="1"/>
    <col min="4" max="4" width="10.375" style="191" customWidth="1"/>
    <col min="5" max="6" width="8.75" style="191" customWidth="1"/>
    <col min="7" max="7" width="9.25" style="191" customWidth="1"/>
    <col min="8" max="8" width="8.75" style="191" customWidth="1"/>
    <col min="9" max="11" width="5.25" style="191" bestFit="1" customWidth="1"/>
    <col min="12" max="13" width="11" style="191"/>
    <col min="14" max="14" width="35.75" style="191" customWidth="1"/>
    <col min="15" max="16384" width="11" style="191"/>
  </cols>
  <sheetData>
    <row r="1" spans="1:14">
      <c r="B1" s="326" t="s">
        <v>646</v>
      </c>
      <c r="C1" s="326"/>
      <c r="D1" s="326"/>
      <c r="E1" s="326"/>
      <c r="F1" s="326"/>
      <c r="G1" s="326"/>
      <c r="H1" s="326"/>
      <c r="I1" s="326"/>
      <c r="J1" s="326"/>
      <c r="K1" s="326"/>
      <c r="L1" s="326"/>
    </row>
    <row r="2" spans="1:14">
      <c r="B2" s="22"/>
      <c r="C2" s="22">
        <v>0</v>
      </c>
      <c r="D2" s="22">
        <v>25</v>
      </c>
      <c r="E2" s="22">
        <v>50</v>
      </c>
      <c r="F2" s="22">
        <v>75</v>
      </c>
      <c r="G2" s="22">
        <v>100</v>
      </c>
      <c r="H2" s="22">
        <v>150</v>
      </c>
      <c r="I2" s="22">
        <v>200</v>
      </c>
      <c r="J2" s="22">
        <v>250</v>
      </c>
      <c r="K2" s="22">
        <v>300</v>
      </c>
      <c r="L2" s="22">
        <v>350</v>
      </c>
      <c r="N2" s="191" t="s">
        <v>647</v>
      </c>
    </row>
    <row r="3" spans="1:14">
      <c r="A3" s="371" t="s">
        <v>648</v>
      </c>
      <c r="B3" s="22">
        <v>1</v>
      </c>
      <c r="C3" s="191">
        <v>1792</v>
      </c>
      <c r="D3" s="191">
        <v>890.4</v>
      </c>
      <c r="E3" s="191">
        <v>547.1</v>
      </c>
      <c r="F3" s="191">
        <v>377.9</v>
      </c>
      <c r="G3" s="191">
        <v>12.27</v>
      </c>
      <c r="H3" s="191">
        <v>14.18</v>
      </c>
      <c r="I3" s="191">
        <v>16.18</v>
      </c>
      <c r="J3" s="191">
        <v>18.22</v>
      </c>
      <c r="K3" s="191">
        <v>20.29</v>
      </c>
      <c r="L3" s="191">
        <v>22.37</v>
      </c>
      <c r="N3" s="191" t="s">
        <v>649</v>
      </c>
    </row>
    <row r="4" spans="1:14">
      <c r="A4" s="371"/>
      <c r="B4" s="22">
        <v>5</v>
      </c>
      <c r="C4" s="191">
        <v>1791</v>
      </c>
      <c r="D4" s="191">
        <v>890.4</v>
      </c>
      <c r="E4" s="191">
        <v>547.1</v>
      </c>
      <c r="F4" s="191">
        <v>378</v>
      </c>
      <c r="G4" s="191">
        <v>282</v>
      </c>
      <c r="H4" s="191">
        <v>182.5</v>
      </c>
      <c r="I4" s="191">
        <v>16.05</v>
      </c>
      <c r="J4" s="191">
        <v>18.14</v>
      </c>
      <c r="K4" s="191">
        <v>20.239999999999998</v>
      </c>
      <c r="L4" s="191">
        <v>22.34</v>
      </c>
    </row>
    <row r="5" spans="1:14">
      <c r="A5" s="371"/>
      <c r="B5" s="22">
        <v>10</v>
      </c>
      <c r="C5" s="191">
        <v>1790</v>
      </c>
      <c r="D5" s="191">
        <v>890.2</v>
      </c>
      <c r="E5" s="191">
        <v>547.20000000000005</v>
      </c>
      <c r="F5" s="191">
        <v>378.1</v>
      </c>
      <c r="G5" s="191">
        <v>282.10000000000002</v>
      </c>
      <c r="H5" s="191">
        <v>182.7</v>
      </c>
      <c r="I5" s="191">
        <v>15.89</v>
      </c>
      <c r="J5" s="191">
        <v>18.04</v>
      </c>
      <c r="K5" s="191">
        <v>20.18</v>
      </c>
      <c r="L5" s="191">
        <v>22.31</v>
      </c>
    </row>
    <row r="6" spans="1:14">
      <c r="A6" s="371"/>
      <c r="B6" s="22">
        <v>20</v>
      </c>
      <c r="C6" s="191">
        <v>1788</v>
      </c>
      <c r="D6" s="191">
        <v>890</v>
      </c>
      <c r="E6" s="191">
        <v>547.4</v>
      </c>
      <c r="F6" s="191">
        <v>378.4</v>
      </c>
      <c r="G6" s="191">
        <v>282.39999999999998</v>
      </c>
      <c r="H6" s="191">
        <v>182.9</v>
      </c>
      <c r="I6" s="191">
        <v>134.5</v>
      </c>
      <c r="J6" s="191">
        <v>17.850000000000001</v>
      </c>
      <c r="K6" s="191">
        <v>20.07</v>
      </c>
      <c r="L6" s="191">
        <v>22.25</v>
      </c>
    </row>
    <row r="7" spans="1:14">
      <c r="A7" s="371"/>
      <c r="B7" s="22">
        <v>30</v>
      </c>
      <c r="C7" s="191">
        <v>1785</v>
      </c>
      <c r="D7" s="191">
        <v>889.8</v>
      </c>
      <c r="E7" s="191">
        <v>547.6</v>
      </c>
      <c r="F7" s="191">
        <v>378.7</v>
      </c>
      <c r="G7" s="191">
        <v>282.7</v>
      </c>
      <c r="H7" s="191">
        <v>183.2</v>
      </c>
      <c r="I7" s="191">
        <v>134.69999999999999</v>
      </c>
      <c r="J7" s="191">
        <v>17.670000000000002</v>
      </c>
      <c r="K7" s="191">
        <v>19.97</v>
      </c>
      <c r="L7" s="191">
        <v>22.2</v>
      </c>
    </row>
    <row r="8" spans="1:14">
      <c r="A8" s="371"/>
      <c r="B8" s="22">
        <v>40</v>
      </c>
      <c r="C8" s="191">
        <v>1783</v>
      </c>
      <c r="D8" s="191">
        <v>889.6</v>
      </c>
      <c r="E8" s="191">
        <v>547.79999999999995</v>
      </c>
      <c r="F8" s="191">
        <v>378.9</v>
      </c>
      <c r="G8" s="191">
        <v>282.89999999999998</v>
      </c>
      <c r="H8" s="191">
        <v>183.4</v>
      </c>
      <c r="I8" s="191">
        <v>135</v>
      </c>
      <c r="J8" s="191">
        <v>106.2</v>
      </c>
      <c r="K8" s="191">
        <v>19.88</v>
      </c>
      <c r="L8" s="191">
        <v>22.16</v>
      </c>
    </row>
    <row r="9" spans="1:14">
      <c r="A9" s="371"/>
      <c r="B9" s="22">
        <v>50</v>
      </c>
      <c r="C9" s="191">
        <v>1780</v>
      </c>
      <c r="D9" s="191">
        <v>889.4</v>
      </c>
      <c r="E9" s="191">
        <v>547.9</v>
      </c>
      <c r="F9" s="191">
        <v>379.2</v>
      </c>
      <c r="G9" s="191">
        <v>283.2</v>
      </c>
      <c r="H9" s="191">
        <v>183.7</v>
      </c>
      <c r="I9" s="191">
        <v>135.19999999999999</v>
      </c>
      <c r="J9" s="191">
        <v>106.5</v>
      </c>
      <c r="K9" s="191">
        <v>19.8</v>
      </c>
      <c r="L9" s="191">
        <v>22.12</v>
      </c>
    </row>
    <row r="10" spans="1:14">
      <c r="A10" s="371"/>
      <c r="B10" s="22">
        <v>60</v>
      </c>
      <c r="C10" s="191">
        <v>1778</v>
      </c>
      <c r="D10" s="191">
        <v>889.1</v>
      </c>
      <c r="E10" s="191">
        <v>548.1</v>
      </c>
      <c r="F10" s="191">
        <v>379.4</v>
      </c>
      <c r="G10" s="191">
        <v>283.5</v>
      </c>
      <c r="H10" s="191">
        <v>183.9</v>
      </c>
      <c r="I10" s="191">
        <v>135.5</v>
      </c>
      <c r="J10" s="191">
        <v>106.7</v>
      </c>
      <c r="K10" s="191">
        <v>19.73</v>
      </c>
      <c r="L10" s="191">
        <v>22.1</v>
      </c>
    </row>
    <row r="11" spans="1:14">
      <c r="A11" s="371"/>
      <c r="B11" s="22">
        <v>70</v>
      </c>
      <c r="C11" s="191">
        <v>1776</v>
      </c>
      <c r="D11" s="191">
        <v>888.9</v>
      </c>
      <c r="E11" s="191">
        <v>548.29999999999995</v>
      </c>
      <c r="F11" s="191">
        <v>379.7</v>
      </c>
      <c r="G11" s="191">
        <v>283.7</v>
      </c>
      <c r="H11" s="191">
        <v>184.2</v>
      </c>
      <c r="I11" s="191">
        <v>135.69999999999999</v>
      </c>
      <c r="J11" s="191">
        <v>107</v>
      </c>
      <c r="K11" s="191">
        <v>19.68</v>
      </c>
      <c r="L11" s="191">
        <v>22.09</v>
      </c>
    </row>
    <row r="12" spans="1:14">
      <c r="A12" s="371"/>
      <c r="B12" s="22">
        <v>80</v>
      </c>
      <c r="C12" s="191">
        <v>1773</v>
      </c>
      <c r="D12" s="191">
        <v>888.7</v>
      </c>
      <c r="E12" s="191">
        <v>548.5</v>
      </c>
      <c r="F12" s="191">
        <v>380</v>
      </c>
      <c r="G12" s="191">
        <v>284</v>
      </c>
      <c r="H12" s="191">
        <v>184.4</v>
      </c>
      <c r="I12" s="191">
        <v>136</v>
      </c>
      <c r="J12" s="191">
        <v>107.3</v>
      </c>
      <c r="K12" s="191">
        <v>19.649999999999999</v>
      </c>
      <c r="L12" s="191">
        <v>22.09</v>
      </c>
    </row>
    <row r="13" spans="1:14">
      <c r="A13" s="371"/>
      <c r="B13" s="22">
        <v>90</v>
      </c>
      <c r="C13" s="191">
        <v>1771</v>
      </c>
      <c r="D13" s="191">
        <v>888.6</v>
      </c>
      <c r="E13" s="191">
        <v>548.70000000000005</v>
      </c>
      <c r="F13" s="191">
        <v>380.2</v>
      </c>
      <c r="G13" s="191">
        <v>284.3</v>
      </c>
      <c r="H13" s="191">
        <v>184.7</v>
      </c>
      <c r="I13" s="191">
        <v>136.19999999999999</v>
      </c>
      <c r="J13" s="191">
        <v>107.6</v>
      </c>
      <c r="K13" s="191">
        <v>86.12</v>
      </c>
      <c r="L13" s="191">
        <v>22.11</v>
      </c>
    </row>
    <row r="14" spans="1:14">
      <c r="A14" s="371"/>
      <c r="B14" s="22">
        <v>100</v>
      </c>
      <c r="C14" s="191">
        <v>1769</v>
      </c>
      <c r="D14" s="191">
        <v>888.4</v>
      </c>
      <c r="E14" s="191">
        <v>548.9</v>
      </c>
      <c r="F14" s="191">
        <v>380.5</v>
      </c>
      <c r="G14" s="191">
        <v>284.5</v>
      </c>
      <c r="H14" s="191">
        <v>184.9</v>
      </c>
      <c r="I14" s="191">
        <v>136.5</v>
      </c>
      <c r="J14" s="191">
        <v>107.8</v>
      </c>
      <c r="K14" s="191">
        <v>86.52</v>
      </c>
      <c r="L14" s="191">
        <v>22.15</v>
      </c>
    </row>
    <row r="18" spans="1:8">
      <c r="A18" s="372" t="s">
        <v>650</v>
      </c>
      <c r="B18" s="98" t="s">
        <v>82</v>
      </c>
      <c r="C18" s="98" t="s">
        <v>83</v>
      </c>
      <c r="D18" s="98" t="s">
        <v>91</v>
      </c>
      <c r="E18" s="98" t="s">
        <v>156</v>
      </c>
      <c r="F18" s="98" t="s">
        <v>157</v>
      </c>
      <c r="G18" s="98" t="s">
        <v>651</v>
      </c>
      <c r="H18" s="98" t="s">
        <v>652</v>
      </c>
    </row>
    <row r="19" spans="1:8">
      <c r="A19" s="372"/>
      <c r="B19" s="193">
        <v>3.9999999999999998E-11</v>
      </c>
      <c r="C19" s="193">
        <v>-4.9999999999999998E-8</v>
      </c>
      <c r="D19" s="193">
        <v>2.0000000000000002E-5</v>
      </c>
      <c r="E19" s="193">
        <v>-5.4999999999999997E-3</v>
      </c>
      <c r="F19" s="193">
        <v>0.70620000000000005</v>
      </c>
      <c r="G19" s="193">
        <v>-48.792000000000002</v>
      </c>
      <c r="H19" s="193">
        <v>1763.8</v>
      </c>
    </row>
    <row r="21" spans="1:8">
      <c r="A21" s="191" t="s">
        <v>656</v>
      </c>
      <c r="B21" s="191" t="s">
        <v>85</v>
      </c>
      <c r="C21" s="191" t="s">
        <v>657</v>
      </c>
    </row>
    <row r="22" spans="1:8">
      <c r="B22" s="191">
        <v>25</v>
      </c>
      <c r="C22" s="104">
        <f>B19*B22^6+C19*B22^5+D19*B22^4+E19*B22^3+F19*B22^2+G19*B22^1+H19</f>
        <v>906.771484375</v>
      </c>
      <c r="D22" s="191" t="s">
        <v>658</v>
      </c>
    </row>
  </sheetData>
  <mergeCells count="3">
    <mergeCell ref="B1:L1"/>
    <mergeCell ref="A3:A14"/>
    <mergeCell ref="A18:A19"/>
  </mergeCells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79998168889431442"/>
  </sheetPr>
  <dimension ref="A1:F152"/>
  <sheetViews>
    <sheetView workbookViewId="0">
      <selection activeCell="E30" sqref="E30"/>
    </sheetView>
  </sheetViews>
  <sheetFormatPr baseColWidth="10" defaultRowHeight="15"/>
  <cols>
    <col min="1" max="1" width="11" style="170"/>
    <col min="2" max="2" width="17.5" style="170" customWidth="1"/>
    <col min="3" max="3" width="22.375" style="170" customWidth="1"/>
    <col min="4" max="16384" width="11" style="170"/>
  </cols>
  <sheetData>
    <row r="1" spans="1:3" ht="63">
      <c r="A1" s="22"/>
      <c r="B1" s="67" t="s">
        <v>597</v>
      </c>
      <c r="C1" s="67" t="s">
        <v>596</v>
      </c>
    </row>
    <row r="2" spans="1:3" ht="31.5">
      <c r="A2" s="22" t="s">
        <v>341</v>
      </c>
      <c r="B2" s="67" t="s">
        <v>595</v>
      </c>
      <c r="C2" s="67" t="s">
        <v>595</v>
      </c>
    </row>
    <row r="3" spans="1:3">
      <c r="A3" s="170">
        <v>10</v>
      </c>
      <c r="B3" s="170">
        <v>69.378639334129403</v>
      </c>
      <c r="C3" s="170">
        <f t="shared" ref="C3:C34" si="0">17.507*LN(A3)+12.876</f>
        <v>53.18735722304676</v>
      </c>
    </row>
    <row r="4" spans="1:3">
      <c r="A4" s="170">
        <v>11</v>
      </c>
      <c r="B4" s="170">
        <v>73.396144518494793</v>
      </c>
      <c r="C4" s="170">
        <f t="shared" si="0"/>
        <v>54.855952540881077</v>
      </c>
    </row>
    <row r="5" spans="1:3">
      <c r="A5" s="170">
        <v>12</v>
      </c>
      <c r="B5" s="170">
        <v>77.164163232422098</v>
      </c>
      <c r="C5" s="170">
        <f t="shared" si="0"/>
        <v>56.379260717838527</v>
      </c>
    </row>
    <row r="6" spans="1:3">
      <c r="A6" s="170">
        <v>13</v>
      </c>
      <c r="B6" s="170">
        <v>80.717182593984404</v>
      </c>
      <c r="C6" s="170">
        <f t="shared" si="0"/>
        <v>57.780568401079123</v>
      </c>
    </row>
    <row r="7" spans="1:3">
      <c r="A7" s="170">
        <v>14</v>
      </c>
      <c r="B7" s="170">
        <v>84.082688092643806</v>
      </c>
      <c r="C7" s="170">
        <f t="shared" si="0"/>
        <v>59.077976669574333</v>
      </c>
    </row>
    <row r="8" spans="1:3">
      <c r="A8" s="170">
        <v>15</v>
      </c>
      <c r="B8" s="170">
        <v>87.282975740646805</v>
      </c>
      <c r="C8" s="170">
        <f t="shared" si="0"/>
        <v>60.285834870696391</v>
      </c>
    </row>
    <row r="9" spans="1:3">
      <c r="A9" s="170">
        <v>16</v>
      </c>
      <c r="B9" s="170">
        <v>90.336407227025205</v>
      </c>
      <c r="C9" s="170">
        <f t="shared" si="0"/>
        <v>61.415710760251848</v>
      </c>
    </row>
    <row r="10" spans="1:3">
      <c r="A10" s="170">
        <v>17</v>
      </c>
      <c r="B10" s="170">
        <v>93.258303018570899</v>
      </c>
      <c r="C10" s="170">
        <f t="shared" si="0"/>
        <v>62.477066014392179</v>
      </c>
    </row>
    <row r="11" spans="1:3">
      <c r="A11" s="170">
        <v>18</v>
      </c>
      <c r="B11" s="170">
        <v>96.061592770602402</v>
      </c>
      <c r="C11" s="170">
        <f t="shared" si="0"/>
        <v>63.477738365488158</v>
      </c>
    </row>
    <row r="12" spans="1:3">
      <c r="A12" s="170">
        <v>19</v>
      </c>
      <c r="B12" s="170">
        <v>98.757298672579196</v>
      </c>
      <c r="C12" s="170">
        <f t="shared" si="0"/>
        <v>64.424293208266874</v>
      </c>
    </row>
    <row r="13" spans="1:3">
      <c r="A13" s="170">
        <v>20</v>
      </c>
      <c r="B13" s="170">
        <v>101.354901083708</v>
      </c>
      <c r="C13" s="170">
        <f t="shared" si="0"/>
        <v>65.322284913109726</v>
      </c>
    </row>
    <row r="14" spans="1:3">
      <c r="A14" s="170">
        <v>21</v>
      </c>
      <c r="B14" s="170">
        <v>103.86261951633399</v>
      </c>
      <c r="C14" s="170">
        <f t="shared" si="0"/>
        <v>66.176454317223971</v>
      </c>
    </row>
    <row r="15" spans="1:3">
      <c r="A15" s="170">
        <v>22</v>
      </c>
      <c r="B15" s="170">
        <v>106.287631622875</v>
      </c>
      <c r="C15" s="170">
        <f t="shared" si="0"/>
        <v>66.990880230944043</v>
      </c>
    </row>
    <row r="16" spans="1:3">
      <c r="A16" s="170">
        <v>23</v>
      </c>
      <c r="B16" s="170">
        <v>108.63624603349599</v>
      </c>
      <c r="C16" s="170">
        <f t="shared" si="0"/>
        <v>67.769097238271627</v>
      </c>
    </row>
    <row r="17" spans="1:6">
      <c r="A17" s="170">
        <v>24</v>
      </c>
      <c r="B17" s="170">
        <v>110.91404033409999</v>
      </c>
      <c r="C17" s="170">
        <f t="shared" si="0"/>
        <v>68.514188407901486</v>
      </c>
    </row>
    <row r="18" spans="1:6">
      <c r="A18" s="170">
        <v>25</v>
      </c>
      <c r="B18" s="170">
        <v>113.125972361141</v>
      </c>
      <c r="C18" s="170">
        <f t="shared" si="0"/>
        <v>69.228859065967598</v>
      </c>
    </row>
    <row r="19" spans="1:6">
      <c r="A19" s="170">
        <v>26</v>
      </c>
      <c r="B19" s="170">
        <v>115.27647082435401</v>
      </c>
      <c r="C19" s="170">
        <f t="shared" si="0"/>
        <v>69.915496091142089</v>
      </c>
    </row>
    <row r="20" spans="1:6">
      <c r="A20" s="170">
        <v>27</v>
      </c>
      <c r="B20" s="170">
        <v>117.369509737196</v>
      </c>
      <c r="C20" s="170">
        <f t="shared" si="0"/>
        <v>70.576216013137795</v>
      </c>
    </row>
    <row r="21" spans="1:6">
      <c r="A21" s="170">
        <v>28</v>
      </c>
      <c r="B21" s="170">
        <v>119.408670035342</v>
      </c>
      <c r="C21" s="170">
        <f t="shared" si="0"/>
        <v>71.212904359637292</v>
      </c>
    </row>
    <row r="22" spans="1:6" ht="15.75">
      <c r="A22" s="170">
        <v>29</v>
      </c>
      <c r="B22" s="170">
        <v>121.39719096339201</v>
      </c>
      <c r="C22" s="170">
        <f t="shared" si="0"/>
        <v>71.827248095573211</v>
      </c>
      <c r="E22" s="98" t="s">
        <v>598</v>
      </c>
      <c r="F22" s="98"/>
    </row>
    <row r="23" spans="1:6" ht="15.75">
      <c r="A23" s="170">
        <v>30</v>
      </c>
      <c r="B23" s="170">
        <v>123.338013219977</v>
      </c>
      <c r="C23" s="170">
        <f t="shared" si="0"/>
        <v>72.420762560759357</v>
      </c>
      <c r="E23" s="98" t="s">
        <v>599</v>
      </c>
      <c r="F23" s="98" t="s">
        <v>83</v>
      </c>
    </row>
    <row r="24" spans="1:6" ht="15.75">
      <c r="A24" s="170">
        <v>31</v>
      </c>
      <c r="B24" s="170">
        <v>125.233815411403</v>
      </c>
      <c r="C24" s="170">
        <f t="shared" si="0"/>
        <v>72.994813988921464</v>
      </c>
      <c r="E24" s="98">
        <v>17.507000000000001</v>
      </c>
      <c r="F24" s="98">
        <v>12.875999999999999</v>
      </c>
    </row>
    <row r="25" spans="1:6">
      <c r="A25" s="170">
        <v>32</v>
      </c>
      <c r="B25" s="170">
        <v>127.087045032239</v>
      </c>
      <c r="C25" s="170">
        <f t="shared" si="0"/>
        <v>73.550638450314821</v>
      </c>
    </row>
    <row r="26" spans="1:6">
      <c r="A26" s="170">
        <v>33</v>
      </c>
      <c r="B26" s="170">
        <v>128.89994493851</v>
      </c>
      <c r="C26" s="170">
        <f t="shared" si="0"/>
        <v>74.089357878593674</v>
      </c>
    </row>
    <row r="27" spans="1:6">
      <c r="A27" s="170">
        <v>34</v>
      </c>
      <c r="B27" s="170">
        <v>130.674576084921</v>
      </c>
      <c r="C27" s="170">
        <f t="shared" si="0"/>
        <v>74.611993704455145</v>
      </c>
    </row>
    <row r="28" spans="1:6">
      <c r="A28" s="170">
        <v>35</v>
      </c>
      <c r="B28" s="170">
        <v>132.412837146849</v>
      </c>
      <c r="C28" s="170">
        <f t="shared" si="0"/>
        <v>75.119478512495164</v>
      </c>
    </row>
    <row r="29" spans="1:6">
      <c r="A29" s="170">
        <v>36</v>
      </c>
      <c r="B29" s="170">
        <v>134.116481530069</v>
      </c>
      <c r="C29" s="170">
        <f t="shared" si="0"/>
        <v>75.612666055551117</v>
      </c>
    </row>
    <row r="30" spans="1:6">
      <c r="A30" s="170">
        <v>37</v>
      </c>
      <c r="B30" s="170">
        <v>135.78713217833101</v>
      </c>
      <c r="C30" s="170">
        <f t="shared" si="0"/>
        <v>76.092339896662438</v>
      </c>
    </row>
    <row r="31" spans="1:6">
      <c r="A31" s="170">
        <v>38</v>
      </c>
      <c r="B31" s="170">
        <v>137.42629451526199</v>
      </c>
      <c r="C31" s="170">
        <f t="shared" si="0"/>
        <v>76.559220898329841</v>
      </c>
    </row>
    <row r="32" spans="1:6">
      <c r="A32" s="170">
        <v>39</v>
      </c>
      <c r="B32" s="170">
        <v>139.035367798229</v>
      </c>
      <c r="C32" s="170">
        <f t="shared" si="0"/>
        <v>77.013973738791734</v>
      </c>
    </row>
    <row r="33" spans="1:3">
      <c r="A33" s="170">
        <v>40</v>
      </c>
      <c r="B33" s="170">
        <v>140.61565511443499</v>
      </c>
      <c r="C33" s="170">
        <f t="shared" si="0"/>
        <v>77.457212603172692</v>
      </c>
    </row>
    <row r="34" spans="1:3">
      <c r="A34" s="170">
        <v>41</v>
      </c>
      <c r="B34" s="170">
        <v>142.16837221129299</v>
      </c>
      <c r="C34" s="170">
        <f t="shared" si="0"/>
        <v>77.889506171792334</v>
      </c>
    </row>
    <row r="35" spans="1:3">
      <c r="A35" s="170">
        <v>42</v>
      </c>
      <c r="B35" s="170">
        <v>143.69465532192399</v>
      </c>
      <c r="C35" s="170">
        <f t="shared" ref="C35:C66" si="1">17.507*LN(A35)+12.876</f>
        <v>78.311382007286937</v>
      </c>
    </row>
    <row r="36" spans="1:3">
      <c r="A36" s="170">
        <v>43</v>
      </c>
      <c r="B36" s="170">
        <v>145.195568121185</v>
      </c>
      <c r="C36" s="170">
        <f t="shared" si="1"/>
        <v>78.723330425447202</v>
      </c>
    </row>
    <row r="37" spans="1:3">
      <c r="A37" s="170">
        <v>44</v>
      </c>
      <c r="B37" s="170">
        <v>146.67210792667299</v>
      </c>
      <c r="C37" s="170">
        <f t="shared" si="1"/>
        <v>79.125807921007009</v>
      </c>
    </row>
    <row r="38" spans="1:3">
      <c r="A38" s="170">
        <v>45</v>
      </c>
      <c r="B38" s="170">
        <v>148.125211241833</v>
      </c>
      <c r="C38" s="170">
        <f t="shared" si="1"/>
        <v>79.519240208409002</v>
      </c>
    </row>
    <row r="39" spans="1:3">
      <c r="A39" s="170">
        <v>46</v>
      </c>
      <c r="B39" s="170">
        <v>149.55575872396</v>
      </c>
      <c r="C39" s="170">
        <f t="shared" si="1"/>
        <v>79.904024928334593</v>
      </c>
    </row>
    <row r="40" spans="1:3">
      <c r="A40" s="170">
        <v>47</v>
      </c>
      <c r="B40" s="170">
        <v>150.96457964787399</v>
      </c>
      <c r="C40" s="170">
        <f t="shared" si="1"/>
        <v>80.280534063138006</v>
      </c>
    </row>
    <row r="41" spans="1:3">
      <c r="A41" s="170">
        <v>48</v>
      </c>
      <c r="B41" s="170">
        <v>152.35245592605901</v>
      </c>
      <c r="C41" s="170">
        <f t="shared" si="1"/>
        <v>80.649116097964466</v>
      </c>
    </row>
    <row r="42" spans="1:3">
      <c r="A42" s="170">
        <v>49</v>
      </c>
      <c r="B42" s="170">
        <v>153.72012573758499</v>
      </c>
      <c r="C42" s="170">
        <f t="shared" si="1"/>
        <v>81.010097959022744</v>
      </c>
    </row>
    <row r="43" spans="1:3">
      <c r="A43" s="170">
        <v>50</v>
      </c>
      <c r="B43" s="170">
        <v>155.06828681105799</v>
      </c>
      <c r="C43" s="170">
        <f t="shared" si="1"/>
        <v>81.363786756030564</v>
      </c>
    </row>
    <row r="44" spans="1:3">
      <c r="A44" s="170">
        <v>51</v>
      </c>
      <c r="B44" s="170">
        <v>156.39759940079301</v>
      </c>
      <c r="C44" s="170">
        <f t="shared" si="1"/>
        <v>81.710471352104776</v>
      </c>
    </row>
    <row r="45" spans="1:3">
      <c r="A45" s="170">
        <v>52</v>
      </c>
      <c r="B45" s="170">
        <v>157.70868899030299</v>
      </c>
      <c r="C45" s="170">
        <f t="shared" si="1"/>
        <v>82.050423781205069</v>
      </c>
    </row>
    <row r="46" spans="1:3">
      <c r="A46" s="170">
        <v>53</v>
      </c>
      <c r="B46" s="170">
        <v>159.00214875281</v>
      </c>
      <c r="C46" s="170">
        <f t="shared" si="1"/>
        <v>82.383900530557014</v>
      </c>
    </row>
    <row r="47" spans="1:3">
      <c r="A47" s="170">
        <v>54</v>
      </c>
      <c r="B47" s="170">
        <v>160.27854179477899</v>
      </c>
      <c r="C47" s="170">
        <f t="shared" si="1"/>
        <v>82.711143703200761</v>
      </c>
    </row>
    <row r="48" spans="1:3">
      <c r="A48" s="170">
        <v>55</v>
      </c>
      <c r="B48" s="170">
        <v>161.538403205235</v>
      </c>
      <c r="C48" s="170">
        <f t="shared" si="1"/>
        <v>83.032382073864881</v>
      </c>
    </row>
    <row r="49" spans="1:3">
      <c r="A49" s="170">
        <v>56</v>
      </c>
      <c r="B49" s="170">
        <v>162.782241930889</v>
      </c>
      <c r="C49" s="170">
        <f t="shared" si="1"/>
        <v>83.347832049700273</v>
      </c>
    </row>
    <row r="50" spans="1:3">
      <c r="A50" s="170">
        <v>57</v>
      </c>
      <c r="B50" s="170">
        <v>164.010542494714</v>
      </c>
      <c r="C50" s="170">
        <f t="shared" si="1"/>
        <v>83.657698545979486</v>
      </c>
    </row>
    <row r="51" spans="1:3">
      <c r="A51" s="170">
        <v>58</v>
      </c>
      <c r="B51" s="170">
        <v>165.22376657353101</v>
      </c>
      <c r="C51" s="170">
        <f t="shared" si="1"/>
        <v>83.962175785636177</v>
      </c>
    </row>
    <row r="52" spans="1:3">
      <c r="A52" s="170">
        <v>59</v>
      </c>
      <c r="B52" s="170">
        <v>166.42235444840301</v>
      </c>
      <c r="C52" s="170">
        <f t="shared" si="1"/>
        <v>84.261448030457444</v>
      </c>
    </row>
    <row r="53" spans="1:3">
      <c r="A53" s="170">
        <v>60</v>
      </c>
      <c r="B53" s="170">
        <v>167.60672634005601</v>
      </c>
      <c r="C53" s="170">
        <f t="shared" si="1"/>
        <v>84.555690250822323</v>
      </c>
    </row>
    <row r="54" spans="1:3">
      <c r="A54" s="170">
        <v>61</v>
      </c>
      <c r="B54" s="170">
        <v>168.777283640197</v>
      </c>
      <c r="C54" s="170">
        <f t="shared" si="1"/>
        <v>84.845068740082169</v>
      </c>
    </row>
    <row r="55" spans="1:3">
      <c r="A55" s="170">
        <v>62</v>
      </c>
      <c r="B55" s="170">
        <v>169.93441004840801</v>
      </c>
      <c r="C55" s="170">
        <f t="shared" si="1"/>
        <v>85.129741678984431</v>
      </c>
    </row>
    <row r="56" spans="1:3">
      <c r="A56" s="170">
        <v>63</v>
      </c>
      <c r="B56" s="170">
        <v>171.07847262326101</v>
      </c>
      <c r="C56" s="170">
        <f t="shared" si="1"/>
        <v>85.409859654936568</v>
      </c>
    </row>
    <row r="57" spans="1:3">
      <c r="A57" s="170">
        <v>64</v>
      </c>
      <c r="B57" s="170">
        <v>172.209822755369</v>
      </c>
      <c r="C57" s="170">
        <f t="shared" si="1"/>
        <v>85.685566140377773</v>
      </c>
    </row>
    <row r="58" spans="1:3">
      <c r="A58" s="170">
        <v>65</v>
      </c>
      <c r="B58" s="170">
        <v>173.328797069308</v>
      </c>
      <c r="C58" s="170">
        <f t="shared" si="1"/>
        <v>85.956997934062926</v>
      </c>
    </row>
    <row r="59" spans="1:3">
      <c r="A59" s="170">
        <v>66</v>
      </c>
      <c r="B59" s="170">
        <v>174.435718260599</v>
      </c>
      <c r="C59" s="170">
        <f t="shared" si="1"/>
        <v>86.22428556865664</v>
      </c>
    </row>
    <row r="60" spans="1:3">
      <c r="A60" s="170">
        <v>67</v>
      </c>
      <c r="B60" s="170">
        <v>175.530895873357</v>
      </c>
      <c r="C60" s="170">
        <f t="shared" si="1"/>
        <v>86.487553687677647</v>
      </c>
    </row>
    <row r="61" spans="1:3">
      <c r="A61" s="170">
        <v>68</v>
      </c>
      <c r="B61" s="170">
        <v>176.61462702361001</v>
      </c>
      <c r="C61" s="170">
        <f t="shared" si="1"/>
        <v>86.746921394518111</v>
      </c>
    </row>
    <row r="62" spans="1:3">
      <c r="A62" s="170">
        <v>69</v>
      </c>
      <c r="B62" s="170">
        <v>177.687197072841</v>
      </c>
      <c r="C62" s="170">
        <f t="shared" si="1"/>
        <v>87.002502575984238</v>
      </c>
    </row>
    <row r="63" spans="1:3">
      <c r="A63" s="170">
        <v>70</v>
      </c>
      <c r="B63" s="170">
        <v>178.74888025583601</v>
      </c>
      <c r="C63" s="170">
        <f t="shared" si="1"/>
        <v>87.254406202558144</v>
      </c>
    </row>
    <row r="64" spans="1:3">
      <c r="A64" s="170">
        <v>71</v>
      </c>
      <c r="B64" s="170">
        <v>179.79994026654799</v>
      </c>
      <c r="C64" s="170">
        <f t="shared" si="1"/>
        <v>87.502736607362323</v>
      </c>
    </row>
    <row r="65" spans="1:3">
      <c r="A65" s="170">
        <v>72</v>
      </c>
      <c r="B65" s="170">
        <v>180.84063080533099</v>
      </c>
      <c r="C65" s="170">
        <f t="shared" si="1"/>
        <v>87.747593745614097</v>
      </c>
    </row>
    <row r="66" spans="1:3">
      <c r="A66" s="170">
        <v>73</v>
      </c>
      <c r="B66" s="170">
        <v>181.87119609059499</v>
      </c>
      <c r="C66" s="170">
        <f t="shared" si="1"/>
        <v>87.989073436184896</v>
      </c>
    </row>
    <row r="67" spans="1:3">
      <c r="A67" s="170">
        <v>74</v>
      </c>
      <c r="B67" s="170">
        <v>182.89187133764599</v>
      </c>
      <c r="C67" s="170">
        <f t="shared" ref="C67:C98" si="2">17.507*LN(A67)+12.876</f>
        <v>88.227267586725418</v>
      </c>
    </row>
    <row r="68" spans="1:3">
      <c r="A68" s="170">
        <v>75</v>
      </c>
      <c r="B68" s="170">
        <v>183.902883207222</v>
      </c>
      <c r="C68" s="170">
        <f t="shared" si="2"/>
        <v>88.462264403680194</v>
      </c>
    </row>
    <row r="69" spans="1:3">
      <c r="A69" s="170">
        <v>76</v>
      </c>
      <c r="B69" s="170">
        <v>184.904450226032</v>
      </c>
      <c r="C69" s="170">
        <f t="shared" si="2"/>
        <v>88.694148588392807</v>
      </c>
    </row>
    <row r="70" spans="1:3">
      <c r="A70" s="170">
        <v>77</v>
      </c>
      <c r="B70" s="170">
        <v>185.896783181383</v>
      </c>
      <c r="C70" s="170">
        <f t="shared" si="2"/>
        <v>88.923001520392461</v>
      </c>
    </row>
    <row r="71" spans="1:3">
      <c r="A71" s="170">
        <v>78</v>
      </c>
      <c r="B71" s="170">
        <v>186.88008549180299</v>
      </c>
      <c r="C71" s="170">
        <f t="shared" si="2"/>
        <v>89.1489014288547</v>
      </c>
    </row>
    <row r="72" spans="1:3">
      <c r="A72" s="170">
        <v>79</v>
      </c>
      <c r="B72" s="170">
        <v>187.854553555412</v>
      </c>
      <c r="C72" s="170">
        <f t="shared" si="2"/>
        <v>89.371923553140149</v>
      </c>
    </row>
    <row r="73" spans="1:3">
      <c r="A73" s="170">
        <v>80</v>
      </c>
      <c r="B73" s="170">
        <v>188.82037707764599</v>
      </c>
      <c r="C73" s="170">
        <f t="shared" si="2"/>
        <v>89.592140293235644</v>
      </c>
    </row>
    <row r="74" spans="1:3">
      <c r="A74" s="170">
        <v>81</v>
      </c>
      <c r="B74" s="170">
        <v>189.77773937978401</v>
      </c>
      <c r="C74" s="170">
        <f t="shared" si="2"/>
        <v>89.809621350850406</v>
      </c>
    </row>
    <row r="75" spans="1:3">
      <c r="A75" s="170">
        <v>82</v>
      </c>
      <c r="B75" s="170">
        <v>190.72681768963699</v>
      </c>
      <c r="C75" s="170">
        <f t="shared" si="2"/>
        <v>90.0244338618553</v>
      </c>
    </row>
    <row r="76" spans="1:3">
      <c r="A76" s="170">
        <v>83</v>
      </c>
      <c r="B76" s="170">
        <v>191.66778341563901</v>
      </c>
      <c r="C76" s="170">
        <f t="shared" si="2"/>
        <v>90.236642520695057</v>
      </c>
    </row>
    <row r="77" spans="1:3">
      <c r="A77" s="170">
        <v>84</v>
      </c>
      <c r="B77" s="170">
        <v>192.60080240545599</v>
      </c>
      <c r="C77" s="170">
        <f t="shared" si="2"/>
        <v>90.446309697349903</v>
      </c>
    </row>
    <row r="78" spans="1:3">
      <c r="A78" s="170">
        <v>85</v>
      </c>
      <c r="B78" s="170">
        <v>193.52603519018101</v>
      </c>
      <c r="C78" s="170">
        <f t="shared" si="2"/>
        <v>90.653495547375982</v>
      </c>
    </row>
    <row r="79" spans="1:3">
      <c r="A79" s="170">
        <v>86</v>
      </c>
      <c r="B79" s="170">
        <v>194.44363721506701</v>
      </c>
      <c r="C79" s="170">
        <f t="shared" si="2"/>
        <v>90.858258115510168</v>
      </c>
    </row>
    <row r="80" spans="1:3">
      <c r="A80" s="170">
        <v>87</v>
      </c>
      <c r="B80" s="170">
        <v>195.353759057692</v>
      </c>
      <c r="C80" s="170">
        <f t="shared" si="2"/>
        <v>91.060653433285808</v>
      </c>
    </row>
    <row r="81" spans="1:3">
      <c r="A81" s="170">
        <v>88</v>
      </c>
      <c r="B81" s="170">
        <v>196.25654663436799</v>
      </c>
      <c r="C81" s="170">
        <f t="shared" si="2"/>
        <v>91.260735611069975</v>
      </c>
    </row>
    <row r="82" spans="1:3">
      <c r="A82" s="170">
        <v>89</v>
      </c>
      <c r="B82" s="170">
        <v>197.15214139557099</v>
      </c>
      <c r="C82" s="170">
        <f t="shared" si="2"/>
        <v>91.458556924900577</v>
      </c>
    </row>
    <row r="83" spans="1:3">
      <c r="A83" s="170">
        <v>90</v>
      </c>
      <c r="B83" s="170">
        <v>198.040680511071</v>
      </c>
      <c r="C83" s="170">
        <f t="shared" si="2"/>
        <v>91.654167898471968</v>
      </c>
    </row>
    <row r="84" spans="1:3">
      <c r="A84" s="170">
        <v>91</v>
      </c>
      <c r="B84" s="170">
        <v>198.92229704543001</v>
      </c>
      <c r="C84" s="170">
        <f t="shared" si="2"/>
        <v>91.847617380590506</v>
      </c>
    </row>
    <row r="85" spans="1:3">
      <c r="A85" s="170">
        <v>92</v>
      </c>
      <c r="B85" s="170">
        <v>199.79712012446001</v>
      </c>
      <c r="C85" s="170">
        <f t="shared" si="2"/>
        <v>92.038952618397559</v>
      </c>
    </row>
    <row r="86" spans="1:3">
      <c r="A86" s="170">
        <v>93</v>
      </c>
      <c r="B86" s="170">
        <v>200.665275093199</v>
      </c>
      <c r="C86" s="170">
        <f t="shared" si="2"/>
        <v>92.228219326634076</v>
      </c>
    </row>
    <row r="87" spans="1:3">
      <c r="A87" s="170">
        <v>94</v>
      </c>
      <c r="B87" s="170">
        <v>201.526883665936</v>
      </c>
      <c r="C87" s="170">
        <f t="shared" si="2"/>
        <v>92.415461753200972</v>
      </c>
    </row>
    <row r="88" spans="1:3">
      <c r="A88" s="170">
        <v>95</v>
      </c>
      <c r="B88" s="170">
        <v>202.38206406874201</v>
      </c>
      <c r="C88" s="170">
        <f t="shared" si="2"/>
        <v>92.600722741250678</v>
      </c>
    </row>
    <row r="89" spans="1:3">
      <c r="A89" s="170">
        <v>96</v>
      </c>
      <c r="B89" s="170">
        <v>203.23093117497999</v>
      </c>
      <c r="C89" s="170">
        <f t="shared" si="2"/>
        <v>92.784043788027418</v>
      </c>
    </row>
    <row r="90" spans="1:3">
      <c r="A90" s="170">
        <v>97</v>
      </c>
      <c r="B90" s="170">
        <v>204.07359663419501</v>
      </c>
      <c r="C90" s="170">
        <f t="shared" si="2"/>
        <v>92.965465100658733</v>
      </c>
    </row>
    <row r="91" spans="1:3">
      <c r="A91" s="170">
        <v>98</v>
      </c>
      <c r="B91" s="170">
        <v>204.910168994776</v>
      </c>
      <c r="C91" s="170">
        <f t="shared" si="2"/>
        <v>93.145025649085724</v>
      </c>
    </row>
    <row r="92" spans="1:3">
      <c r="A92" s="170">
        <v>99</v>
      </c>
      <c r="B92" s="170">
        <v>205.74075382075</v>
      </c>
      <c r="C92" s="170">
        <f t="shared" si="2"/>
        <v>93.322763216306271</v>
      </c>
    </row>
    <row r="93" spans="1:3">
      <c r="A93" s="170">
        <v>100</v>
      </c>
      <c r="B93" s="170">
        <v>206.565453803048</v>
      </c>
      <c r="C93" s="170">
        <f t="shared" si="2"/>
        <v>93.49871444609353</v>
      </c>
    </row>
    <row r="94" spans="1:3">
      <c r="A94" s="170">
        <v>101</v>
      </c>
      <c r="B94" s="170">
        <v>207.38436886555601</v>
      </c>
      <c r="C94" s="170">
        <f t="shared" si="2"/>
        <v>93.672914888339946</v>
      </c>
    </row>
    <row r="95" spans="1:3">
      <c r="A95" s="170">
        <v>102</v>
      </c>
      <c r="B95" s="170">
        <v>208.19759626623801</v>
      </c>
      <c r="C95" s="170">
        <f t="shared" si="2"/>
        <v>93.845399042167742</v>
      </c>
    </row>
    <row r="96" spans="1:3">
      <c r="A96" s="170">
        <v>103</v>
      </c>
      <c r="B96" s="170">
        <v>209.00523069361699</v>
      </c>
      <c r="C96" s="170">
        <f t="shared" si="2"/>
        <v>94.016200396936242</v>
      </c>
    </row>
    <row r="97" spans="1:3">
      <c r="A97" s="170">
        <v>104</v>
      </c>
      <c r="B97" s="170">
        <v>209.80736435886601</v>
      </c>
      <c r="C97" s="170">
        <f t="shared" si="2"/>
        <v>94.185351471268021</v>
      </c>
    </row>
    <row r="98" spans="1:3">
      <c r="A98" s="170">
        <v>105</v>
      </c>
      <c r="B98" s="170">
        <v>210.604087083737</v>
      </c>
      <c r="C98" s="170">
        <f t="shared" si="2"/>
        <v>94.352883850207775</v>
      </c>
    </row>
    <row r="99" spans="1:3">
      <c r="A99" s="170">
        <v>106</v>
      </c>
      <c r="B99" s="170">
        <v>211.39548638457799</v>
      </c>
      <c r="C99" s="170">
        <f t="shared" ref="C99:C130" si="3">17.507*LN(A99)+12.876</f>
        <v>94.518828220619966</v>
      </c>
    </row>
    <row r="100" spans="1:3">
      <c r="A100" s="170">
        <v>107</v>
      </c>
      <c r="B100" s="170">
        <v>212.18164755262401</v>
      </c>
      <c r="C100" s="170">
        <f t="shared" si="3"/>
        <v>94.683214404924598</v>
      </c>
    </row>
    <row r="101" spans="1:3">
      <c r="A101" s="170">
        <v>108</v>
      </c>
      <c r="B101" s="170">
        <v>212.96265373077199</v>
      </c>
      <c r="C101" s="170">
        <f t="shared" si="3"/>
        <v>94.846071393263728</v>
      </c>
    </row>
    <row r="102" spans="1:3">
      <c r="A102" s="170">
        <v>109</v>
      </c>
      <c r="B102" s="170">
        <v>213.73858598702401</v>
      </c>
      <c r="C102" s="170">
        <f t="shared" si="3"/>
        <v>95.007427374185625</v>
      </c>
    </row>
    <row r="103" spans="1:3">
      <c r="A103" s="170">
        <v>110</v>
      </c>
      <c r="B103" s="170">
        <v>214.50952338476901</v>
      </c>
      <c r="C103" s="170">
        <f t="shared" si="3"/>
        <v>95.167309763927847</v>
      </c>
    </row>
    <row r="104" spans="1:3">
      <c r="A104" s="170">
        <v>111</v>
      </c>
      <c r="B104" s="170">
        <v>215.275543050073</v>
      </c>
      <c r="C104" s="170">
        <f t="shared" si="3"/>
        <v>95.325745234375034</v>
      </c>
    </row>
    <row r="105" spans="1:3">
      <c r="A105" s="170">
        <v>112</v>
      </c>
      <c r="B105" s="170">
        <v>216.036720236116</v>
      </c>
      <c r="C105" s="170">
        <f t="shared" si="3"/>
        <v>95.482759739763225</v>
      </c>
    </row>
    <row r="106" spans="1:3">
      <c r="A106" s="170">
        <v>113</v>
      </c>
      <c r="B106" s="170">
        <v>216.79312838494801</v>
      </c>
      <c r="C106" s="170">
        <f t="shared" si="3"/>
        <v>95.638378542196961</v>
      </c>
    </row>
    <row r="107" spans="1:3">
      <c r="A107" s="170">
        <v>114</v>
      </c>
      <c r="B107" s="170">
        <v>217.54483918666099</v>
      </c>
      <c r="C107" s="170">
        <f t="shared" si="3"/>
        <v>95.792626236042452</v>
      </c>
    </row>
    <row r="108" spans="1:3">
      <c r="A108" s="170">
        <v>115</v>
      </c>
      <c r="B108" s="170">
        <v>218.29192263614999</v>
      </c>
      <c r="C108" s="170">
        <f t="shared" si="3"/>
        <v>95.94552677125543</v>
      </c>
    </row>
    <row r="109" spans="1:3">
      <c r="A109" s="170">
        <v>116</v>
      </c>
      <c r="B109" s="170">
        <v>219.034447087535</v>
      </c>
      <c r="C109" s="170">
        <f t="shared" si="3"/>
        <v>96.097103475699129</v>
      </c>
    </row>
    <row r="110" spans="1:3">
      <c r="A110" s="170">
        <v>117</v>
      </c>
      <c r="B110" s="170">
        <v>219.77247930640601</v>
      </c>
      <c r="C110" s="170">
        <f t="shared" si="3"/>
        <v>96.24737907650433</v>
      </c>
    </row>
    <row r="111" spans="1:3">
      <c r="A111" s="170">
        <v>118</v>
      </c>
      <c r="B111" s="170">
        <v>220.506084519956</v>
      </c>
      <c r="C111" s="170">
        <f t="shared" si="3"/>
        <v>96.39637572052041</v>
      </c>
    </row>
    <row r="112" spans="1:3">
      <c r="A112" s="170">
        <v>119</v>
      </c>
      <c r="B112" s="170">
        <v>221.23532646512899</v>
      </c>
      <c r="C112" s="170">
        <f t="shared" si="3"/>
        <v>96.544114993903563</v>
      </c>
    </row>
    <row r="113" spans="1:3">
      <c r="A113" s="170">
        <v>120</v>
      </c>
      <c r="B113" s="170">
        <v>221.96026743487201</v>
      </c>
      <c r="C113" s="170">
        <f t="shared" si="3"/>
        <v>96.690617940885289</v>
      </c>
    </row>
    <row r="114" spans="1:3">
      <c r="A114" s="170">
        <v>121</v>
      </c>
      <c r="B114" s="170">
        <v>222.68096832257299</v>
      </c>
      <c r="C114" s="170">
        <f t="shared" si="3"/>
        <v>96.835905081762164</v>
      </c>
    </row>
    <row r="115" spans="1:3">
      <c r="A115" s="170">
        <v>122</v>
      </c>
      <c r="B115" s="170">
        <v>223.397488664783</v>
      </c>
      <c r="C115" s="170">
        <f t="shared" si="3"/>
        <v>96.979996430145135</v>
      </c>
    </row>
    <row r="116" spans="1:3">
      <c r="A116" s="170">
        <v>123</v>
      </c>
      <c r="B116" s="170">
        <v>224.109886682292</v>
      </c>
      <c r="C116" s="170">
        <f t="shared" si="3"/>
        <v>97.122911509504917</v>
      </c>
    </row>
    <row r="117" spans="1:3">
      <c r="A117" s="170">
        <v>124</v>
      </c>
      <c r="B117" s="170">
        <v>224.818219319636</v>
      </c>
      <c r="C117" s="170">
        <f t="shared" si="3"/>
        <v>97.264669369047397</v>
      </c>
    </row>
    <row r="118" spans="1:3">
      <c r="A118" s="170">
        <v>125</v>
      </c>
      <c r="B118" s="170">
        <v>225.52254228311699</v>
      </c>
      <c r="C118" s="170">
        <f t="shared" si="3"/>
        <v>97.405288598951401</v>
      </c>
    </row>
    <row r="119" spans="1:3">
      <c r="A119" s="170">
        <v>126</v>
      </c>
      <c r="B119" s="170">
        <v>226.22291007738701</v>
      </c>
      <c r="C119" s="170">
        <f t="shared" si="3"/>
        <v>97.544787344999534</v>
      </c>
    </row>
    <row r="120" spans="1:3">
      <c r="A120" s="170">
        <v>127</v>
      </c>
      <c r="B120" s="170">
        <v>226.919376040678</v>
      </c>
      <c r="C120" s="170">
        <f t="shared" si="3"/>
        <v>97.683183322630569</v>
      </c>
    </row>
    <row r="121" spans="1:3">
      <c r="A121" s="170">
        <v>128</v>
      </c>
      <c r="B121" s="170">
        <v>227.611992378726</v>
      </c>
      <c r="C121" s="170">
        <f t="shared" si="3"/>
        <v>97.820493830440739</v>
      </c>
    </row>
    <row r="122" spans="1:3">
      <c r="A122" s="170">
        <v>129</v>
      </c>
      <c r="B122" s="170">
        <v>228.30081019745501</v>
      </c>
      <c r="C122" s="170">
        <f t="shared" si="3"/>
        <v>97.956735763159799</v>
      </c>
    </row>
    <row r="123" spans="1:3">
      <c r="A123" s="170">
        <v>130</v>
      </c>
      <c r="B123" s="170">
        <v>228.985879534464</v>
      </c>
      <c r="C123" s="170">
        <f t="shared" si="3"/>
        <v>98.091925624125892</v>
      </c>
    </row>
    <row r="124" spans="1:3">
      <c r="A124" s="170">
        <v>131</v>
      </c>
      <c r="B124" s="170">
        <v>229.66724938939399</v>
      </c>
      <c r="C124" s="170">
        <f t="shared" si="3"/>
        <v>98.226079537282573</v>
      </c>
    </row>
    <row r="125" spans="1:3">
      <c r="A125" s="170">
        <v>132</v>
      </c>
      <c r="B125" s="170">
        <v>230.344967753188</v>
      </c>
      <c r="C125" s="170">
        <f t="shared" si="3"/>
        <v>98.359213258719606</v>
      </c>
    </row>
    <row r="126" spans="1:3">
      <c r="A126" s="170">
        <v>133</v>
      </c>
      <c r="B126" s="170">
        <v>231.01908163632899</v>
      </c>
      <c r="C126" s="170">
        <f t="shared" si="3"/>
        <v>98.491342187778258</v>
      </c>
    </row>
    <row r="127" spans="1:3">
      <c r="A127" s="170">
        <v>134</v>
      </c>
      <c r="B127" s="170">
        <v>231.68963709606501</v>
      </c>
      <c r="C127" s="170">
        <f t="shared" si="3"/>
        <v>98.622481377740613</v>
      </c>
    </row>
    <row r="128" spans="1:3">
      <c r="A128" s="170">
        <v>135</v>
      </c>
      <c r="B128" s="170">
        <v>232.35667926269599</v>
      </c>
      <c r="C128" s="170">
        <f t="shared" si="3"/>
        <v>98.752645546121599</v>
      </c>
    </row>
    <row r="129" spans="1:3">
      <c r="A129" s="170">
        <v>136</v>
      </c>
      <c r="B129" s="170">
        <v>233.02025236494001</v>
      </c>
      <c r="C129" s="170">
        <f t="shared" si="3"/>
        <v>98.881849084581077</v>
      </c>
    </row>
    <row r="130" spans="1:3">
      <c r="A130" s="170">
        <v>137</v>
      </c>
      <c r="B130" s="170">
        <v>233.680399754418</v>
      </c>
      <c r="C130" s="170">
        <f t="shared" si="3"/>
        <v>99.010106068472993</v>
      </c>
    </row>
    <row r="131" spans="1:3">
      <c r="A131" s="170">
        <v>138</v>
      </c>
      <c r="B131" s="170">
        <v>234.337163929317</v>
      </c>
      <c r="C131" s="170">
        <f t="shared" ref="C131:C152" si="4">17.507*LN(A131)+12.876</f>
        <v>99.137430266047204</v>
      </c>
    </row>
    <row r="132" spans="1:3">
      <c r="A132" s="170">
        <v>139</v>
      </c>
      <c r="B132" s="170">
        <v>234.99058655723101</v>
      </c>
      <c r="C132" s="170">
        <f t="shared" si="4"/>
        <v>99.263835147319028</v>
      </c>
    </row>
    <row r="133" spans="1:3">
      <c r="A133" s="170">
        <v>140</v>
      </c>
      <c r="B133" s="170">
        <v>235.64070849724001</v>
      </c>
      <c r="C133" s="170">
        <f t="shared" si="4"/>
        <v>99.389333892621096</v>
      </c>
    </row>
    <row r="134" spans="1:3">
      <c r="A134" s="170">
        <v>141</v>
      </c>
      <c r="B134" s="170">
        <v>236.28756982124901</v>
      </c>
      <c r="C134" s="170">
        <f t="shared" si="4"/>
        <v>99.513939400850603</v>
      </c>
    </row>
    <row r="135" spans="1:3">
      <c r="A135" s="170">
        <v>142</v>
      </c>
      <c r="B135" s="170">
        <v>236.93120983461401</v>
      </c>
      <c r="C135" s="170">
        <f t="shared" si="4"/>
        <v>99.637664297425289</v>
      </c>
    </row>
    <row r="136" spans="1:3">
      <c r="A136" s="170">
        <v>143</v>
      </c>
      <c r="B136" s="170">
        <v>237.57166709609001</v>
      </c>
      <c r="C136" s="170">
        <f t="shared" si="4"/>
        <v>99.760520941960209</v>
      </c>
    </row>
    <row r="137" spans="1:3">
      <c r="A137" s="170">
        <v>144</v>
      </c>
      <c r="B137" s="170">
        <v>238.208979437116</v>
      </c>
      <c r="C137" s="170">
        <f t="shared" si="4"/>
        <v>99.882521435677063</v>
      </c>
    </row>
    <row r="138" spans="1:3">
      <c r="A138" s="170">
        <v>145</v>
      </c>
      <c r="B138" s="170">
        <v>238.843183980486</v>
      </c>
      <c r="C138" s="170">
        <f t="shared" si="4"/>
        <v>100.003677628557</v>
      </c>
    </row>
    <row r="139" spans="1:3">
      <c r="A139" s="170">
        <v>146</v>
      </c>
      <c r="B139" s="170">
        <v>239.4743171584</v>
      </c>
      <c r="C139" s="170">
        <f t="shared" si="4"/>
        <v>100.12400112624786</v>
      </c>
    </row>
    <row r="140" spans="1:3">
      <c r="A140" s="170">
        <v>147</v>
      </c>
      <c r="B140" s="170">
        <v>240.10241472994699</v>
      </c>
      <c r="C140" s="170">
        <f t="shared" si="4"/>
        <v>100.24350329673534</v>
      </c>
    </row>
    <row r="141" spans="1:3">
      <c r="A141" s="170">
        <v>148</v>
      </c>
      <c r="B141" s="170">
        <v>240.72751179802199</v>
      </c>
      <c r="C141" s="170">
        <f t="shared" si="4"/>
        <v>100.36219527678837</v>
      </c>
    </row>
    <row r="142" spans="1:3">
      <c r="A142" s="170">
        <v>149</v>
      </c>
      <c r="B142" s="170">
        <v>241.34964282571201</v>
      </c>
      <c r="C142" s="170">
        <f t="shared" si="4"/>
        <v>100.48008797818717</v>
      </c>
    </row>
    <row r="143" spans="1:3">
      <c r="A143" s="170">
        <v>150</v>
      </c>
      <c r="B143" s="170">
        <v>241.96884165216301</v>
      </c>
      <c r="C143" s="170">
        <f t="shared" si="4"/>
        <v>100.59719209374316</v>
      </c>
    </row>
    <row r="144" spans="1:3">
      <c r="A144" s="170">
        <v>142</v>
      </c>
      <c r="B144" s="170">
        <v>236.93120983461401</v>
      </c>
      <c r="C144" s="170">
        <f t="shared" si="4"/>
        <v>99.637664297425289</v>
      </c>
    </row>
    <row r="145" spans="1:3">
      <c r="A145" s="170">
        <v>143</v>
      </c>
      <c r="B145" s="170">
        <v>237.57166709609001</v>
      </c>
      <c r="C145" s="170">
        <f t="shared" si="4"/>
        <v>99.760520941960209</v>
      </c>
    </row>
    <row r="146" spans="1:3">
      <c r="A146" s="170">
        <v>144</v>
      </c>
      <c r="B146" s="170">
        <v>238.208979437116</v>
      </c>
      <c r="C146" s="170">
        <f t="shared" si="4"/>
        <v>99.882521435677063</v>
      </c>
    </row>
    <row r="147" spans="1:3">
      <c r="A147" s="170">
        <v>145</v>
      </c>
      <c r="B147" s="170">
        <v>238.843183980486</v>
      </c>
      <c r="C147" s="170">
        <f t="shared" si="4"/>
        <v>100.003677628557</v>
      </c>
    </row>
    <row r="148" spans="1:3">
      <c r="A148" s="170">
        <v>146</v>
      </c>
      <c r="B148" s="170">
        <v>239.4743171584</v>
      </c>
      <c r="C148" s="170">
        <f t="shared" si="4"/>
        <v>100.12400112624786</v>
      </c>
    </row>
    <row r="149" spans="1:3">
      <c r="A149" s="170">
        <v>147</v>
      </c>
      <c r="B149" s="170">
        <v>240.10241472994699</v>
      </c>
      <c r="C149" s="170">
        <f t="shared" si="4"/>
        <v>100.24350329673534</v>
      </c>
    </row>
    <row r="150" spans="1:3">
      <c r="A150" s="170">
        <v>148</v>
      </c>
      <c r="B150" s="170">
        <v>240.72751179802199</v>
      </c>
      <c r="C150" s="170">
        <f t="shared" si="4"/>
        <v>100.36219527678837</v>
      </c>
    </row>
    <row r="151" spans="1:3">
      <c r="A151" s="170">
        <v>149</v>
      </c>
      <c r="B151" s="170">
        <v>241.34964282571201</v>
      </c>
      <c r="C151" s="170">
        <f t="shared" si="4"/>
        <v>100.48008797818717</v>
      </c>
    </row>
    <row r="152" spans="1:3">
      <c r="A152" s="170">
        <v>150</v>
      </c>
      <c r="B152" s="170">
        <v>241.96884165216301</v>
      </c>
      <c r="C152" s="170">
        <f t="shared" si="4"/>
        <v>100.59719209374316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8">
    <tabColor theme="9" tint="0.79998168889431442"/>
  </sheetPr>
  <dimension ref="A1:N35"/>
  <sheetViews>
    <sheetView zoomScale="60" zoomScaleNormal="60" workbookViewId="0">
      <selection activeCell="N10" sqref="N10"/>
    </sheetView>
  </sheetViews>
  <sheetFormatPr baseColWidth="10" defaultRowHeight="15.75"/>
  <cols>
    <col min="1" max="1" width="16.625" customWidth="1"/>
    <col min="3" max="3" width="13.625" customWidth="1"/>
    <col min="4" max="4" width="11.5" bestFit="1" customWidth="1"/>
    <col min="5" max="6" width="11.875" bestFit="1" customWidth="1"/>
    <col min="10" max="10" width="15.125" customWidth="1"/>
    <col min="12" max="12" width="21.625" customWidth="1"/>
    <col min="13" max="13" width="18.875" customWidth="1"/>
    <col min="14" max="14" width="46.875" customWidth="1"/>
  </cols>
  <sheetData>
    <row r="1" spans="1:14">
      <c r="A1" t="s">
        <v>295</v>
      </c>
      <c r="B1" t="s">
        <v>286</v>
      </c>
      <c r="I1" s="103"/>
    </row>
    <row r="2" spans="1:14" ht="31.5">
      <c r="A2" t="s">
        <v>298</v>
      </c>
      <c r="B2" t="s">
        <v>299</v>
      </c>
      <c r="M2" s="70"/>
      <c r="N2" s="7" t="s">
        <v>707</v>
      </c>
    </row>
    <row r="4" spans="1:14" ht="31.5">
      <c r="A4" s="67" t="s">
        <v>287</v>
      </c>
      <c r="B4" s="22" t="s">
        <v>82</v>
      </c>
      <c r="C4" s="22" t="s">
        <v>83</v>
      </c>
      <c r="D4" s="22" t="s">
        <v>91</v>
      </c>
      <c r="E4" s="22" t="s">
        <v>156</v>
      </c>
      <c r="F4" s="22" t="s">
        <v>157</v>
      </c>
      <c r="G4" s="22" t="s">
        <v>301</v>
      </c>
      <c r="H4" s="22" t="s">
        <v>300</v>
      </c>
      <c r="I4" s="22" t="s">
        <v>112</v>
      </c>
      <c r="J4" s="67" t="s">
        <v>288</v>
      </c>
      <c r="K4" s="22" t="s">
        <v>289</v>
      </c>
      <c r="L4" s="22" t="s">
        <v>296</v>
      </c>
      <c r="M4" s="67" t="s">
        <v>297</v>
      </c>
    </row>
    <row r="5" spans="1:14" ht="63">
      <c r="A5" t="s">
        <v>291</v>
      </c>
      <c r="B5" s="154">
        <v>24.997350000000001</v>
      </c>
      <c r="C5" s="154">
        <v>55.186959999999999</v>
      </c>
      <c r="D5" s="154">
        <v>-33.691369999999999</v>
      </c>
      <c r="E5" s="154">
        <v>7.9483870000000003</v>
      </c>
      <c r="F5" s="154">
        <v>-0.13663800000000001</v>
      </c>
      <c r="G5" s="154">
        <v>298</v>
      </c>
      <c r="H5" s="154">
        <v>1200</v>
      </c>
      <c r="I5" t="s">
        <v>587</v>
      </c>
      <c r="J5" s="104">
        <v>-393.5</v>
      </c>
      <c r="K5">
        <v>44.1</v>
      </c>
      <c r="L5" s="75" t="s">
        <v>303</v>
      </c>
      <c r="M5" s="105" t="s">
        <v>304</v>
      </c>
    </row>
    <row r="6" spans="1:14" ht="63">
      <c r="A6" t="s">
        <v>290</v>
      </c>
      <c r="B6" s="154">
        <v>47.259950000000003</v>
      </c>
      <c r="C6" s="154">
        <v>5.6816209999999998</v>
      </c>
      <c r="D6" s="154">
        <v>-0.87266500000000002</v>
      </c>
      <c r="E6" s="154">
        <v>0.1043</v>
      </c>
      <c r="F6" s="154">
        <v>-1.053955</v>
      </c>
      <c r="G6" s="154">
        <v>298</v>
      </c>
      <c r="H6" s="154">
        <v>3105</v>
      </c>
      <c r="I6" s="188" t="s">
        <v>587</v>
      </c>
      <c r="J6" s="104">
        <v>-601.79999999999995</v>
      </c>
      <c r="K6">
        <v>40.32</v>
      </c>
      <c r="L6" s="75" t="s">
        <v>303</v>
      </c>
      <c r="M6" s="105" t="s">
        <v>304</v>
      </c>
    </row>
    <row r="7" spans="1:14" ht="63">
      <c r="A7" t="s">
        <v>323</v>
      </c>
      <c r="B7" s="154">
        <v>-6.0765909999999996</v>
      </c>
      <c r="C7" s="154">
        <v>251.6755</v>
      </c>
      <c r="D7" s="154">
        <v>-324.79640000000001</v>
      </c>
      <c r="E7" s="154">
        <v>168.56039999999999</v>
      </c>
      <c r="F7" s="154">
        <v>2.5479999999999999E-3</v>
      </c>
      <c r="G7" s="154">
        <v>298</v>
      </c>
      <c r="H7" s="154">
        <v>847</v>
      </c>
      <c r="I7" s="188" t="s">
        <v>587</v>
      </c>
      <c r="J7">
        <v>-859.4</v>
      </c>
      <c r="K7">
        <v>60.08</v>
      </c>
      <c r="L7" s="75" t="s">
        <v>303</v>
      </c>
      <c r="M7" s="105" t="s">
        <v>304</v>
      </c>
    </row>
    <row r="8" spans="1:14" ht="63">
      <c r="A8" t="s">
        <v>640</v>
      </c>
      <c r="B8" s="188">
        <v>93.438339999999997</v>
      </c>
      <c r="C8" s="188">
        <v>108.35769999999999</v>
      </c>
      <c r="D8" s="188">
        <v>-50.864469999999997</v>
      </c>
      <c r="E8" s="188">
        <v>25.586829999999999</v>
      </c>
      <c r="F8" s="188">
        <v>-1.6113299999999999</v>
      </c>
      <c r="G8" s="188">
        <v>298</v>
      </c>
      <c r="H8" s="35">
        <v>950</v>
      </c>
      <c r="I8" s="188" t="s">
        <v>587</v>
      </c>
      <c r="J8" s="188">
        <v>-865</v>
      </c>
      <c r="K8" s="188">
        <v>159.68799999999999</v>
      </c>
      <c r="L8" s="75" t="s">
        <v>303</v>
      </c>
      <c r="M8" s="105" t="s">
        <v>304</v>
      </c>
    </row>
    <row r="9" spans="1:14" ht="63">
      <c r="A9" t="s">
        <v>294</v>
      </c>
      <c r="B9" s="154">
        <v>44.936999999999998</v>
      </c>
      <c r="C9" s="154">
        <v>149.70849999999999</v>
      </c>
      <c r="D9" s="154">
        <v>-74.182739999999995</v>
      </c>
      <c r="E9" s="154">
        <v>11.976699999999999</v>
      </c>
      <c r="F9" s="154">
        <v>-0.62926099999999996</v>
      </c>
      <c r="G9" s="154">
        <v>298</v>
      </c>
      <c r="H9" s="154">
        <v>1000</v>
      </c>
      <c r="I9" s="188" t="s">
        <v>587</v>
      </c>
      <c r="J9" s="104">
        <v>-1095.8</v>
      </c>
      <c r="K9">
        <f>K5+K6</f>
        <v>84.42</v>
      </c>
      <c r="L9" s="75" t="s">
        <v>303</v>
      </c>
      <c r="M9" s="105" t="s">
        <v>304</v>
      </c>
    </row>
    <row r="10" spans="1:14" ht="63">
      <c r="A10" s="235" t="s">
        <v>293</v>
      </c>
      <c r="B10" s="235">
        <v>-203.60599999999999</v>
      </c>
      <c r="C10" s="235">
        <v>1523.29</v>
      </c>
      <c r="D10" s="235">
        <v>-3196.413</v>
      </c>
      <c r="E10" s="235">
        <v>2474.4549999999999</v>
      </c>
      <c r="F10" s="235">
        <v>3.8553259999999998</v>
      </c>
      <c r="G10" s="235">
        <v>298</v>
      </c>
      <c r="H10" s="235">
        <v>500</v>
      </c>
      <c r="I10" s="235" t="s">
        <v>587</v>
      </c>
      <c r="J10" s="104">
        <v>-285.83999999999997</v>
      </c>
      <c r="K10" s="235">
        <v>18.015999999999998</v>
      </c>
      <c r="L10" s="75" t="s">
        <v>303</v>
      </c>
      <c r="M10" s="105" t="s">
        <v>304</v>
      </c>
    </row>
    <row r="11" spans="1:14" ht="63">
      <c r="A11" t="s">
        <v>567</v>
      </c>
      <c r="B11" s="156"/>
      <c r="C11" s="156"/>
      <c r="D11" s="156"/>
      <c r="E11" s="156"/>
      <c r="F11" s="156"/>
      <c r="G11" s="184"/>
      <c r="H11" s="184"/>
      <c r="I11" s="188" t="s">
        <v>587</v>
      </c>
      <c r="J11" s="104"/>
      <c r="K11" s="187">
        <v>84.007000000000005</v>
      </c>
      <c r="L11" s="185"/>
      <c r="M11" s="105" t="s">
        <v>304</v>
      </c>
    </row>
    <row r="12" spans="1:14" ht="63">
      <c r="A12" t="s">
        <v>292</v>
      </c>
      <c r="B12" s="70"/>
      <c r="C12" s="70"/>
      <c r="D12" s="70"/>
      <c r="E12" s="70"/>
      <c r="F12" s="70"/>
      <c r="G12" s="184"/>
      <c r="H12" s="184"/>
      <c r="I12" s="188" t="s">
        <v>587</v>
      </c>
      <c r="J12" s="104"/>
      <c r="K12" s="187">
        <v>58.45</v>
      </c>
      <c r="L12" s="185"/>
      <c r="M12" s="105" t="s">
        <v>304</v>
      </c>
    </row>
    <row r="13" spans="1:14" ht="63">
      <c r="A13" t="s">
        <v>629</v>
      </c>
      <c r="B13" s="70"/>
      <c r="C13" s="70"/>
      <c r="D13" s="70"/>
      <c r="E13" s="70"/>
      <c r="F13" s="70"/>
      <c r="G13" s="184"/>
      <c r="H13" s="184"/>
      <c r="I13" s="188" t="s">
        <v>587</v>
      </c>
      <c r="J13" s="187"/>
      <c r="K13" s="187">
        <f>K6*2+K7</f>
        <v>140.72</v>
      </c>
      <c r="L13" s="70"/>
      <c r="M13" s="105" t="s">
        <v>304</v>
      </c>
    </row>
    <row r="14" spans="1:14" ht="45">
      <c r="A14" s="183" t="s">
        <v>631</v>
      </c>
      <c r="B14" s="70"/>
      <c r="C14" s="70"/>
      <c r="D14" s="70"/>
      <c r="E14" s="70"/>
      <c r="F14" s="70"/>
      <c r="G14" s="184"/>
      <c r="H14" s="184"/>
      <c r="I14" s="188" t="s">
        <v>587</v>
      </c>
      <c r="J14" s="187"/>
      <c r="K14" s="187">
        <v>90.034000000000006</v>
      </c>
      <c r="L14" s="70"/>
      <c r="M14" s="148" t="s">
        <v>634</v>
      </c>
    </row>
    <row r="15" spans="1:14" ht="45">
      <c r="A15" s="183" t="s">
        <v>632</v>
      </c>
      <c r="B15" s="70"/>
      <c r="C15" s="70"/>
      <c r="D15" s="70"/>
      <c r="E15" s="70"/>
      <c r="F15" s="70"/>
      <c r="G15" s="184"/>
      <c r="H15" s="184"/>
      <c r="I15" s="188" t="s">
        <v>587</v>
      </c>
      <c r="J15" s="187"/>
      <c r="K15" s="187">
        <v>176.12</v>
      </c>
      <c r="L15" s="70"/>
      <c r="M15" s="148" t="s">
        <v>633</v>
      </c>
    </row>
    <row r="16" spans="1:14" ht="63">
      <c r="A16" s="215" t="s">
        <v>708</v>
      </c>
      <c r="B16" s="70"/>
      <c r="C16" s="70"/>
      <c r="D16" s="70"/>
      <c r="E16" s="70"/>
      <c r="F16" s="70"/>
      <c r="G16" s="215"/>
      <c r="H16" s="215"/>
      <c r="I16" s="215" t="s">
        <v>587</v>
      </c>
      <c r="J16" s="104"/>
      <c r="K16" s="216">
        <v>61.08</v>
      </c>
      <c r="L16" s="185"/>
      <c r="M16" s="105" t="s">
        <v>304</v>
      </c>
    </row>
    <row r="17" spans="1:13" s="215" customFormat="1" ht="63">
      <c r="A17" t="s">
        <v>326</v>
      </c>
      <c r="B17" s="70"/>
      <c r="C17" s="70"/>
      <c r="D17" s="70"/>
      <c r="E17" s="70"/>
      <c r="F17" s="70"/>
      <c r="G17" s="184"/>
      <c r="H17" s="184"/>
      <c r="I17" s="188" t="s">
        <v>587</v>
      </c>
      <c r="J17" s="104"/>
      <c r="K17" s="104">
        <v>17.030999999999999</v>
      </c>
      <c r="L17" s="185"/>
      <c r="M17" s="105" t="s">
        <v>304</v>
      </c>
    </row>
    <row r="18" spans="1:13">
      <c r="A18" t="s">
        <v>644</v>
      </c>
      <c r="B18" s="192">
        <v>28.986409999999999</v>
      </c>
      <c r="C18" s="17">
        <v>1.8539779999999999</v>
      </c>
      <c r="D18" s="17">
        <v>-9.6474589999999996</v>
      </c>
      <c r="E18" s="17">
        <v>16.635370000000002</v>
      </c>
      <c r="F18" s="192">
        <v>1.17E-4</v>
      </c>
      <c r="G18">
        <v>100</v>
      </c>
      <c r="H18">
        <v>500</v>
      </c>
      <c r="I18" s="188" t="s">
        <v>587</v>
      </c>
      <c r="J18">
        <v>0</v>
      </c>
      <c r="K18" s="17">
        <v>28.013400000000001</v>
      </c>
      <c r="L18" s="75" t="s">
        <v>303</v>
      </c>
    </row>
    <row r="19" spans="1:13">
      <c r="A19" s="184" t="s">
        <v>645</v>
      </c>
      <c r="B19" s="192">
        <v>31.322340000000001</v>
      </c>
      <c r="C19" s="17">
        <v>-20.235309999999998</v>
      </c>
      <c r="D19" s="17">
        <v>57.866439999999997</v>
      </c>
      <c r="E19" s="17">
        <v>-36.506239999999998</v>
      </c>
      <c r="F19" s="17">
        <v>-7.3740000000000003E-3</v>
      </c>
      <c r="G19" s="170">
        <v>100</v>
      </c>
      <c r="H19" s="170">
        <v>700</v>
      </c>
      <c r="I19" s="188" t="s">
        <v>587</v>
      </c>
      <c r="J19" s="104">
        <v>0</v>
      </c>
      <c r="K19" s="17">
        <v>31.998799999999999</v>
      </c>
      <c r="L19" s="75" t="s">
        <v>303</v>
      </c>
      <c r="M19" s="105"/>
    </row>
    <row r="20" spans="1:13">
      <c r="A20" s="190"/>
      <c r="B20" s="170"/>
      <c r="C20" s="170"/>
      <c r="D20" s="170"/>
      <c r="E20" s="170"/>
      <c r="F20" s="170"/>
      <c r="G20" s="170"/>
      <c r="H20" s="170"/>
      <c r="I20" s="190"/>
      <c r="J20" s="104"/>
      <c r="K20" s="190"/>
      <c r="L20" s="75"/>
      <c r="M20" s="105"/>
    </row>
    <row r="21" spans="1:13">
      <c r="A21" s="190"/>
      <c r="B21" s="190"/>
      <c r="C21" s="190"/>
      <c r="D21" s="190"/>
      <c r="E21" s="190"/>
      <c r="F21" s="190"/>
      <c r="G21" s="190"/>
      <c r="H21" s="190"/>
      <c r="I21" s="190"/>
      <c r="J21" s="104"/>
      <c r="K21" s="190"/>
      <c r="L21" s="75"/>
      <c r="M21" s="105"/>
    </row>
    <row r="22" spans="1:13">
      <c r="A22" s="190"/>
      <c r="B22" s="190"/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05"/>
    </row>
    <row r="23" spans="1:13">
      <c r="A23" s="190"/>
      <c r="B23" s="190"/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48"/>
    </row>
    <row r="24" spans="1:13">
      <c r="A24" s="190"/>
      <c r="B24" s="190"/>
      <c r="C24" s="190"/>
      <c r="D24" s="190"/>
      <c r="E24" s="190"/>
      <c r="F24" s="190"/>
      <c r="G24" s="190"/>
      <c r="H24" s="190"/>
      <c r="I24" s="190"/>
      <c r="J24" s="190"/>
      <c r="K24" s="190"/>
      <c r="L24" s="190"/>
      <c r="M24" s="148"/>
    </row>
    <row r="25" spans="1:13">
      <c r="A25" s="190"/>
      <c r="B25" s="190"/>
      <c r="C25" s="190"/>
      <c r="D25" s="190"/>
      <c r="E25" s="190"/>
      <c r="F25" s="190"/>
      <c r="G25" s="190"/>
      <c r="H25" s="190"/>
      <c r="I25" s="190"/>
      <c r="J25" s="104"/>
      <c r="K25" s="104"/>
      <c r="L25" s="75"/>
      <c r="M25" s="105"/>
    </row>
    <row r="33" spans="1:13">
      <c r="A33" s="326" t="s">
        <v>552</v>
      </c>
      <c r="B33" s="326"/>
      <c r="C33" s="326"/>
      <c r="D33" s="326"/>
      <c r="E33" s="326"/>
      <c r="F33" s="326"/>
      <c r="G33" s="326"/>
      <c r="H33" s="326"/>
      <c r="I33" s="326"/>
      <c r="J33" s="326"/>
      <c r="K33" s="326"/>
      <c r="L33" s="326"/>
      <c r="M33" s="326"/>
    </row>
    <row r="34" spans="1:13" ht="47.25">
      <c r="A34" s="7" t="s">
        <v>553</v>
      </c>
      <c r="B34" s="7" t="s">
        <v>554</v>
      </c>
      <c r="C34" s="7" t="s">
        <v>555</v>
      </c>
      <c r="D34" s="7" t="s">
        <v>557</v>
      </c>
      <c r="E34" s="7" t="s">
        <v>564</v>
      </c>
      <c r="G34" s="7" t="s">
        <v>561</v>
      </c>
      <c r="H34" s="7" t="s">
        <v>556</v>
      </c>
      <c r="I34" s="7" t="s">
        <v>563</v>
      </c>
      <c r="J34" s="7"/>
      <c r="K34" s="7"/>
      <c r="L34" s="7"/>
      <c r="M34" s="7"/>
    </row>
    <row r="35" spans="1:13" ht="75">
      <c r="A35" t="s">
        <v>559</v>
      </c>
      <c r="B35">
        <v>304.18</v>
      </c>
      <c r="C35">
        <v>73.8</v>
      </c>
      <c r="D35">
        <v>0.22500000000000001</v>
      </c>
      <c r="E35">
        <v>1.28</v>
      </c>
      <c r="G35" s="105" t="s">
        <v>303</v>
      </c>
      <c r="H35" s="155" t="s">
        <v>558</v>
      </c>
      <c r="I35" t="s">
        <v>562</v>
      </c>
    </row>
  </sheetData>
  <mergeCells count="1">
    <mergeCell ref="A33:M33"/>
  </mergeCells>
  <hyperlinks>
    <hyperlink ref="H35" r:id="rId1" xr:uid="{00000000-0004-0000-0E00-000000000000}"/>
  </hyperlinks>
  <pageMargins left="0.7" right="0.7" top="0.78740157499999996" bottom="0.78740157499999996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9">
    <tabColor theme="9" tint="0.79998168889431442"/>
  </sheetPr>
  <dimension ref="A1:H204"/>
  <sheetViews>
    <sheetView workbookViewId="0">
      <selection activeCell="E30" sqref="E30"/>
    </sheetView>
  </sheetViews>
  <sheetFormatPr baseColWidth="10" defaultRowHeight="15.75"/>
  <cols>
    <col min="1" max="1" width="10.875" style="114"/>
    <col min="2" max="2" width="26.625" style="116" customWidth="1"/>
    <col min="3" max="3" width="10.875" style="114"/>
    <col min="4" max="4" width="19.5" customWidth="1"/>
  </cols>
  <sheetData>
    <row r="1" spans="1:8" ht="16.5">
      <c r="B1" s="119" t="s">
        <v>360</v>
      </c>
      <c r="C1" s="119" t="s">
        <v>361</v>
      </c>
      <c r="D1" s="119" t="s">
        <v>362</v>
      </c>
      <c r="E1" s="119"/>
      <c r="F1" s="119"/>
    </row>
    <row r="2" spans="1:8" ht="20.25">
      <c r="A2" s="114">
        <v>203</v>
      </c>
      <c r="B2" s="118" t="s">
        <v>363</v>
      </c>
      <c r="C2" s="118">
        <v>23.4</v>
      </c>
      <c r="D2" s="118">
        <v>23.4</v>
      </c>
      <c r="E2" s="118"/>
      <c r="F2" s="118"/>
      <c r="G2" t="s">
        <v>485</v>
      </c>
      <c r="H2" t="s">
        <v>486</v>
      </c>
    </row>
    <row r="3" spans="1:8" ht="20.25">
      <c r="A3" s="114">
        <f>A2-1</f>
        <v>202</v>
      </c>
      <c r="B3" s="118" t="s">
        <v>364</v>
      </c>
      <c r="C3" s="118">
        <v>21.88</v>
      </c>
      <c r="D3" s="118">
        <v>21.88</v>
      </c>
      <c r="E3" s="118"/>
      <c r="F3" s="118"/>
    </row>
    <row r="4" spans="1:8" ht="20.25">
      <c r="A4" s="114">
        <f t="shared" ref="A4:A67" si="0">A3-1</f>
        <v>201</v>
      </c>
      <c r="B4" s="117">
        <v>43416</v>
      </c>
      <c r="C4" s="118">
        <v>20.77</v>
      </c>
      <c r="D4" s="118">
        <v>20.77</v>
      </c>
      <c r="E4" s="118"/>
      <c r="F4" s="118"/>
      <c r="G4" s="47" t="s">
        <v>487</v>
      </c>
      <c r="H4" s="47">
        <f>AVERAGE(C2:C204)</f>
        <v>15.478620689655173</v>
      </c>
    </row>
    <row r="5" spans="1:8" ht="20.25">
      <c r="A5" s="114">
        <f t="shared" si="0"/>
        <v>200</v>
      </c>
      <c r="B5" s="117">
        <v>43385</v>
      </c>
      <c r="C5" s="118">
        <v>19.77</v>
      </c>
      <c r="D5" s="118">
        <v>19.77</v>
      </c>
      <c r="E5" s="118"/>
      <c r="F5" s="118"/>
    </row>
    <row r="6" spans="1:8" ht="20.25">
      <c r="A6" s="114">
        <f t="shared" si="0"/>
        <v>199</v>
      </c>
      <c r="B6" s="117">
        <v>43263</v>
      </c>
      <c r="C6" s="118">
        <v>18.55</v>
      </c>
      <c r="D6" s="118">
        <v>18.55</v>
      </c>
      <c r="E6" s="118"/>
      <c r="F6" s="118"/>
    </row>
    <row r="7" spans="1:8" ht="20.25">
      <c r="A7" s="114">
        <f t="shared" si="0"/>
        <v>198</v>
      </c>
      <c r="B7" s="117">
        <v>43232</v>
      </c>
      <c r="C7" s="118">
        <v>20.21</v>
      </c>
      <c r="D7" s="118">
        <v>20.21</v>
      </c>
      <c r="E7" s="118"/>
      <c r="F7" s="118"/>
    </row>
    <row r="8" spans="1:8" ht="20.25">
      <c r="A8" s="114">
        <f t="shared" si="0"/>
        <v>197</v>
      </c>
      <c r="B8" s="117">
        <v>43202</v>
      </c>
      <c r="C8" s="118">
        <v>20.350000000000001</v>
      </c>
      <c r="D8" s="118">
        <v>20.350000000000001</v>
      </c>
      <c r="E8" s="118"/>
      <c r="F8" s="118"/>
    </row>
    <row r="9" spans="1:8" ht="20.25">
      <c r="A9" s="114">
        <f t="shared" si="0"/>
        <v>196</v>
      </c>
      <c r="B9" s="117">
        <v>43171</v>
      </c>
      <c r="C9" s="118">
        <v>20.52</v>
      </c>
      <c r="D9" s="118">
        <v>20.52</v>
      </c>
      <c r="E9" s="118"/>
      <c r="F9" s="118"/>
    </row>
    <row r="10" spans="1:8" ht="20.25">
      <c r="A10" s="114">
        <f t="shared" si="0"/>
        <v>195</v>
      </c>
      <c r="B10" s="118" t="s">
        <v>365</v>
      </c>
      <c r="C10" s="118">
        <v>19.350000000000001</v>
      </c>
      <c r="D10" s="118">
        <v>19.350000000000001</v>
      </c>
      <c r="E10" s="118"/>
      <c r="F10" s="118"/>
    </row>
    <row r="11" spans="1:8" ht="20.25">
      <c r="A11" s="114">
        <f t="shared" si="0"/>
        <v>194</v>
      </c>
      <c r="B11" s="118" t="s">
        <v>366</v>
      </c>
      <c r="C11" s="118">
        <v>19.77</v>
      </c>
      <c r="D11" s="118">
        <v>19.77</v>
      </c>
      <c r="E11" s="118"/>
      <c r="F11" s="118"/>
    </row>
    <row r="12" spans="1:8" ht="20.25">
      <c r="A12" s="114">
        <f t="shared" si="0"/>
        <v>193</v>
      </c>
      <c r="B12" s="118" t="s">
        <v>367</v>
      </c>
      <c r="C12" s="118">
        <v>19.71</v>
      </c>
      <c r="D12" s="118">
        <v>19.71</v>
      </c>
      <c r="E12" s="118"/>
      <c r="F12" s="118"/>
    </row>
    <row r="13" spans="1:8" ht="20.25">
      <c r="A13" s="114">
        <f t="shared" si="0"/>
        <v>192</v>
      </c>
      <c r="B13" s="118" t="s">
        <v>368</v>
      </c>
      <c r="C13" s="118">
        <v>20.3</v>
      </c>
      <c r="D13" s="118">
        <v>20.3</v>
      </c>
      <c r="E13" s="118"/>
      <c r="F13" s="118"/>
    </row>
    <row r="14" spans="1:8" ht="20.25">
      <c r="A14" s="114">
        <f t="shared" si="0"/>
        <v>191</v>
      </c>
      <c r="B14" s="118" t="s">
        <v>369</v>
      </c>
      <c r="C14" s="118">
        <v>19.84</v>
      </c>
      <c r="D14" s="118">
        <v>19.84</v>
      </c>
      <c r="E14" s="118"/>
      <c r="F14" s="118"/>
    </row>
    <row r="15" spans="1:8" ht="20.25">
      <c r="A15" s="114">
        <f t="shared" si="0"/>
        <v>190</v>
      </c>
      <c r="B15" s="118" t="s">
        <v>370</v>
      </c>
      <c r="C15" s="118">
        <v>19.399999999999999</v>
      </c>
      <c r="D15" s="118">
        <v>19.399999999999999</v>
      </c>
      <c r="E15" s="118"/>
      <c r="F15" s="118"/>
    </row>
    <row r="16" spans="1:8" ht="20.25">
      <c r="A16" s="114">
        <f t="shared" si="0"/>
        <v>189</v>
      </c>
      <c r="B16" s="118" t="s">
        <v>371</v>
      </c>
      <c r="C16" s="118">
        <v>18.43</v>
      </c>
      <c r="D16" s="118">
        <v>18.43</v>
      </c>
      <c r="E16" s="118"/>
      <c r="F16" s="118"/>
    </row>
    <row r="17" spans="1:6" ht="20.25">
      <c r="A17" s="114">
        <f t="shared" si="0"/>
        <v>188</v>
      </c>
      <c r="B17" s="118" t="s">
        <v>372</v>
      </c>
      <c r="C17" s="118">
        <v>18.46</v>
      </c>
      <c r="D17" s="118">
        <v>18.46</v>
      </c>
      <c r="E17" s="118"/>
      <c r="F17" s="118"/>
    </row>
    <row r="18" spans="1:6" ht="20.25">
      <c r="A18" s="114">
        <f t="shared" si="0"/>
        <v>187</v>
      </c>
      <c r="B18" s="118" t="s">
        <v>373</v>
      </c>
      <c r="C18" s="118">
        <v>19.760000000000002</v>
      </c>
      <c r="D18" s="118">
        <v>19.760000000000002</v>
      </c>
      <c r="E18" s="118"/>
      <c r="F18" s="118"/>
    </row>
    <row r="19" spans="1:6" ht="20.25">
      <c r="A19" s="114">
        <f t="shared" si="0"/>
        <v>186</v>
      </c>
      <c r="B19" s="117">
        <v>43445</v>
      </c>
      <c r="C19" s="118">
        <v>20.010000000000002</v>
      </c>
      <c r="D19" s="118">
        <v>20.010000000000002</v>
      </c>
      <c r="E19" s="118"/>
      <c r="F19" s="118"/>
    </row>
    <row r="20" spans="1:6" ht="20.25">
      <c r="A20" s="114">
        <f t="shared" si="0"/>
        <v>185</v>
      </c>
      <c r="B20" s="117">
        <v>43354</v>
      </c>
      <c r="C20" s="118">
        <v>19.25</v>
      </c>
      <c r="D20" s="118">
        <v>19.25</v>
      </c>
      <c r="E20" s="118"/>
      <c r="F20" s="118"/>
    </row>
    <row r="21" spans="1:6" ht="20.25">
      <c r="A21" s="114">
        <f t="shared" si="0"/>
        <v>184</v>
      </c>
      <c r="B21" s="117">
        <v>43323</v>
      </c>
      <c r="C21" s="118">
        <v>19.559999999999999</v>
      </c>
      <c r="D21" s="118">
        <v>19.559999999999999</v>
      </c>
      <c r="E21" s="118"/>
      <c r="F21" s="118"/>
    </row>
    <row r="22" spans="1:6" ht="20.25">
      <c r="A22" s="114">
        <f t="shared" si="0"/>
        <v>183</v>
      </c>
      <c r="B22" s="117">
        <v>43292</v>
      </c>
      <c r="C22" s="118">
        <v>18.25</v>
      </c>
      <c r="D22" s="118">
        <v>18.25</v>
      </c>
      <c r="E22" s="118"/>
      <c r="F22" s="118"/>
    </row>
    <row r="23" spans="1:6" ht="20.25">
      <c r="A23" s="114">
        <f t="shared" si="0"/>
        <v>182</v>
      </c>
      <c r="B23" s="117">
        <v>43262</v>
      </c>
      <c r="C23" s="118">
        <v>16.989999999999998</v>
      </c>
      <c r="D23" s="118">
        <v>16.989999999999998</v>
      </c>
      <c r="E23" s="118"/>
      <c r="F23" s="118"/>
    </row>
    <row r="24" spans="1:6" ht="20.25">
      <c r="A24" s="114">
        <f t="shared" si="0"/>
        <v>181</v>
      </c>
      <c r="B24" s="117">
        <v>43231</v>
      </c>
      <c r="C24" s="118">
        <v>16.399999999999999</v>
      </c>
      <c r="D24" s="118">
        <v>16.399999999999999</v>
      </c>
      <c r="E24" s="118"/>
      <c r="F24" s="118"/>
    </row>
    <row r="25" spans="1:6" ht="20.25">
      <c r="A25" s="114">
        <f t="shared" si="0"/>
        <v>180</v>
      </c>
      <c r="B25" s="117">
        <v>43142</v>
      </c>
      <c r="C25" s="118">
        <v>16.149999999999999</v>
      </c>
      <c r="D25" s="118">
        <v>16.149999999999999</v>
      </c>
      <c r="E25" s="118"/>
      <c r="F25" s="118"/>
    </row>
    <row r="26" spans="1:6" ht="20.25">
      <c r="A26" s="114">
        <f t="shared" si="0"/>
        <v>179</v>
      </c>
      <c r="B26" s="117">
        <v>43111</v>
      </c>
      <c r="C26" s="118">
        <v>15.85</v>
      </c>
      <c r="D26" s="118">
        <v>15.85</v>
      </c>
      <c r="E26" s="118"/>
      <c r="F26" s="118"/>
    </row>
    <row r="27" spans="1:6" ht="20.25">
      <c r="A27" s="114">
        <f t="shared" si="0"/>
        <v>178</v>
      </c>
      <c r="B27" s="118" t="s">
        <v>374</v>
      </c>
      <c r="C27" s="118">
        <v>16.87</v>
      </c>
      <c r="D27" s="118">
        <v>16.87</v>
      </c>
      <c r="E27" s="118"/>
      <c r="F27" s="118"/>
    </row>
    <row r="28" spans="1:6" ht="20.25">
      <c r="A28" s="114">
        <f t="shared" si="0"/>
        <v>177</v>
      </c>
      <c r="B28" s="118" t="s">
        <v>375</v>
      </c>
      <c r="C28" s="118">
        <v>17.91</v>
      </c>
      <c r="D28" s="118">
        <v>17.91</v>
      </c>
      <c r="E28" s="118"/>
      <c r="F28" s="118"/>
    </row>
    <row r="29" spans="1:6" ht="20.25">
      <c r="A29" s="114">
        <f t="shared" si="0"/>
        <v>176</v>
      </c>
      <c r="B29" s="118" t="s">
        <v>376</v>
      </c>
      <c r="C29" s="118">
        <v>18.98</v>
      </c>
      <c r="D29" s="118">
        <v>18.98</v>
      </c>
      <c r="E29" s="118"/>
      <c r="F29" s="118"/>
    </row>
    <row r="30" spans="1:6" ht="20.25">
      <c r="A30" s="114">
        <f t="shared" si="0"/>
        <v>175</v>
      </c>
      <c r="B30" s="118" t="s">
        <v>377</v>
      </c>
      <c r="C30" s="118">
        <v>18.72</v>
      </c>
      <c r="D30" s="118">
        <v>18.72</v>
      </c>
      <c r="E30" s="118"/>
      <c r="F30" s="118"/>
    </row>
    <row r="31" spans="1:6" ht="20.25">
      <c r="A31" s="114">
        <f t="shared" si="0"/>
        <v>174</v>
      </c>
      <c r="B31" s="118" t="s">
        <v>378</v>
      </c>
      <c r="C31" s="118">
        <v>19.100000000000001</v>
      </c>
      <c r="D31" s="118">
        <v>19.100000000000001</v>
      </c>
      <c r="E31" s="118"/>
      <c r="F31" s="118"/>
    </row>
    <row r="32" spans="1:6" ht="20.25">
      <c r="A32" s="114">
        <f t="shared" si="0"/>
        <v>173</v>
      </c>
      <c r="B32" s="118" t="s">
        <v>379</v>
      </c>
      <c r="C32" s="118">
        <v>18.5</v>
      </c>
      <c r="D32" s="118">
        <v>18.5</v>
      </c>
      <c r="E32" s="118"/>
      <c r="F32" s="118"/>
    </row>
    <row r="33" spans="1:6" ht="20.25">
      <c r="A33" s="114">
        <f t="shared" si="0"/>
        <v>172</v>
      </c>
      <c r="B33" s="118" t="s">
        <v>380</v>
      </c>
      <c r="C33" s="118">
        <v>19.100000000000001</v>
      </c>
      <c r="D33" s="118">
        <v>19.100000000000001</v>
      </c>
      <c r="E33" s="118"/>
      <c r="F33" s="118"/>
    </row>
    <row r="34" spans="1:6" ht="20.25">
      <c r="A34" s="114">
        <f t="shared" si="0"/>
        <v>171</v>
      </c>
      <c r="B34" s="118" t="s">
        <v>381</v>
      </c>
      <c r="C34" s="118">
        <v>19.170000000000002</v>
      </c>
      <c r="D34" s="118">
        <v>19.170000000000002</v>
      </c>
      <c r="E34" s="118"/>
      <c r="F34" s="118"/>
    </row>
    <row r="35" spans="1:6" ht="20.25">
      <c r="A35" s="114">
        <f t="shared" si="0"/>
        <v>170</v>
      </c>
      <c r="B35" s="118" t="s">
        <v>382</v>
      </c>
      <c r="C35" s="118">
        <v>18.53</v>
      </c>
      <c r="D35" s="118">
        <v>18.53</v>
      </c>
      <c r="E35" s="118"/>
      <c r="F35" s="118"/>
    </row>
    <row r="36" spans="1:6" ht="20.25">
      <c r="A36" s="114">
        <f t="shared" si="0"/>
        <v>169</v>
      </c>
      <c r="B36" s="118" t="s">
        <v>383</v>
      </c>
      <c r="C36" s="118">
        <v>17.899999999999999</v>
      </c>
      <c r="D36" s="118">
        <v>17.899999999999999</v>
      </c>
      <c r="E36" s="118"/>
      <c r="F36" s="118"/>
    </row>
    <row r="37" spans="1:6" ht="20.25">
      <c r="A37" s="114">
        <f t="shared" si="0"/>
        <v>168</v>
      </c>
      <c r="B37" s="118" t="s">
        <v>384</v>
      </c>
      <c r="C37" s="118">
        <v>20.03</v>
      </c>
      <c r="D37" s="118">
        <v>20.03</v>
      </c>
      <c r="E37" s="118"/>
      <c r="F37" s="118"/>
    </row>
    <row r="38" spans="1:6" ht="20.25">
      <c r="A38" s="114">
        <f t="shared" si="0"/>
        <v>167</v>
      </c>
      <c r="B38" s="117">
        <v>43444</v>
      </c>
      <c r="C38" s="118">
        <v>19.95</v>
      </c>
      <c r="D38" s="118">
        <v>19.95</v>
      </c>
      <c r="E38" s="118"/>
      <c r="F38" s="118"/>
    </row>
    <row r="39" spans="1:6" ht="20.25">
      <c r="A39" s="114">
        <f t="shared" si="0"/>
        <v>166</v>
      </c>
      <c r="B39" s="117">
        <v>43414</v>
      </c>
      <c r="C39" s="118">
        <v>18.57</v>
      </c>
      <c r="D39" s="118">
        <v>18.57</v>
      </c>
      <c r="E39" s="118"/>
      <c r="F39" s="118"/>
    </row>
    <row r="40" spans="1:6" ht="20.25">
      <c r="A40" s="114">
        <f t="shared" si="0"/>
        <v>165</v>
      </c>
      <c r="B40" s="117">
        <v>43383</v>
      </c>
      <c r="C40" s="118">
        <v>20.7</v>
      </c>
      <c r="D40" s="118">
        <v>20.7</v>
      </c>
      <c r="E40" s="118"/>
      <c r="F40" s="118"/>
    </row>
    <row r="41" spans="1:6" ht="20.25">
      <c r="A41" s="114">
        <f t="shared" si="0"/>
        <v>164</v>
      </c>
      <c r="B41" s="117">
        <v>43353</v>
      </c>
      <c r="C41" s="118">
        <v>21.32</v>
      </c>
      <c r="D41" s="118">
        <v>21.32</v>
      </c>
      <c r="E41" s="118"/>
      <c r="F41" s="118"/>
    </row>
    <row r="42" spans="1:6" ht="20.25">
      <c r="A42" s="114">
        <f t="shared" si="0"/>
        <v>163</v>
      </c>
      <c r="B42" s="117">
        <v>43322</v>
      </c>
      <c r="C42" s="118">
        <v>22.09</v>
      </c>
      <c r="D42" s="118">
        <v>22.09</v>
      </c>
      <c r="E42" s="118"/>
      <c r="F42" s="118"/>
    </row>
    <row r="43" spans="1:6" ht="20.25">
      <c r="A43" s="114">
        <f t="shared" si="0"/>
        <v>162</v>
      </c>
      <c r="B43" s="117">
        <v>43230</v>
      </c>
      <c r="C43" s="118">
        <v>21.14</v>
      </c>
      <c r="D43" s="118">
        <v>21.14</v>
      </c>
      <c r="E43" s="118"/>
      <c r="F43" s="118"/>
    </row>
    <row r="44" spans="1:6" ht="20.25">
      <c r="A44" s="114">
        <f t="shared" si="0"/>
        <v>161</v>
      </c>
      <c r="B44" s="117">
        <v>43200</v>
      </c>
      <c r="C44" s="118">
        <v>21.15</v>
      </c>
      <c r="D44" s="118">
        <v>21.15</v>
      </c>
      <c r="E44" s="118"/>
      <c r="F44" s="118"/>
    </row>
    <row r="45" spans="1:6" ht="20.25">
      <c r="A45" s="114">
        <f t="shared" si="0"/>
        <v>160</v>
      </c>
      <c r="B45" s="117">
        <v>43141</v>
      </c>
      <c r="C45" s="118">
        <v>21.45</v>
      </c>
      <c r="D45" s="118">
        <v>21.45</v>
      </c>
      <c r="E45" s="118"/>
      <c r="F45" s="118"/>
    </row>
    <row r="46" spans="1:6" ht="20.25">
      <c r="A46" s="114">
        <f t="shared" si="0"/>
        <v>159</v>
      </c>
      <c r="B46" s="117">
        <v>43110</v>
      </c>
      <c r="C46" s="118">
        <v>20.7</v>
      </c>
      <c r="D46" s="118">
        <v>20.7</v>
      </c>
      <c r="E46" s="118"/>
      <c r="F46" s="118"/>
    </row>
    <row r="47" spans="1:6" ht="20.25">
      <c r="A47" s="114">
        <f t="shared" si="0"/>
        <v>158</v>
      </c>
      <c r="B47" s="118" t="s">
        <v>385</v>
      </c>
      <c r="C47" s="118">
        <v>20.3</v>
      </c>
      <c r="D47" s="118">
        <v>20.3</v>
      </c>
      <c r="E47" s="118"/>
      <c r="F47" s="118"/>
    </row>
    <row r="48" spans="1:6" ht="20.25">
      <c r="A48" s="114">
        <f t="shared" si="0"/>
        <v>157</v>
      </c>
      <c r="B48" s="118" t="s">
        <v>386</v>
      </c>
      <c r="C48" s="118">
        <v>19.87</v>
      </c>
      <c r="D48" s="118">
        <v>19.87</v>
      </c>
      <c r="E48" s="118"/>
      <c r="F48" s="118"/>
    </row>
    <row r="49" spans="1:6" ht="20.25">
      <c r="A49" s="114">
        <f t="shared" si="0"/>
        <v>156</v>
      </c>
      <c r="B49" s="118" t="s">
        <v>387</v>
      </c>
      <c r="C49" s="118">
        <v>20.399999999999999</v>
      </c>
      <c r="D49" s="118">
        <v>20.399999999999999</v>
      </c>
      <c r="E49" s="118"/>
      <c r="F49" s="118"/>
    </row>
    <row r="50" spans="1:6" ht="20.25">
      <c r="A50" s="114">
        <f t="shared" si="0"/>
        <v>155</v>
      </c>
      <c r="B50" s="118" t="s">
        <v>388</v>
      </c>
      <c r="C50" s="118">
        <v>21.9</v>
      </c>
      <c r="D50" s="118">
        <v>21.9</v>
      </c>
      <c r="E50" s="118"/>
      <c r="F50" s="118"/>
    </row>
    <row r="51" spans="1:6" ht="20.25">
      <c r="A51" s="114">
        <f t="shared" si="0"/>
        <v>154</v>
      </c>
      <c r="B51" s="118" t="s">
        <v>389</v>
      </c>
      <c r="C51" s="118">
        <v>22.39</v>
      </c>
      <c r="D51" s="118">
        <v>22.39</v>
      </c>
      <c r="E51" s="118"/>
      <c r="F51" s="118"/>
    </row>
    <row r="52" spans="1:6" ht="20.25">
      <c r="A52" s="114">
        <f t="shared" si="0"/>
        <v>153</v>
      </c>
      <c r="B52" s="118" t="s">
        <v>390</v>
      </c>
      <c r="C52" s="118">
        <v>21.8</v>
      </c>
      <c r="D52" s="118">
        <v>21.8</v>
      </c>
      <c r="E52" s="118"/>
      <c r="F52" s="118"/>
    </row>
    <row r="53" spans="1:6" ht="20.25">
      <c r="A53" s="114">
        <f t="shared" si="0"/>
        <v>152</v>
      </c>
      <c r="B53" s="118" t="s">
        <v>391</v>
      </c>
      <c r="C53" s="118">
        <v>20.75</v>
      </c>
      <c r="D53" s="118">
        <v>20.75</v>
      </c>
      <c r="E53" s="118"/>
      <c r="F53" s="118"/>
    </row>
    <row r="54" spans="1:6" ht="20.25">
      <c r="A54" s="114">
        <f t="shared" si="0"/>
        <v>151</v>
      </c>
      <c r="B54" s="118" t="s">
        <v>392</v>
      </c>
      <c r="C54" s="118">
        <v>20.6</v>
      </c>
      <c r="D54" s="118">
        <v>20.6</v>
      </c>
      <c r="E54" s="118"/>
      <c r="F54" s="118"/>
    </row>
    <row r="55" spans="1:6" ht="20.25">
      <c r="A55" s="114">
        <f t="shared" si="0"/>
        <v>150</v>
      </c>
      <c r="B55" s="118" t="s">
        <v>393</v>
      </c>
      <c r="C55" s="118">
        <v>19.510000000000002</v>
      </c>
      <c r="D55" s="118">
        <v>19.510000000000002</v>
      </c>
      <c r="E55" s="118"/>
      <c r="F55" s="118"/>
    </row>
    <row r="56" spans="1:6" ht="20.25">
      <c r="A56" s="114">
        <f t="shared" si="0"/>
        <v>149</v>
      </c>
      <c r="B56" s="118" t="s">
        <v>394</v>
      </c>
      <c r="C56" s="118">
        <v>21.9</v>
      </c>
      <c r="D56" s="118">
        <v>21.9</v>
      </c>
      <c r="E56" s="118"/>
      <c r="F56" s="118"/>
    </row>
    <row r="57" spans="1:6" ht="20.25">
      <c r="A57" s="114">
        <f t="shared" si="0"/>
        <v>148</v>
      </c>
      <c r="B57" s="117">
        <v>43443</v>
      </c>
      <c r="C57" s="118">
        <v>23.55</v>
      </c>
      <c r="D57" s="118">
        <v>23.55</v>
      </c>
      <c r="E57" s="118"/>
      <c r="F57" s="118"/>
    </row>
    <row r="58" spans="1:6" ht="20.25">
      <c r="A58" s="114">
        <f t="shared" si="0"/>
        <v>147</v>
      </c>
      <c r="B58" s="117">
        <v>43413</v>
      </c>
      <c r="C58" s="118">
        <v>24.15</v>
      </c>
      <c r="D58" s="118">
        <v>24.15</v>
      </c>
      <c r="E58" s="118"/>
      <c r="F58" s="118"/>
    </row>
    <row r="59" spans="1:6" ht="20.25">
      <c r="A59" s="114">
        <f t="shared" si="0"/>
        <v>146</v>
      </c>
      <c r="B59" s="117">
        <v>43382</v>
      </c>
      <c r="C59" s="118">
        <v>24.85</v>
      </c>
      <c r="D59" s="118">
        <v>24.85</v>
      </c>
      <c r="E59" s="118"/>
      <c r="F59" s="118"/>
    </row>
    <row r="60" spans="1:6" ht="20.25">
      <c r="A60" s="114">
        <f t="shared" si="0"/>
        <v>145</v>
      </c>
      <c r="B60" s="117">
        <v>43290</v>
      </c>
      <c r="C60" s="118">
        <v>22.51</v>
      </c>
      <c r="D60" s="118">
        <v>22.51</v>
      </c>
      <c r="E60" s="118"/>
      <c r="F60" s="118"/>
    </row>
    <row r="61" spans="1:6" ht="20.25">
      <c r="A61" s="114">
        <f t="shared" si="0"/>
        <v>144</v>
      </c>
      <c r="B61" s="117">
        <v>43199</v>
      </c>
      <c r="C61" s="118">
        <v>20.5</v>
      </c>
      <c r="D61" s="118">
        <v>20.5</v>
      </c>
      <c r="E61" s="118"/>
      <c r="F61" s="118"/>
    </row>
    <row r="62" spans="1:6" ht="20.25">
      <c r="A62" s="114">
        <f t="shared" si="0"/>
        <v>143</v>
      </c>
      <c r="B62" s="117">
        <v>43168</v>
      </c>
      <c r="C62" s="118">
        <v>20.45</v>
      </c>
      <c r="D62" s="118">
        <v>20.45</v>
      </c>
      <c r="E62" s="118"/>
      <c r="F62" s="118"/>
    </row>
    <row r="63" spans="1:6" ht="20.25">
      <c r="A63" s="114">
        <f t="shared" si="0"/>
        <v>142</v>
      </c>
      <c r="B63" s="118" t="s">
        <v>395</v>
      </c>
      <c r="C63" s="118">
        <v>21.11</v>
      </c>
      <c r="D63" s="118">
        <v>21.11</v>
      </c>
      <c r="E63" s="118"/>
      <c r="F63" s="118"/>
    </row>
    <row r="64" spans="1:6" ht="20.25">
      <c r="A64" s="114">
        <f t="shared" si="0"/>
        <v>141</v>
      </c>
      <c r="B64" s="118" t="s">
        <v>396</v>
      </c>
      <c r="C64" s="118">
        <v>21.09</v>
      </c>
      <c r="D64" s="118">
        <v>21.09</v>
      </c>
      <c r="E64" s="118"/>
      <c r="F64" s="118"/>
    </row>
    <row r="65" spans="1:6" ht="20.25">
      <c r="A65" s="114">
        <f t="shared" si="0"/>
        <v>140</v>
      </c>
      <c r="B65" s="118" t="s">
        <v>397</v>
      </c>
      <c r="C65" s="118">
        <v>20.9</v>
      </c>
      <c r="D65" s="118">
        <v>20.9</v>
      </c>
      <c r="E65" s="118"/>
      <c r="F65" s="118"/>
    </row>
    <row r="66" spans="1:6" ht="20.25">
      <c r="A66" s="114">
        <f t="shared" si="0"/>
        <v>139</v>
      </c>
      <c r="B66" s="118" t="s">
        <v>398</v>
      </c>
      <c r="C66" s="118">
        <v>21.3</v>
      </c>
      <c r="D66" s="118">
        <v>21.3</v>
      </c>
      <c r="E66" s="118"/>
      <c r="F66" s="118"/>
    </row>
    <row r="67" spans="1:6" ht="20.25">
      <c r="A67" s="114">
        <f t="shared" si="0"/>
        <v>138</v>
      </c>
      <c r="B67" s="118" t="s">
        <v>399</v>
      </c>
      <c r="C67" s="118">
        <v>20.55</v>
      </c>
      <c r="D67" s="118">
        <v>20.55</v>
      </c>
      <c r="E67" s="118"/>
      <c r="F67" s="118"/>
    </row>
    <row r="68" spans="1:6" ht="20.25">
      <c r="A68" s="114">
        <f t="shared" ref="A68:A131" si="1">A67-1</f>
        <v>137</v>
      </c>
      <c r="B68" s="118" t="s">
        <v>400</v>
      </c>
      <c r="C68" s="118">
        <v>20.05</v>
      </c>
      <c r="D68" s="118">
        <v>20.05</v>
      </c>
      <c r="E68" s="118"/>
      <c r="F68" s="118"/>
    </row>
    <row r="69" spans="1:6" ht="20.25">
      <c r="A69" s="114">
        <f t="shared" si="1"/>
        <v>136</v>
      </c>
      <c r="B69" s="118" t="s">
        <v>401</v>
      </c>
      <c r="C69" s="118">
        <v>18.55</v>
      </c>
      <c r="D69" s="118">
        <v>18.55</v>
      </c>
      <c r="E69" s="118"/>
      <c r="F69" s="118"/>
    </row>
    <row r="70" spans="1:6" ht="20.25">
      <c r="A70" s="114">
        <f t="shared" si="1"/>
        <v>135</v>
      </c>
      <c r="B70" s="118" t="s">
        <v>402</v>
      </c>
      <c r="C70" s="118">
        <v>18.2</v>
      </c>
      <c r="D70" s="118">
        <v>18.2</v>
      </c>
      <c r="E70" s="118"/>
      <c r="F70" s="118"/>
    </row>
    <row r="71" spans="1:6" ht="20.25">
      <c r="A71" s="114">
        <f t="shared" si="1"/>
        <v>134</v>
      </c>
      <c r="B71" s="118" t="s">
        <v>403</v>
      </c>
      <c r="C71" s="118">
        <v>18.100000000000001</v>
      </c>
      <c r="D71" s="118">
        <v>18.100000000000001</v>
      </c>
      <c r="E71" s="118"/>
      <c r="F71" s="118"/>
    </row>
    <row r="72" spans="1:6" ht="20.25">
      <c r="A72" s="114">
        <f t="shared" si="1"/>
        <v>133</v>
      </c>
      <c r="B72" s="118" t="s">
        <v>404</v>
      </c>
      <c r="C72" s="118">
        <v>18</v>
      </c>
      <c r="D72" s="118">
        <v>18</v>
      </c>
      <c r="E72" s="118"/>
      <c r="F72" s="118"/>
    </row>
    <row r="73" spans="1:6" ht="20.25">
      <c r="A73" s="114">
        <f t="shared" si="1"/>
        <v>132</v>
      </c>
      <c r="B73" s="118" t="s">
        <v>405</v>
      </c>
      <c r="C73" s="118">
        <v>18.03</v>
      </c>
      <c r="D73" s="118">
        <v>18.03</v>
      </c>
      <c r="E73" s="118"/>
      <c r="F73" s="118"/>
    </row>
    <row r="74" spans="1:6" ht="20.25">
      <c r="A74" s="114">
        <f t="shared" si="1"/>
        <v>131</v>
      </c>
      <c r="B74" s="118" t="s">
        <v>406</v>
      </c>
      <c r="C74" s="118">
        <v>17.93</v>
      </c>
      <c r="D74" s="118">
        <v>17.93</v>
      </c>
      <c r="E74" s="118"/>
      <c r="F74" s="118"/>
    </row>
    <row r="75" spans="1:6" ht="20.25">
      <c r="A75" s="114">
        <f t="shared" si="1"/>
        <v>130</v>
      </c>
      <c r="B75" s="117">
        <v>43381</v>
      </c>
      <c r="C75" s="118">
        <v>17.72</v>
      </c>
      <c r="D75" s="118">
        <v>17.72</v>
      </c>
      <c r="E75" s="118"/>
      <c r="F75" s="118"/>
    </row>
    <row r="76" spans="1:6" ht="20.25">
      <c r="A76" s="114">
        <f t="shared" si="1"/>
        <v>129</v>
      </c>
      <c r="B76" s="117">
        <v>43351</v>
      </c>
      <c r="C76" s="118">
        <v>17.47</v>
      </c>
      <c r="D76" s="118">
        <v>17.47</v>
      </c>
      <c r="E76" s="118"/>
      <c r="F76" s="118"/>
    </row>
    <row r="77" spans="1:6" ht="20.25">
      <c r="A77" s="114">
        <f t="shared" si="1"/>
        <v>128</v>
      </c>
      <c r="B77" s="117">
        <v>43289</v>
      </c>
      <c r="C77" s="118">
        <v>17.47</v>
      </c>
      <c r="D77" s="118">
        <v>17.47</v>
      </c>
      <c r="E77" s="118"/>
      <c r="F77" s="118"/>
    </row>
    <row r="78" spans="1:6" ht="20.25">
      <c r="A78" s="114">
        <f t="shared" si="1"/>
        <v>127</v>
      </c>
      <c r="B78" s="117">
        <v>43259</v>
      </c>
      <c r="C78" s="118">
        <v>17.62</v>
      </c>
      <c r="D78" s="118">
        <v>17.62</v>
      </c>
      <c r="E78" s="118"/>
      <c r="F78" s="118"/>
    </row>
    <row r="79" spans="1:6" ht="20.25">
      <c r="A79" s="114">
        <f t="shared" si="1"/>
        <v>126</v>
      </c>
      <c r="B79" s="117">
        <v>43167</v>
      </c>
      <c r="C79" s="118">
        <v>17.62</v>
      </c>
      <c r="D79" s="118">
        <v>17.62</v>
      </c>
      <c r="E79" s="118"/>
      <c r="F79" s="118"/>
    </row>
    <row r="80" spans="1:6" ht="20.25">
      <c r="A80" s="114">
        <f t="shared" si="1"/>
        <v>125</v>
      </c>
      <c r="B80" s="117">
        <v>43139</v>
      </c>
      <c r="C80" s="118">
        <v>17.579999999999998</v>
      </c>
      <c r="D80" s="118">
        <v>17.579999999999998</v>
      </c>
      <c r="E80" s="118"/>
      <c r="F80" s="118"/>
    </row>
    <row r="81" spans="1:6" ht="20.25">
      <c r="A81" s="114">
        <f t="shared" si="1"/>
        <v>124</v>
      </c>
      <c r="B81" s="117">
        <v>43108</v>
      </c>
      <c r="C81" s="118">
        <v>17.38</v>
      </c>
      <c r="D81" s="118">
        <v>17.38</v>
      </c>
      <c r="E81" s="118"/>
      <c r="F81" s="118"/>
    </row>
    <row r="82" spans="1:6" ht="20.25">
      <c r="A82" s="114">
        <f t="shared" si="1"/>
        <v>123</v>
      </c>
      <c r="B82" s="118" t="s">
        <v>407</v>
      </c>
      <c r="C82" s="118">
        <v>16.87</v>
      </c>
      <c r="D82" s="118">
        <v>16.87</v>
      </c>
      <c r="E82" s="118"/>
      <c r="F82" s="118"/>
    </row>
    <row r="83" spans="1:6" ht="20.25">
      <c r="A83" s="114">
        <f t="shared" si="1"/>
        <v>122</v>
      </c>
      <c r="B83" s="118" t="s">
        <v>408</v>
      </c>
      <c r="C83" s="118">
        <v>16.899999999999999</v>
      </c>
      <c r="D83" s="118">
        <v>16.899999999999999</v>
      </c>
      <c r="E83" s="118"/>
      <c r="F83" s="118"/>
    </row>
    <row r="84" spans="1:6" ht="20.25">
      <c r="A84" s="114">
        <f t="shared" si="1"/>
        <v>121</v>
      </c>
      <c r="B84" s="118" t="s">
        <v>409</v>
      </c>
      <c r="C84" s="118">
        <v>16.91</v>
      </c>
      <c r="D84" s="118">
        <v>16.91</v>
      </c>
      <c r="E84" s="118"/>
      <c r="F84" s="118"/>
    </row>
    <row r="85" spans="1:6" ht="20.25">
      <c r="A85" s="114">
        <f t="shared" si="1"/>
        <v>120</v>
      </c>
      <c r="B85" s="118" t="s">
        <v>410</v>
      </c>
      <c r="C85" s="118">
        <v>16.989999999999998</v>
      </c>
      <c r="D85" s="118">
        <v>16.989999999999998</v>
      </c>
      <c r="E85" s="118"/>
      <c r="F85" s="118"/>
    </row>
    <row r="86" spans="1:6" ht="20.25">
      <c r="A86" s="114">
        <f t="shared" si="1"/>
        <v>119</v>
      </c>
      <c r="B86" s="118" t="s">
        <v>411</v>
      </c>
      <c r="C86" s="118">
        <v>17.45</v>
      </c>
      <c r="D86" s="118">
        <v>17.45</v>
      </c>
      <c r="E86" s="118"/>
      <c r="F86" s="118"/>
    </row>
    <row r="87" spans="1:6" ht="20.25">
      <c r="A87" s="114">
        <f t="shared" si="1"/>
        <v>118</v>
      </c>
      <c r="B87" s="118" t="s">
        <v>412</v>
      </c>
      <c r="C87" s="118">
        <v>17.2</v>
      </c>
      <c r="D87" s="118">
        <v>17.2</v>
      </c>
      <c r="E87" s="118"/>
      <c r="F87" s="118"/>
    </row>
    <row r="88" spans="1:6" ht="20.25">
      <c r="A88" s="114">
        <f t="shared" si="1"/>
        <v>117</v>
      </c>
      <c r="B88" s="118" t="s">
        <v>413</v>
      </c>
      <c r="C88" s="118">
        <v>16.899999999999999</v>
      </c>
      <c r="D88" s="118">
        <v>16.899999999999999</v>
      </c>
      <c r="E88" s="118"/>
      <c r="F88" s="118"/>
    </row>
    <row r="89" spans="1:6" ht="20.25">
      <c r="A89" s="114">
        <f t="shared" si="1"/>
        <v>116</v>
      </c>
      <c r="B89" s="118" t="s">
        <v>414</v>
      </c>
      <c r="C89" s="118">
        <v>16.46</v>
      </c>
      <c r="D89" s="118">
        <v>16.46</v>
      </c>
      <c r="E89" s="118"/>
      <c r="F89" s="118"/>
    </row>
    <row r="90" spans="1:6" ht="20.25">
      <c r="A90" s="114">
        <f t="shared" si="1"/>
        <v>115</v>
      </c>
      <c r="B90" s="118" t="s">
        <v>415</v>
      </c>
      <c r="C90" s="118">
        <v>16.170000000000002</v>
      </c>
      <c r="D90" s="118">
        <v>16.170000000000002</v>
      </c>
      <c r="E90" s="118"/>
      <c r="F90" s="118"/>
    </row>
    <row r="91" spans="1:6" ht="20.25">
      <c r="A91" s="114">
        <f t="shared" si="1"/>
        <v>114</v>
      </c>
      <c r="B91" s="118" t="s">
        <v>416</v>
      </c>
      <c r="C91" s="118">
        <v>15.87</v>
      </c>
      <c r="D91" s="118">
        <v>15.87</v>
      </c>
      <c r="E91" s="118"/>
      <c r="F91" s="118"/>
    </row>
    <row r="92" spans="1:6" ht="20.25">
      <c r="A92" s="114">
        <f t="shared" si="1"/>
        <v>113</v>
      </c>
      <c r="B92" s="118" t="s">
        <v>417</v>
      </c>
      <c r="C92" s="118">
        <v>16.14</v>
      </c>
      <c r="D92" s="118">
        <v>16.14</v>
      </c>
      <c r="E92" s="118"/>
      <c r="F92" s="118"/>
    </row>
    <row r="93" spans="1:6" ht="20.25">
      <c r="A93" s="114">
        <f t="shared" si="1"/>
        <v>112</v>
      </c>
      <c r="B93" s="118" t="s">
        <v>418</v>
      </c>
      <c r="C93" s="118">
        <v>15.8</v>
      </c>
      <c r="D93" s="118">
        <v>15.8</v>
      </c>
      <c r="E93" s="118"/>
      <c r="F93" s="118"/>
    </row>
    <row r="94" spans="1:6" ht="20.25">
      <c r="A94" s="114">
        <f t="shared" si="1"/>
        <v>111</v>
      </c>
      <c r="B94" s="117">
        <v>43441</v>
      </c>
      <c r="C94" s="118">
        <v>16.22</v>
      </c>
      <c r="D94" s="118">
        <v>16.22</v>
      </c>
      <c r="E94" s="118"/>
      <c r="F94" s="118"/>
    </row>
    <row r="95" spans="1:6" ht="20.25">
      <c r="A95" s="114">
        <f t="shared" si="1"/>
        <v>110</v>
      </c>
      <c r="B95" s="117">
        <v>43380</v>
      </c>
      <c r="C95" s="118">
        <v>16.149999999999999</v>
      </c>
      <c r="D95" s="118">
        <v>16.149999999999999</v>
      </c>
      <c r="E95" s="118"/>
      <c r="F95" s="118"/>
    </row>
    <row r="96" spans="1:6" ht="20.25">
      <c r="A96" s="114">
        <f t="shared" si="1"/>
        <v>109</v>
      </c>
      <c r="B96" s="117">
        <v>43350</v>
      </c>
      <c r="C96" s="118">
        <v>15.85</v>
      </c>
      <c r="D96" s="118">
        <v>15.85</v>
      </c>
      <c r="E96" s="118"/>
      <c r="F96" s="118"/>
    </row>
    <row r="97" spans="1:6" ht="20.25">
      <c r="A97" s="114">
        <f t="shared" si="1"/>
        <v>108</v>
      </c>
      <c r="B97" s="117">
        <v>43258</v>
      </c>
      <c r="C97" s="118">
        <v>15.55</v>
      </c>
      <c r="D97" s="118">
        <v>15.55</v>
      </c>
      <c r="E97" s="118"/>
      <c r="F97" s="118"/>
    </row>
    <row r="98" spans="1:6" ht="20.25">
      <c r="A98" s="114">
        <f t="shared" si="1"/>
        <v>107</v>
      </c>
      <c r="B98" s="117">
        <v>43227</v>
      </c>
      <c r="C98" s="118">
        <v>15.4</v>
      </c>
      <c r="D98" s="118">
        <v>15.4</v>
      </c>
      <c r="E98" s="118"/>
      <c r="F98" s="118"/>
    </row>
    <row r="99" spans="1:6" ht="20.25">
      <c r="A99" s="114">
        <f t="shared" si="1"/>
        <v>106</v>
      </c>
      <c r="B99" s="117">
        <v>43197</v>
      </c>
      <c r="C99" s="118">
        <v>15.35</v>
      </c>
      <c r="D99" s="118">
        <v>15.35</v>
      </c>
      <c r="E99" s="118"/>
      <c r="F99" s="118"/>
    </row>
    <row r="100" spans="1:6" ht="20.25">
      <c r="A100" s="114">
        <f t="shared" si="1"/>
        <v>105</v>
      </c>
      <c r="B100" s="117">
        <v>43166</v>
      </c>
      <c r="C100" s="118">
        <v>15.15</v>
      </c>
      <c r="D100" s="118">
        <v>15.15</v>
      </c>
      <c r="E100" s="118"/>
      <c r="F100" s="118"/>
    </row>
    <row r="101" spans="1:6" ht="20.25">
      <c r="A101" s="114">
        <f t="shared" si="1"/>
        <v>104</v>
      </c>
      <c r="B101" s="117">
        <v>43138</v>
      </c>
      <c r="C101" s="118">
        <v>14.95</v>
      </c>
      <c r="D101" s="118">
        <v>14.95</v>
      </c>
      <c r="E101" s="118"/>
      <c r="F101" s="118"/>
    </row>
    <row r="102" spans="1:6" ht="20.25">
      <c r="A102" s="114">
        <f t="shared" si="1"/>
        <v>103</v>
      </c>
      <c r="B102" s="118" t="s">
        <v>419</v>
      </c>
      <c r="C102" s="118">
        <v>14.85</v>
      </c>
      <c r="D102" s="118">
        <v>14.85</v>
      </c>
      <c r="E102" s="118"/>
      <c r="F102" s="118"/>
    </row>
    <row r="103" spans="1:6" ht="20.25">
      <c r="A103" s="114">
        <f t="shared" si="1"/>
        <v>102</v>
      </c>
      <c r="B103" s="118" t="s">
        <v>420</v>
      </c>
      <c r="C103" s="118">
        <v>15.22</v>
      </c>
      <c r="D103" s="118">
        <v>15.22</v>
      </c>
      <c r="E103" s="118"/>
      <c r="F103" s="118"/>
    </row>
    <row r="104" spans="1:6" ht="20.25">
      <c r="A104" s="114">
        <f t="shared" si="1"/>
        <v>101</v>
      </c>
      <c r="B104" s="118" t="s">
        <v>421</v>
      </c>
      <c r="C104" s="118">
        <v>14.86</v>
      </c>
      <c r="D104" s="118">
        <v>14.86</v>
      </c>
      <c r="E104" s="118"/>
      <c r="F104" s="118"/>
    </row>
    <row r="105" spans="1:6" ht="20.25">
      <c r="A105" s="114">
        <f t="shared" si="1"/>
        <v>100</v>
      </c>
      <c r="B105" s="118" t="s">
        <v>422</v>
      </c>
      <c r="C105" s="118">
        <v>15.03</v>
      </c>
      <c r="D105" s="118">
        <v>15.03</v>
      </c>
      <c r="E105" s="118"/>
      <c r="F105" s="118"/>
    </row>
    <row r="106" spans="1:6" ht="20.25">
      <c r="A106" s="114">
        <f t="shared" si="1"/>
        <v>99</v>
      </c>
      <c r="B106" s="118" t="s">
        <v>423</v>
      </c>
      <c r="C106" s="118">
        <v>14.78</v>
      </c>
      <c r="D106" s="118">
        <v>14.78</v>
      </c>
      <c r="E106" s="118"/>
      <c r="F106" s="118"/>
    </row>
    <row r="107" spans="1:6" ht="20.25">
      <c r="A107" s="114">
        <f t="shared" si="1"/>
        <v>98</v>
      </c>
      <c r="B107" s="118" t="s">
        <v>424</v>
      </c>
      <c r="C107" s="118">
        <v>14.2</v>
      </c>
      <c r="D107" s="118">
        <v>14.2</v>
      </c>
      <c r="E107" s="118"/>
      <c r="F107" s="118"/>
    </row>
    <row r="108" spans="1:6" ht="20.25">
      <c r="A108" s="114">
        <f t="shared" si="1"/>
        <v>97</v>
      </c>
      <c r="B108" s="118" t="s">
        <v>425</v>
      </c>
      <c r="C108" s="118">
        <v>14.43</v>
      </c>
      <c r="D108" s="118">
        <v>14.43</v>
      </c>
      <c r="E108" s="118"/>
      <c r="F108" s="118"/>
    </row>
    <row r="109" spans="1:6" ht="20.25">
      <c r="A109" s="114">
        <f t="shared" si="1"/>
        <v>96</v>
      </c>
      <c r="B109" s="118" t="s">
        <v>426</v>
      </c>
      <c r="C109" s="118">
        <v>14.35</v>
      </c>
      <c r="D109" s="118">
        <v>14.35</v>
      </c>
      <c r="E109" s="118"/>
      <c r="F109" s="118"/>
    </row>
    <row r="110" spans="1:6" ht="20.25">
      <c r="A110" s="114">
        <f t="shared" si="1"/>
        <v>95</v>
      </c>
      <c r="B110" s="118" t="s">
        <v>427</v>
      </c>
      <c r="C110" s="118">
        <v>14.52</v>
      </c>
      <c r="D110" s="118">
        <v>14.52</v>
      </c>
      <c r="E110" s="118"/>
      <c r="F110" s="118"/>
    </row>
    <row r="111" spans="1:6" ht="20.25">
      <c r="A111" s="114">
        <f t="shared" si="1"/>
        <v>94</v>
      </c>
      <c r="B111" s="118" t="s">
        <v>428</v>
      </c>
      <c r="C111" s="118">
        <v>14.62</v>
      </c>
      <c r="D111" s="118">
        <v>14.62</v>
      </c>
      <c r="E111" s="118"/>
      <c r="F111" s="118"/>
    </row>
    <row r="112" spans="1:6" ht="20.25">
      <c r="A112" s="114">
        <f t="shared" si="1"/>
        <v>93</v>
      </c>
      <c r="B112" s="118" t="s">
        <v>429</v>
      </c>
      <c r="C112" s="118">
        <v>15.44</v>
      </c>
      <c r="D112" s="118">
        <v>15.44</v>
      </c>
      <c r="E112" s="118"/>
      <c r="F112" s="118"/>
    </row>
    <row r="113" spans="1:6" ht="20.25">
      <c r="A113" s="114">
        <f t="shared" si="1"/>
        <v>92</v>
      </c>
      <c r="B113" s="117">
        <v>43440</v>
      </c>
      <c r="C113" s="118">
        <v>15.08</v>
      </c>
      <c r="D113" s="118">
        <v>15.08</v>
      </c>
      <c r="E113" s="118"/>
      <c r="F113" s="118"/>
    </row>
    <row r="114" spans="1:6" ht="20.25">
      <c r="A114" s="114">
        <f t="shared" si="1"/>
        <v>91</v>
      </c>
      <c r="B114" s="117">
        <v>43410</v>
      </c>
      <c r="C114" s="118">
        <v>15.7</v>
      </c>
      <c r="D114" s="118">
        <v>15.7</v>
      </c>
      <c r="E114" s="118"/>
      <c r="F114" s="118"/>
    </row>
    <row r="115" spans="1:6" ht="20.25">
      <c r="A115" s="114">
        <f t="shared" si="1"/>
        <v>90</v>
      </c>
      <c r="B115" s="117">
        <v>43318</v>
      </c>
      <c r="C115" s="118">
        <v>15.78</v>
      </c>
      <c r="D115" s="118">
        <v>15.78</v>
      </c>
      <c r="E115" s="118"/>
      <c r="F115" s="118"/>
    </row>
    <row r="116" spans="1:6" ht="20.25">
      <c r="A116" s="114">
        <f t="shared" si="1"/>
        <v>89</v>
      </c>
      <c r="B116" s="117">
        <v>43287</v>
      </c>
      <c r="C116" s="118">
        <v>16.14</v>
      </c>
      <c r="D116" s="118">
        <v>16.14</v>
      </c>
      <c r="E116" s="118"/>
      <c r="F116" s="118"/>
    </row>
    <row r="117" spans="1:6" ht="20.25">
      <c r="A117" s="114">
        <f t="shared" si="1"/>
        <v>88</v>
      </c>
      <c r="B117" s="117">
        <v>43257</v>
      </c>
      <c r="C117" s="118">
        <v>15.7</v>
      </c>
      <c r="D117" s="118">
        <v>15.7</v>
      </c>
      <c r="E117" s="118"/>
      <c r="F117" s="118"/>
    </row>
    <row r="118" spans="1:6" ht="20.25">
      <c r="A118" s="114">
        <f t="shared" si="1"/>
        <v>87</v>
      </c>
      <c r="B118" s="117">
        <v>43226</v>
      </c>
      <c r="C118" s="118">
        <v>16.350000000000001</v>
      </c>
      <c r="D118" s="118">
        <v>16.350000000000001</v>
      </c>
      <c r="E118" s="118"/>
      <c r="F118" s="118"/>
    </row>
    <row r="119" spans="1:6" ht="20.25">
      <c r="A119" s="114">
        <f t="shared" si="1"/>
        <v>86</v>
      </c>
      <c r="B119" s="117">
        <v>43196</v>
      </c>
      <c r="C119" s="118">
        <v>15.28</v>
      </c>
      <c r="D119" s="118">
        <v>15.28</v>
      </c>
      <c r="E119" s="118"/>
      <c r="F119" s="118"/>
    </row>
    <row r="120" spans="1:6" ht="20.25">
      <c r="A120" s="114">
        <f t="shared" si="1"/>
        <v>85</v>
      </c>
      <c r="B120" s="117">
        <v>43106</v>
      </c>
      <c r="C120" s="118">
        <v>14.9</v>
      </c>
      <c r="D120" s="118">
        <v>14.9</v>
      </c>
      <c r="E120" s="118"/>
      <c r="F120" s="118"/>
    </row>
    <row r="121" spans="1:6" ht="20.25">
      <c r="A121" s="114">
        <f t="shared" si="1"/>
        <v>84</v>
      </c>
      <c r="B121" s="118" t="s">
        <v>430</v>
      </c>
      <c r="C121" s="118">
        <v>15.4</v>
      </c>
      <c r="D121" s="118">
        <v>15.4</v>
      </c>
      <c r="E121" s="118"/>
      <c r="F121" s="118"/>
    </row>
    <row r="122" spans="1:6" ht="20.25">
      <c r="A122" s="114">
        <f t="shared" si="1"/>
        <v>83</v>
      </c>
      <c r="B122" s="118" t="s">
        <v>431</v>
      </c>
      <c r="C122" s="118">
        <v>16.25</v>
      </c>
      <c r="D122" s="118">
        <v>16.25</v>
      </c>
      <c r="E122" s="118"/>
      <c r="F122" s="118"/>
    </row>
    <row r="123" spans="1:6" ht="20.25">
      <c r="A123" s="114">
        <f t="shared" si="1"/>
        <v>82</v>
      </c>
      <c r="B123" s="118" t="s">
        <v>432</v>
      </c>
      <c r="C123" s="118">
        <v>15.89</v>
      </c>
      <c r="D123" s="118">
        <v>15.89</v>
      </c>
      <c r="E123" s="118"/>
      <c r="F123" s="118"/>
    </row>
    <row r="124" spans="1:6" ht="20.25">
      <c r="A124" s="114">
        <f t="shared" si="1"/>
        <v>81</v>
      </c>
      <c r="B124" s="118" t="s">
        <v>433</v>
      </c>
      <c r="C124" s="118">
        <v>16.23</v>
      </c>
      <c r="D124" s="118">
        <v>16.23</v>
      </c>
      <c r="E124" s="118"/>
      <c r="F124" s="118"/>
    </row>
    <row r="125" spans="1:6" ht="20.25">
      <c r="A125" s="114">
        <f t="shared" si="1"/>
        <v>80</v>
      </c>
      <c r="B125" s="118" t="s">
        <v>434</v>
      </c>
      <c r="C125" s="118">
        <v>15.81</v>
      </c>
      <c r="D125" s="118">
        <v>15.81</v>
      </c>
      <c r="E125" s="118"/>
      <c r="F125" s="118"/>
    </row>
    <row r="126" spans="1:6" ht="20.25">
      <c r="A126" s="114">
        <f t="shared" si="1"/>
        <v>79</v>
      </c>
      <c r="B126" s="118" t="s">
        <v>435</v>
      </c>
      <c r="C126" s="118">
        <v>15.88</v>
      </c>
      <c r="D126" s="118">
        <v>15.88</v>
      </c>
      <c r="E126" s="118"/>
      <c r="F126" s="118"/>
    </row>
    <row r="127" spans="1:6" ht="20.25">
      <c r="A127" s="114">
        <f t="shared" si="1"/>
        <v>78</v>
      </c>
      <c r="B127" s="118" t="s">
        <v>436</v>
      </c>
      <c r="C127" s="118">
        <v>15.2</v>
      </c>
      <c r="D127" s="118">
        <v>15.2</v>
      </c>
      <c r="E127" s="118"/>
      <c r="F127" s="118"/>
    </row>
    <row r="128" spans="1:6" ht="20.25">
      <c r="A128" s="114">
        <f t="shared" si="1"/>
        <v>77</v>
      </c>
      <c r="B128" s="118" t="s">
        <v>437</v>
      </c>
      <c r="C128" s="118">
        <v>15.05</v>
      </c>
      <c r="D128" s="118">
        <v>15.05</v>
      </c>
      <c r="E128" s="118"/>
      <c r="F128" s="118"/>
    </row>
    <row r="129" spans="1:6" ht="20.25">
      <c r="A129" s="114">
        <f t="shared" si="1"/>
        <v>76</v>
      </c>
      <c r="B129" s="118" t="s">
        <v>438</v>
      </c>
      <c r="C129" s="118">
        <v>14.7</v>
      </c>
      <c r="D129" s="118">
        <v>14.7</v>
      </c>
      <c r="E129" s="118"/>
      <c r="F129" s="118"/>
    </row>
    <row r="130" spans="1:6" ht="20.25">
      <c r="A130" s="114">
        <f t="shared" si="1"/>
        <v>75</v>
      </c>
      <c r="B130" s="118" t="s">
        <v>439</v>
      </c>
      <c r="C130" s="118">
        <v>14.2</v>
      </c>
      <c r="D130" s="118">
        <v>14.2</v>
      </c>
      <c r="E130" s="118"/>
      <c r="F130" s="118"/>
    </row>
    <row r="131" spans="1:6" ht="20.25">
      <c r="A131" s="114">
        <f t="shared" si="1"/>
        <v>74</v>
      </c>
      <c r="B131" s="117">
        <v>43348</v>
      </c>
      <c r="C131" s="118">
        <v>13.92</v>
      </c>
      <c r="D131" s="118">
        <v>13.92</v>
      </c>
      <c r="E131" s="118"/>
      <c r="F131" s="118"/>
    </row>
    <row r="132" spans="1:6" ht="20.25">
      <c r="A132" s="114">
        <f t="shared" ref="A132:A195" si="2">A131-1</f>
        <v>73</v>
      </c>
      <c r="B132" s="117">
        <v>43317</v>
      </c>
      <c r="C132" s="118">
        <v>13.51</v>
      </c>
      <c r="D132" s="118">
        <v>13.51</v>
      </c>
      <c r="E132" s="118"/>
      <c r="F132" s="118"/>
    </row>
    <row r="133" spans="1:6" ht="20.25">
      <c r="A133" s="114">
        <f t="shared" si="2"/>
        <v>72</v>
      </c>
      <c r="B133" s="117">
        <v>43195</v>
      </c>
      <c r="C133" s="118">
        <v>12.78</v>
      </c>
      <c r="D133" s="118">
        <v>12.78</v>
      </c>
      <c r="E133" s="118"/>
      <c r="F133" s="118"/>
    </row>
    <row r="134" spans="1:6" ht="20.25">
      <c r="A134" s="114">
        <f t="shared" si="2"/>
        <v>71</v>
      </c>
      <c r="B134" s="117">
        <v>43164</v>
      </c>
      <c r="C134" s="118">
        <v>12.77</v>
      </c>
      <c r="D134" s="118">
        <v>12.77</v>
      </c>
      <c r="E134" s="118"/>
      <c r="F134" s="118"/>
    </row>
    <row r="135" spans="1:6" ht="20.25">
      <c r="A135" s="114">
        <f t="shared" si="2"/>
        <v>70</v>
      </c>
      <c r="B135" s="118" t="s">
        <v>440</v>
      </c>
      <c r="C135" s="118">
        <v>13.35</v>
      </c>
      <c r="D135" s="118">
        <v>13.35</v>
      </c>
      <c r="E135" s="118"/>
      <c r="F135" s="118"/>
    </row>
    <row r="136" spans="1:6" ht="20.25">
      <c r="A136" s="114">
        <f t="shared" si="2"/>
        <v>69</v>
      </c>
      <c r="B136" s="118" t="s">
        <v>441</v>
      </c>
      <c r="C136" s="118">
        <v>13.28</v>
      </c>
      <c r="D136" s="118">
        <v>13.28</v>
      </c>
      <c r="E136" s="118"/>
      <c r="F136" s="118"/>
    </row>
    <row r="137" spans="1:6" ht="20.25">
      <c r="A137" s="114">
        <f t="shared" si="2"/>
        <v>68</v>
      </c>
      <c r="B137" s="118" t="s">
        <v>442</v>
      </c>
      <c r="C137" s="118">
        <v>13.39</v>
      </c>
      <c r="D137" s="118">
        <v>13.39</v>
      </c>
      <c r="E137" s="118"/>
      <c r="F137" s="118"/>
    </row>
    <row r="138" spans="1:6" ht="20.25">
      <c r="A138" s="114">
        <f t="shared" si="2"/>
        <v>67</v>
      </c>
      <c r="B138" s="118" t="s">
        <v>443</v>
      </c>
      <c r="C138" s="118">
        <v>13.09</v>
      </c>
      <c r="D138" s="118">
        <v>13.09</v>
      </c>
      <c r="E138" s="118"/>
      <c r="F138" s="118"/>
    </row>
    <row r="139" spans="1:6" ht="20.25">
      <c r="A139" s="114">
        <f t="shared" si="2"/>
        <v>66</v>
      </c>
      <c r="B139" s="118" t="s">
        <v>444</v>
      </c>
      <c r="C139" s="118">
        <v>12.73</v>
      </c>
      <c r="D139" s="118">
        <v>12.73</v>
      </c>
      <c r="E139" s="118"/>
      <c r="F139" s="118"/>
    </row>
    <row r="140" spans="1:6" ht="20.25">
      <c r="A140" s="114">
        <f t="shared" si="2"/>
        <v>65</v>
      </c>
      <c r="B140" s="118" t="s">
        <v>445</v>
      </c>
      <c r="C140" s="118">
        <v>12.75</v>
      </c>
      <c r="D140" s="118">
        <v>12.75</v>
      </c>
      <c r="E140" s="118"/>
      <c r="F140" s="118"/>
    </row>
    <row r="141" spans="1:6" ht="20.25">
      <c r="A141" s="114">
        <f t="shared" si="2"/>
        <v>64</v>
      </c>
      <c r="B141" s="118" t="s">
        <v>446</v>
      </c>
      <c r="C141" s="118">
        <v>13.05</v>
      </c>
      <c r="D141" s="118">
        <v>13.05</v>
      </c>
      <c r="E141" s="118"/>
      <c r="F141" s="118"/>
    </row>
    <row r="142" spans="1:6" ht="20.25">
      <c r="A142" s="114">
        <f t="shared" si="2"/>
        <v>63</v>
      </c>
      <c r="B142" s="118" t="s">
        <v>447</v>
      </c>
      <c r="C142" s="118">
        <v>13.99</v>
      </c>
      <c r="D142" s="118">
        <v>13.99</v>
      </c>
      <c r="E142" s="118"/>
      <c r="F142" s="118"/>
    </row>
    <row r="143" spans="1:6" ht="20.25">
      <c r="A143" s="114">
        <f t="shared" si="2"/>
        <v>62</v>
      </c>
      <c r="B143" s="118" t="s">
        <v>448</v>
      </c>
      <c r="C143" s="118">
        <v>13.82</v>
      </c>
      <c r="D143" s="118">
        <v>13.82</v>
      </c>
      <c r="E143" s="118"/>
      <c r="F143" s="118"/>
    </row>
    <row r="144" spans="1:6" ht="20.25">
      <c r="A144" s="114">
        <f t="shared" si="2"/>
        <v>61</v>
      </c>
      <c r="B144" s="118" t="s">
        <v>449</v>
      </c>
      <c r="C144" s="118">
        <v>13.84</v>
      </c>
      <c r="D144" s="118">
        <v>13.84</v>
      </c>
      <c r="E144" s="118"/>
      <c r="F144" s="118"/>
    </row>
    <row r="145" spans="1:6" ht="20.25">
      <c r="A145" s="114">
        <f t="shared" si="2"/>
        <v>60</v>
      </c>
      <c r="B145" s="118" t="s">
        <v>450</v>
      </c>
      <c r="C145" s="118">
        <v>13.8</v>
      </c>
      <c r="D145" s="118">
        <v>13.8</v>
      </c>
      <c r="E145" s="118"/>
      <c r="F145" s="118"/>
    </row>
    <row r="146" spans="1:6" ht="20.25">
      <c r="A146" s="114">
        <f t="shared" si="2"/>
        <v>59</v>
      </c>
      <c r="B146" s="117">
        <v>43438</v>
      </c>
      <c r="C146" s="118">
        <v>13.15</v>
      </c>
      <c r="D146" s="118">
        <v>13.15</v>
      </c>
      <c r="E146" s="118"/>
      <c r="F146" s="118"/>
    </row>
    <row r="147" spans="1:6" ht="20.25">
      <c r="A147" s="114">
        <f t="shared" si="2"/>
        <v>58</v>
      </c>
      <c r="B147" s="117">
        <v>43408</v>
      </c>
      <c r="C147" s="118">
        <v>13.55</v>
      </c>
      <c r="D147" s="118">
        <v>13.55</v>
      </c>
      <c r="E147" s="118"/>
      <c r="F147" s="118"/>
    </row>
    <row r="148" spans="1:6" ht="20.25">
      <c r="A148" s="114">
        <f t="shared" si="2"/>
        <v>57</v>
      </c>
      <c r="B148" s="117">
        <v>43377</v>
      </c>
      <c r="C148" s="118">
        <v>13.1</v>
      </c>
      <c r="D148" s="118">
        <v>13.1</v>
      </c>
      <c r="E148" s="118"/>
      <c r="F148" s="118"/>
    </row>
    <row r="149" spans="1:6" ht="20.25">
      <c r="A149" s="114">
        <f t="shared" si="2"/>
        <v>56</v>
      </c>
      <c r="B149" s="117">
        <v>43347</v>
      </c>
      <c r="C149" s="118">
        <v>12.96</v>
      </c>
      <c r="D149" s="118">
        <v>12.96</v>
      </c>
      <c r="E149" s="118"/>
      <c r="F149" s="118"/>
    </row>
    <row r="150" spans="1:6" ht="20.25">
      <c r="A150" s="114">
        <f t="shared" si="2"/>
        <v>55</v>
      </c>
      <c r="B150" s="117">
        <v>43255</v>
      </c>
      <c r="C150" s="118">
        <v>12.68</v>
      </c>
      <c r="D150" s="118">
        <v>12.68</v>
      </c>
      <c r="E150" s="118"/>
      <c r="F150" s="118"/>
    </row>
    <row r="151" spans="1:6" ht="20.25">
      <c r="A151" s="114">
        <f t="shared" si="2"/>
        <v>54</v>
      </c>
      <c r="B151" s="117">
        <v>43224</v>
      </c>
      <c r="C151" s="118">
        <v>12.65</v>
      </c>
      <c r="D151" s="118">
        <v>12.65</v>
      </c>
      <c r="E151" s="118"/>
      <c r="F151" s="118"/>
    </row>
    <row r="152" spans="1:6" ht="20.25">
      <c r="A152" s="114">
        <f t="shared" si="2"/>
        <v>53</v>
      </c>
      <c r="B152" s="117">
        <v>43163</v>
      </c>
      <c r="C152" s="118">
        <v>12.9</v>
      </c>
      <c r="D152" s="118">
        <v>12.9</v>
      </c>
      <c r="E152" s="118"/>
      <c r="F152" s="118"/>
    </row>
    <row r="153" spans="1:6" ht="20.25">
      <c r="A153" s="114">
        <f t="shared" si="2"/>
        <v>52</v>
      </c>
      <c r="B153" s="118" t="s">
        <v>451</v>
      </c>
      <c r="C153" s="118">
        <v>14.05</v>
      </c>
      <c r="D153" s="118">
        <v>14.05</v>
      </c>
      <c r="E153" s="118"/>
      <c r="F153" s="118"/>
    </row>
    <row r="154" spans="1:6" ht="20.25">
      <c r="A154" s="114">
        <f t="shared" si="2"/>
        <v>51</v>
      </c>
      <c r="B154" s="118" t="s">
        <v>452</v>
      </c>
      <c r="C154" s="118">
        <v>13.26</v>
      </c>
      <c r="D154" s="118">
        <v>13.26</v>
      </c>
      <c r="E154" s="118"/>
      <c r="F154" s="118"/>
    </row>
    <row r="155" spans="1:6" ht="20.25">
      <c r="A155" s="114">
        <f t="shared" si="2"/>
        <v>50</v>
      </c>
      <c r="B155" s="118" t="s">
        <v>453</v>
      </c>
      <c r="C155" s="118">
        <v>12.8</v>
      </c>
      <c r="D155" s="118">
        <v>12.8</v>
      </c>
      <c r="E155" s="118"/>
      <c r="F155" s="118"/>
    </row>
    <row r="156" spans="1:6" ht="20.25">
      <c r="A156" s="114">
        <f t="shared" si="2"/>
        <v>49</v>
      </c>
      <c r="B156" s="118" t="s">
        <v>454</v>
      </c>
      <c r="C156" s="118">
        <v>12.37</v>
      </c>
      <c r="D156" s="118">
        <v>12.37</v>
      </c>
      <c r="E156" s="118"/>
      <c r="F156" s="118"/>
    </row>
    <row r="157" spans="1:6" ht="20.25">
      <c r="A157" s="114">
        <f t="shared" si="2"/>
        <v>48</v>
      </c>
      <c r="B157" s="118" t="s">
        <v>455</v>
      </c>
      <c r="C157" s="118">
        <v>12.54</v>
      </c>
      <c r="D157" s="118">
        <v>12.54</v>
      </c>
      <c r="E157" s="118"/>
      <c r="F157" s="118"/>
    </row>
    <row r="158" spans="1:6" ht="20.25">
      <c r="A158" s="114">
        <f t="shared" si="2"/>
        <v>47</v>
      </c>
      <c r="B158" s="118" t="s">
        <v>456</v>
      </c>
      <c r="C158" s="118">
        <v>11.17</v>
      </c>
      <c r="D158" s="118">
        <v>11.17</v>
      </c>
      <c r="E158" s="118"/>
      <c r="F158" s="118"/>
    </row>
    <row r="159" spans="1:6" ht="20.25">
      <c r="A159" s="114">
        <f t="shared" si="2"/>
        <v>46</v>
      </c>
      <c r="B159" s="118" t="s">
        <v>457</v>
      </c>
      <c r="C159" s="118">
        <v>10.96</v>
      </c>
      <c r="D159" s="118">
        <v>10.96</v>
      </c>
      <c r="E159" s="118"/>
      <c r="F159" s="118"/>
    </row>
    <row r="160" spans="1:6" ht="20.25">
      <c r="A160" s="114">
        <f t="shared" si="2"/>
        <v>45</v>
      </c>
      <c r="B160" s="118" t="s">
        <v>458</v>
      </c>
      <c r="C160" s="118">
        <v>10.97</v>
      </c>
      <c r="D160" s="118">
        <v>10.97</v>
      </c>
      <c r="E160" s="118"/>
      <c r="F160" s="118"/>
    </row>
    <row r="161" spans="1:6" ht="20.25">
      <c r="A161" s="114">
        <f t="shared" si="2"/>
        <v>44</v>
      </c>
      <c r="B161" s="118" t="s">
        <v>459</v>
      </c>
      <c r="C161" s="118">
        <v>11.09</v>
      </c>
      <c r="D161" s="118">
        <v>11.09</v>
      </c>
      <c r="E161" s="118"/>
      <c r="F161" s="118"/>
    </row>
    <row r="162" spans="1:6" ht="20.25">
      <c r="A162" s="114">
        <f t="shared" si="2"/>
        <v>43</v>
      </c>
      <c r="B162" s="118" t="s">
        <v>460</v>
      </c>
      <c r="C162" s="118">
        <v>11.25</v>
      </c>
      <c r="D162" s="118">
        <v>11.25</v>
      </c>
      <c r="E162" s="118"/>
      <c r="F162" s="118"/>
    </row>
    <row r="163" spans="1:6" ht="20.25">
      <c r="A163" s="114">
        <f t="shared" si="2"/>
        <v>42</v>
      </c>
      <c r="B163" s="118" t="s">
        <v>461</v>
      </c>
      <c r="C163" s="118">
        <v>11.03</v>
      </c>
      <c r="D163" s="118">
        <v>11.03</v>
      </c>
      <c r="E163" s="118"/>
      <c r="F163" s="118"/>
    </row>
    <row r="164" spans="1:6" ht="20.25">
      <c r="A164" s="114">
        <f t="shared" si="2"/>
        <v>41</v>
      </c>
      <c r="B164" s="117">
        <v>43437</v>
      </c>
      <c r="C164" s="118">
        <v>11.32</v>
      </c>
      <c r="D164" s="118">
        <v>11.32</v>
      </c>
      <c r="E164" s="118"/>
      <c r="F164" s="118"/>
    </row>
    <row r="165" spans="1:6" ht="20.25">
      <c r="A165" s="114">
        <f t="shared" si="2"/>
        <v>40</v>
      </c>
      <c r="B165" s="117">
        <v>43346</v>
      </c>
      <c r="C165" s="118">
        <v>11.1</v>
      </c>
      <c r="D165" s="118">
        <v>11.1</v>
      </c>
      <c r="E165" s="118"/>
      <c r="F165" s="118"/>
    </row>
    <row r="166" spans="1:6" ht="20.25">
      <c r="A166" s="114">
        <f t="shared" si="2"/>
        <v>39</v>
      </c>
      <c r="B166" s="117">
        <v>43315</v>
      </c>
      <c r="C166" s="118">
        <v>10.77</v>
      </c>
      <c r="D166" s="118">
        <v>10.77</v>
      </c>
      <c r="E166" s="118"/>
      <c r="F166" s="118"/>
    </row>
    <row r="167" spans="1:6" ht="20.25">
      <c r="A167" s="114">
        <f t="shared" si="2"/>
        <v>38</v>
      </c>
      <c r="B167" s="117">
        <v>43254</v>
      </c>
      <c r="C167" s="118">
        <v>10.28</v>
      </c>
      <c r="D167" s="118">
        <v>10.28</v>
      </c>
      <c r="E167" s="118"/>
      <c r="F167" s="118"/>
    </row>
    <row r="168" spans="1:6" ht="20.25">
      <c r="A168" s="114">
        <f t="shared" si="2"/>
        <v>37</v>
      </c>
      <c r="B168" s="117">
        <v>43223</v>
      </c>
      <c r="C168" s="118">
        <v>10.050000000000001</v>
      </c>
      <c r="D168" s="118">
        <v>10.050000000000001</v>
      </c>
      <c r="E168" s="118"/>
      <c r="F168" s="118"/>
    </row>
    <row r="169" spans="1:6" ht="20.25">
      <c r="A169" s="114">
        <f t="shared" si="2"/>
        <v>36</v>
      </c>
      <c r="B169" s="117">
        <v>43134</v>
      </c>
      <c r="C169" s="118">
        <v>9.89</v>
      </c>
      <c r="D169" s="118">
        <v>9.89</v>
      </c>
      <c r="E169" s="118"/>
      <c r="F169" s="118"/>
    </row>
    <row r="170" spans="1:6" ht="20.25">
      <c r="A170" s="114">
        <f t="shared" si="2"/>
        <v>35</v>
      </c>
      <c r="B170" s="117">
        <v>43103</v>
      </c>
      <c r="C170" s="118">
        <v>9.92</v>
      </c>
      <c r="D170" s="118">
        <v>9.92</v>
      </c>
      <c r="E170" s="118"/>
      <c r="F170" s="118"/>
    </row>
    <row r="171" spans="1:6" ht="20.25">
      <c r="A171" s="114">
        <f t="shared" si="2"/>
        <v>34</v>
      </c>
      <c r="B171" s="118" t="s">
        <v>462</v>
      </c>
      <c r="C171" s="118">
        <v>9.99</v>
      </c>
      <c r="D171" s="118">
        <v>9.99</v>
      </c>
      <c r="E171" s="118"/>
      <c r="F171" s="118"/>
    </row>
    <row r="172" spans="1:6" ht="20.25">
      <c r="A172" s="114">
        <f t="shared" si="2"/>
        <v>33</v>
      </c>
      <c r="B172" s="118" t="s">
        <v>463</v>
      </c>
      <c r="C172" s="118">
        <v>9.5399999999999991</v>
      </c>
      <c r="D172" s="118">
        <v>9.5399999999999991</v>
      </c>
      <c r="E172" s="118"/>
      <c r="F172" s="118"/>
    </row>
    <row r="173" spans="1:6" ht="20.25">
      <c r="A173" s="114">
        <f t="shared" si="2"/>
        <v>32</v>
      </c>
      <c r="B173" s="118" t="s">
        <v>464</v>
      </c>
      <c r="C173" s="118">
        <v>9.56</v>
      </c>
      <c r="D173" s="118">
        <v>9.56</v>
      </c>
      <c r="E173" s="118"/>
      <c r="F173" s="118"/>
    </row>
    <row r="174" spans="1:6" ht="20.25">
      <c r="A174" s="114">
        <f t="shared" si="2"/>
        <v>31</v>
      </c>
      <c r="B174" s="118" t="s">
        <v>465</v>
      </c>
      <c r="C174" s="118">
        <v>9.68</v>
      </c>
      <c r="D174" s="118">
        <v>9.68</v>
      </c>
      <c r="E174" s="118"/>
      <c r="F174" s="118"/>
    </row>
    <row r="175" spans="1:6" ht="20.25">
      <c r="A175" s="114">
        <f t="shared" si="2"/>
        <v>30</v>
      </c>
      <c r="B175" s="118" t="s">
        <v>466</v>
      </c>
      <c r="C175" s="118">
        <v>9.56</v>
      </c>
      <c r="D175" s="118">
        <v>9.56</v>
      </c>
      <c r="E175" s="118"/>
      <c r="F175" s="118"/>
    </row>
    <row r="176" spans="1:6" ht="20.25">
      <c r="A176" s="114">
        <f t="shared" si="2"/>
        <v>29</v>
      </c>
      <c r="B176" s="118" t="s">
        <v>467</v>
      </c>
      <c r="C176" s="118">
        <v>9.6999999999999993</v>
      </c>
      <c r="D176" s="118">
        <v>9.6999999999999993</v>
      </c>
      <c r="E176" s="118"/>
      <c r="F176" s="118"/>
    </row>
    <row r="177" spans="1:6" ht="20.25">
      <c r="A177" s="114">
        <f t="shared" si="2"/>
        <v>28</v>
      </c>
      <c r="B177" s="118" t="s">
        <v>468</v>
      </c>
      <c r="C177" s="118">
        <v>9.58</v>
      </c>
      <c r="D177" s="118">
        <v>9.58</v>
      </c>
      <c r="E177" s="118"/>
      <c r="F177" s="118"/>
    </row>
    <row r="178" spans="1:6" ht="20.25">
      <c r="A178" s="114">
        <f t="shared" si="2"/>
        <v>27</v>
      </c>
      <c r="B178" s="118" t="s">
        <v>469</v>
      </c>
      <c r="C178" s="118">
        <v>9.5299999999999994</v>
      </c>
      <c r="D178" s="118">
        <v>9.5299999999999994</v>
      </c>
      <c r="E178" s="118"/>
      <c r="F178" s="118"/>
    </row>
    <row r="179" spans="1:6" ht="20.25">
      <c r="A179" s="114">
        <f t="shared" si="2"/>
        <v>26</v>
      </c>
      <c r="B179" s="118" t="s">
        <v>470</v>
      </c>
      <c r="C179" s="118">
        <v>9.64</v>
      </c>
      <c r="D179" s="118">
        <v>9.64</v>
      </c>
      <c r="E179" s="118"/>
      <c r="F179" s="118"/>
    </row>
    <row r="180" spans="1:6" ht="20.25">
      <c r="A180" s="114">
        <f t="shared" si="2"/>
        <v>25</v>
      </c>
      <c r="B180" s="118" t="s">
        <v>471</v>
      </c>
      <c r="C180" s="118">
        <v>9.8800000000000008</v>
      </c>
      <c r="D180" s="118">
        <v>9.8800000000000008</v>
      </c>
      <c r="E180" s="118"/>
      <c r="F180" s="118"/>
    </row>
    <row r="181" spans="1:6" ht="20.25">
      <c r="A181" s="114">
        <f t="shared" si="2"/>
        <v>24</v>
      </c>
      <c r="B181" s="118" t="s">
        <v>472</v>
      </c>
      <c r="C181" s="118">
        <v>9.5299999999999994</v>
      </c>
      <c r="D181" s="118">
        <v>9.5299999999999994</v>
      </c>
      <c r="E181" s="118"/>
      <c r="F181" s="118"/>
    </row>
    <row r="182" spans="1:6" ht="20.25">
      <c r="A182" s="114">
        <f t="shared" si="2"/>
        <v>23</v>
      </c>
      <c r="B182" s="117">
        <v>43436</v>
      </c>
      <c r="C182" s="118">
        <v>9.08</v>
      </c>
      <c r="D182" s="118">
        <v>9.08</v>
      </c>
      <c r="E182" s="118"/>
      <c r="F182" s="118"/>
    </row>
    <row r="183" spans="1:6" ht="20.25">
      <c r="A183" s="114">
        <f t="shared" si="2"/>
        <v>22</v>
      </c>
      <c r="B183" s="117">
        <v>43345</v>
      </c>
      <c r="C183" s="118">
        <v>8.9700000000000006</v>
      </c>
      <c r="D183" s="118">
        <v>8.9700000000000006</v>
      </c>
      <c r="E183" s="118"/>
      <c r="F183" s="118"/>
    </row>
    <row r="184" spans="1:6" ht="20.25">
      <c r="A184" s="114">
        <f t="shared" si="2"/>
        <v>21</v>
      </c>
      <c r="B184" s="117">
        <v>43314</v>
      </c>
      <c r="C184" s="118">
        <v>8.93</v>
      </c>
      <c r="D184" s="118">
        <v>8.93</v>
      </c>
      <c r="E184" s="118"/>
      <c r="F184" s="118"/>
    </row>
    <row r="185" spans="1:6" ht="20.25">
      <c r="A185" s="114">
        <f t="shared" si="2"/>
        <v>20</v>
      </c>
      <c r="B185" s="117">
        <v>43253</v>
      </c>
      <c r="C185" s="118">
        <v>8.84</v>
      </c>
      <c r="D185" s="118">
        <v>8.84</v>
      </c>
      <c r="E185" s="118"/>
      <c r="F185" s="118"/>
    </row>
    <row r="186" spans="1:6" ht="20.25">
      <c r="A186" s="114">
        <f t="shared" si="2"/>
        <v>19</v>
      </c>
      <c r="B186" s="117">
        <v>43222</v>
      </c>
      <c r="C186" s="118">
        <v>8.66</v>
      </c>
      <c r="D186" s="118">
        <v>8.66</v>
      </c>
      <c r="E186" s="118"/>
      <c r="F186" s="118"/>
    </row>
    <row r="187" spans="1:6" ht="20.25">
      <c r="A187" s="114">
        <f t="shared" si="2"/>
        <v>18</v>
      </c>
      <c r="B187" s="117">
        <v>43133</v>
      </c>
      <c r="C187" s="118">
        <v>9.0399999999999991</v>
      </c>
      <c r="D187" s="118">
        <v>9.0399999999999991</v>
      </c>
      <c r="E187" s="118"/>
      <c r="F187" s="118"/>
    </row>
    <row r="188" spans="1:6" ht="20.25">
      <c r="A188" s="114">
        <f t="shared" si="2"/>
        <v>17</v>
      </c>
      <c r="B188" s="117">
        <v>43102</v>
      </c>
      <c r="C188" s="118">
        <v>9.3699999999999992</v>
      </c>
      <c r="D188" s="118">
        <v>9.3699999999999992</v>
      </c>
      <c r="E188" s="118"/>
      <c r="F188" s="118"/>
    </row>
    <row r="189" spans="1:6" ht="20.25">
      <c r="A189" s="114">
        <f t="shared" si="2"/>
        <v>16</v>
      </c>
      <c r="B189" s="118" t="s">
        <v>473</v>
      </c>
      <c r="C189" s="118">
        <v>8.7799999999999994</v>
      </c>
      <c r="D189" s="118">
        <v>8.7799999999999994</v>
      </c>
      <c r="E189" s="118"/>
      <c r="F189" s="118"/>
    </row>
    <row r="190" spans="1:6" ht="20.25">
      <c r="A190" s="114">
        <f t="shared" si="2"/>
        <v>15</v>
      </c>
      <c r="B190" s="118" t="s">
        <v>474</v>
      </c>
      <c r="C190" s="118">
        <v>8.86</v>
      </c>
      <c r="D190" s="118">
        <v>8.86</v>
      </c>
      <c r="E190" s="118"/>
      <c r="F190" s="118"/>
    </row>
    <row r="191" spans="1:6" ht="20.25">
      <c r="A191" s="114">
        <f t="shared" si="2"/>
        <v>14</v>
      </c>
      <c r="B191" s="118" t="s">
        <v>475</v>
      </c>
      <c r="C191" s="118">
        <v>9.06</v>
      </c>
      <c r="D191" s="118">
        <v>9.06</v>
      </c>
      <c r="E191" s="118"/>
      <c r="F191" s="118"/>
    </row>
    <row r="192" spans="1:6" ht="20.25">
      <c r="A192" s="114">
        <f t="shared" si="2"/>
        <v>13</v>
      </c>
      <c r="B192" s="118" t="s">
        <v>476</v>
      </c>
      <c r="C192" s="118">
        <v>9.02</v>
      </c>
      <c r="D192" s="118">
        <v>9.02</v>
      </c>
      <c r="E192" s="118"/>
      <c r="F192" s="118"/>
    </row>
    <row r="193" spans="1:6" ht="20.25">
      <c r="A193" s="114">
        <f t="shared" si="2"/>
        <v>12</v>
      </c>
      <c r="B193" s="118" t="s">
        <v>477</v>
      </c>
      <c r="C193" s="118">
        <v>9.34</v>
      </c>
      <c r="D193" s="118">
        <v>9.34</v>
      </c>
      <c r="E193" s="118"/>
      <c r="F193" s="118"/>
    </row>
    <row r="194" spans="1:6" ht="20.25">
      <c r="A194" s="114">
        <f t="shared" si="2"/>
        <v>11</v>
      </c>
      <c r="B194" s="118" t="s">
        <v>478</v>
      </c>
      <c r="C194" s="118">
        <v>8.8800000000000008</v>
      </c>
      <c r="D194" s="118">
        <v>8.8800000000000008</v>
      </c>
      <c r="E194" s="118"/>
      <c r="F194" s="118"/>
    </row>
    <row r="195" spans="1:6" ht="20.25">
      <c r="A195" s="114">
        <f t="shared" si="2"/>
        <v>10</v>
      </c>
      <c r="B195" s="118" t="s">
        <v>479</v>
      </c>
      <c r="C195" s="118">
        <v>8.6999999999999993</v>
      </c>
      <c r="D195" s="118">
        <v>8.6999999999999993</v>
      </c>
      <c r="E195" s="118"/>
      <c r="F195" s="118"/>
    </row>
    <row r="196" spans="1:6" ht="20.25">
      <c r="A196" s="114">
        <f t="shared" ref="A196:A204" si="3">A195-1</f>
        <v>9</v>
      </c>
      <c r="B196" s="118" t="s">
        <v>480</v>
      </c>
      <c r="C196" s="118">
        <v>8.6</v>
      </c>
      <c r="D196" s="118">
        <v>8.6</v>
      </c>
      <c r="E196" s="118"/>
      <c r="F196" s="118"/>
    </row>
    <row r="197" spans="1:6" ht="20.25">
      <c r="A197" s="114">
        <f t="shared" si="3"/>
        <v>8</v>
      </c>
      <c r="B197" s="118" t="s">
        <v>481</v>
      </c>
      <c r="C197" s="118">
        <v>8.26</v>
      </c>
      <c r="D197" s="118">
        <v>8.26</v>
      </c>
      <c r="E197" s="118"/>
      <c r="F197" s="118"/>
    </row>
    <row r="198" spans="1:6" ht="20.25">
      <c r="A198" s="114">
        <f t="shared" si="3"/>
        <v>7</v>
      </c>
      <c r="B198" s="118" t="s">
        <v>482</v>
      </c>
      <c r="C198" s="118">
        <v>7.99</v>
      </c>
      <c r="D198" s="118">
        <v>7.99</v>
      </c>
      <c r="E198" s="118"/>
      <c r="F198" s="118"/>
    </row>
    <row r="199" spans="1:6" ht="20.25">
      <c r="A199" s="114">
        <f t="shared" si="3"/>
        <v>6</v>
      </c>
      <c r="B199" s="118" t="s">
        <v>483</v>
      </c>
      <c r="C199" s="118">
        <v>7.77</v>
      </c>
      <c r="D199" s="118">
        <v>7.77</v>
      </c>
      <c r="E199" s="118"/>
      <c r="F199" s="118"/>
    </row>
    <row r="200" spans="1:6" ht="20.25">
      <c r="A200" s="114">
        <f t="shared" si="3"/>
        <v>5</v>
      </c>
      <c r="B200" s="118" t="s">
        <v>484</v>
      </c>
      <c r="C200" s="118">
        <v>7.72</v>
      </c>
      <c r="D200" s="118">
        <v>7.72</v>
      </c>
      <c r="E200" s="118"/>
      <c r="F200" s="118"/>
    </row>
    <row r="201" spans="1:6" ht="20.25">
      <c r="A201" s="114">
        <f t="shared" si="3"/>
        <v>4</v>
      </c>
      <c r="B201" s="117">
        <v>43435</v>
      </c>
      <c r="C201" s="118">
        <v>7.79</v>
      </c>
      <c r="D201" s="118">
        <v>7.79</v>
      </c>
      <c r="E201" s="118"/>
      <c r="F201" s="118"/>
    </row>
    <row r="202" spans="1:6" ht="20.25">
      <c r="A202" s="114">
        <f t="shared" si="3"/>
        <v>3</v>
      </c>
      <c r="B202" s="117">
        <v>43405</v>
      </c>
      <c r="C202" s="118">
        <v>7.89</v>
      </c>
      <c r="D202" s="118">
        <v>7.89</v>
      </c>
      <c r="E202" s="118"/>
      <c r="F202" s="118"/>
    </row>
    <row r="203" spans="1:6" ht="20.25">
      <c r="A203" s="114">
        <f t="shared" si="3"/>
        <v>2</v>
      </c>
      <c r="B203" s="117">
        <v>43344</v>
      </c>
      <c r="C203" s="118">
        <v>7.68</v>
      </c>
      <c r="D203" s="118">
        <v>7.68</v>
      </c>
      <c r="E203" s="118"/>
      <c r="F203" s="118"/>
    </row>
    <row r="204" spans="1:6" ht="20.25">
      <c r="A204" s="114">
        <f t="shared" si="3"/>
        <v>1</v>
      </c>
      <c r="B204" s="117">
        <v>43313</v>
      </c>
      <c r="C204" s="118">
        <v>7.83</v>
      </c>
      <c r="D204" s="118">
        <v>7.83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17</vt:i4>
      </vt:variant>
      <vt:variant>
        <vt:lpstr>Benannte Bereiche</vt:lpstr>
      </vt:variant>
      <vt:variant>
        <vt:i4>12</vt:i4>
      </vt:variant>
    </vt:vector>
  </HeadingPairs>
  <TitlesOfParts>
    <vt:vector size="29" baseType="lpstr">
      <vt:lpstr>Assumptions</vt:lpstr>
      <vt:lpstr>SA</vt:lpstr>
      <vt:lpstr>Comp_processes</vt:lpstr>
      <vt:lpstr>Matlab_input</vt:lpstr>
      <vt:lpstr>Gerdemann et al.</vt:lpstr>
      <vt:lpstr>Sanna et al. </vt:lpstr>
      <vt:lpstr>Nazmul Hassan et.al., Romeo, </vt:lpstr>
      <vt:lpstr>Kim et al.</vt:lpstr>
      <vt:lpstr>Timmerhaus 1991</vt:lpstr>
      <vt:lpstr>CHEPCI &amp; Location factors</vt:lpstr>
      <vt:lpstr>Opex CemCap</vt:lpstr>
      <vt:lpstr>Capex-Cemcap</vt:lpstr>
      <vt:lpstr>Capex-Sinott et al.</vt:lpstr>
      <vt:lpstr>VDI-Wärmeatlas</vt:lpstr>
      <vt:lpstr>Input Hesam</vt:lpstr>
      <vt:lpstr>Felder et al. &amp; NIST</vt:lpstr>
      <vt:lpstr>ETS</vt:lpstr>
      <vt:lpstr>'Timmerhaus 1991'!C_1</vt:lpstr>
      <vt:lpstr>'Timmerhaus 1991'!Cone_crushers_purchased_cost</vt:lpstr>
      <vt:lpstr>'Gerdemann et al.'!Default_Dataset__1</vt:lpstr>
      <vt:lpstr>'Timmerhaus 1991'!Default_Dataset__1</vt:lpstr>
      <vt:lpstr>'Gerdemann et al.'!Default_Dataset__1__1</vt:lpstr>
      <vt:lpstr>'Gerdemann et al.'!Default_Dataset__1__2</vt:lpstr>
      <vt:lpstr>'Gerdemann et al.'!Default_Dataset__2</vt:lpstr>
      <vt:lpstr>'Gerdemann et al.'!Default_Dataset__2__1</vt:lpstr>
      <vt:lpstr>'Gerdemann et al.'!Default_Dataset__3</vt:lpstr>
      <vt:lpstr>'Timmerhaus 1991'!jaw_crushers_purchased_cost_timmerhaus</vt:lpstr>
      <vt:lpstr>'Timmerhaus 1991'!purchased_cost_ball_mill___tonnes_per_day_timmerhaus</vt:lpstr>
      <vt:lpstr>'VDI-Wärmeatlas'!viscosity_water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Strunge, Till</cp:lastModifiedBy>
  <dcterms:created xsi:type="dcterms:W3CDTF">2018-05-21T13:50:32Z</dcterms:created>
  <dcterms:modified xsi:type="dcterms:W3CDTF">2022-06-16T15:53:19Z</dcterms:modified>
</cp:coreProperties>
</file>