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tsuch/VSCode/python/lapyuta/sensitivity/LAPYUTA/"/>
    </mc:Choice>
  </mc:AlternateContent>
  <xr:revisionPtr revIDLastSave="0" documentId="8_{2D4B9BEC-83ED-0747-B568-557C82D8BF19}" xr6:coauthVersionLast="47" xr6:coauthVersionMax="47" xr10:uidLastSave="{00000000-0000-0000-0000-000000000000}"/>
  <bookViews>
    <workbookView xWindow="5920" yWindow="29560" windowWidth="25600" windowHeight="14400" firstSheet="19" activeTab="19" xr2:uid="{00000000-000D-0000-FFFF-FFFF00000000}"/>
  </bookViews>
  <sheets>
    <sheet name="WSO-UV_WUVS_122nm" sheetId="8" r:id="rId1"/>
    <sheet name="WSO-UV_WUVS_check" sheetId="2" r:id="rId2"/>
    <sheet name="WSO-UV_WUVS_130nm" sheetId="3" r:id="rId3"/>
    <sheet name="WSO-UV_UVSPEX_10h" sheetId="4" r:id="rId4"/>
    <sheet name="WSO-UV_UVSPEX_50h" sheetId="5" r:id="rId5"/>
    <sheet name="Detectable_range" sheetId="6" r:id="rId6"/>
    <sheet name="WSO-UV_normal_Ly-alpha_bg" sheetId="7" r:id="rId7"/>
    <sheet name="WSO-UV_funnel_Ly-alpha_bg" sheetId="9" r:id="rId8"/>
    <sheet name="WSO-UV_funnel_Ly-alpha_jupiter" sheetId="11" r:id="rId9"/>
    <sheet name="data_rate" sheetId="10" r:id="rId10"/>
    <sheet name="WSO-UV_130nm_high" sheetId="12" r:id="rId11"/>
    <sheet name="WSO-UV_130nm_nature" sheetId="13" r:id="rId12"/>
    <sheet name="WSO-UV_130nm_nominal" sheetId="14" r:id="rId13"/>
    <sheet name="WSO-UV_130nm_requirement" sheetId="16" r:id="rId14"/>
    <sheet name="WSO-UV_HST_oxygen_20201022" sheetId="15" r:id="rId15"/>
    <sheet name="LAPUTA_130nm_high" sheetId="17" r:id="rId16"/>
    <sheet name="photocoding_20220704" sheetId="23" r:id="rId17"/>
    <sheet name="ワースト_40cm" sheetId="24" r:id="rId18"/>
    <sheet name="LAPYUTA_目標値_常温成膜" sheetId="28" r:id="rId19"/>
    <sheet name="LAPYUTA_目標値" sheetId="18" r:id="rId20"/>
    <sheet name="ノミナル" sheetId="19" r:id="rId21"/>
    <sheet name="LAPYUTA_ベースライン_20230830" sheetId="29" r:id="rId22"/>
    <sheet name="UVSPEX_baseline" sheetId="26" r:id="rId23"/>
    <sheet name="HST" sheetId="27" r:id="rId24"/>
    <sheet name="Comparison" sheetId="25" r:id="rId25"/>
    <sheet name="LAPYUTA_Ly-alpha_bg" sheetId="22" r:id="rId26"/>
    <sheet name="LAPYUTA_test" sheetId="30" r:id="rId27"/>
    <sheet name="Summary" sheetId="20" r:id="rId28"/>
    <sheet name="LAPYUTA_ベースライン_20240328" sheetId="31" r:id="rId29"/>
    <sheet name="LAPYUTA_for_stellar_20240830" sheetId="32" r:id="rId30"/>
    <sheet name="LAPYUTA_Ly-alpha_bg (2)" sheetId="33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33" l="1"/>
  <c r="E50" i="33" s="1"/>
  <c r="B50" i="33"/>
  <c r="D50" i="33" s="1"/>
  <c r="F50" i="33" s="1"/>
  <c r="E49" i="33"/>
  <c r="C49" i="33"/>
  <c r="B49" i="33"/>
  <c r="D49" i="33" s="1"/>
  <c r="F49" i="33" s="1"/>
  <c r="C48" i="33"/>
  <c r="E48" i="33" s="1"/>
  <c r="B48" i="33"/>
  <c r="D48" i="33" s="1"/>
  <c r="F48" i="33" s="1"/>
  <c r="B52" i="33"/>
  <c r="D52" i="33" s="1"/>
  <c r="B53" i="33"/>
  <c r="D53" i="33" s="1"/>
  <c r="B54" i="33"/>
  <c r="D54" i="33" s="1"/>
  <c r="B55" i="33"/>
  <c r="D55" i="33" s="1"/>
  <c r="B51" i="33"/>
  <c r="D51" i="33" s="1"/>
  <c r="C38" i="33"/>
  <c r="C39" i="33"/>
  <c r="C20" i="33"/>
  <c r="C43" i="33"/>
  <c r="F38" i="33"/>
  <c r="F39" i="33" s="1"/>
  <c r="D38" i="33"/>
  <c r="D39" i="33" s="1"/>
  <c r="F21" i="33"/>
  <c r="E21" i="33"/>
  <c r="D21" i="33"/>
  <c r="C21" i="33"/>
  <c r="F20" i="33"/>
  <c r="E20" i="33"/>
  <c r="D20" i="33"/>
  <c r="F14" i="33"/>
  <c r="E14" i="33"/>
  <c r="D14" i="33"/>
  <c r="C14" i="33"/>
  <c r="I12" i="33"/>
  <c r="C12" i="32"/>
  <c r="C17" i="32" s="1"/>
  <c r="C19" i="32" s="1"/>
  <c r="I193" i="32"/>
  <c r="B193" i="32"/>
  <c r="I192" i="32"/>
  <c r="B192" i="32"/>
  <c r="I191" i="32"/>
  <c r="B191" i="32"/>
  <c r="I190" i="32"/>
  <c r="B190" i="32"/>
  <c r="I189" i="32"/>
  <c r="B189" i="32"/>
  <c r="I188" i="32"/>
  <c r="B188" i="32"/>
  <c r="I187" i="32"/>
  <c r="B187" i="32"/>
  <c r="I186" i="32"/>
  <c r="B186" i="32"/>
  <c r="I185" i="32"/>
  <c r="B185" i="32"/>
  <c r="I184" i="32"/>
  <c r="B184" i="32"/>
  <c r="I183" i="32"/>
  <c r="B183" i="32"/>
  <c r="I182" i="32"/>
  <c r="B182" i="32"/>
  <c r="I181" i="32"/>
  <c r="B181" i="32"/>
  <c r="I180" i="32"/>
  <c r="B180" i="32"/>
  <c r="I179" i="32"/>
  <c r="B179" i="32"/>
  <c r="I178" i="32"/>
  <c r="B178" i="32"/>
  <c r="I177" i="32"/>
  <c r="B177" i="32"/>
  <c r="I176" i="32"/>
  <c r="B176" i="32"/>
  <c r="I175" i="32"/>
  <c r="B175" i="32"/>
  <c r="I174" i="32"/>
  <c r="B174" i="32"/>
  <c r="I173" i="32"/>
  <c r="B173" i="32"/>
  <c r="I172" i="32"/>
  <c r="B172" i="32"/>
  <c r="I171" i="32"/>
  <c r="B171" i="32"/>
  <c r="I170" i="32"/>
  <c r="B170" i="32"/>
  <c r="I169" i="32"/>
  <c r="B169" i="32"/>
  <c r="I168" i="32"/>
  <c r="B168" i="32"/>
  <c r="I167" i="32"/>
  <c r="B167" i="32"/>
  <c r="I166" i="32"/>
  <c r="B166" i="32"/>
  <c r="I165" i="32"/>
  <c r="B165" i="32"/>
  <c r="I164" i="32"/>
  <c r="B164" i="32"/>
  <c r="I163" i="32"/>
  <c r="B163" i="32"/>
  <c r="I162" i="32"/>
  <c r="B162" i="32"/>
  <c r="I161" i="32"/>
  <c r="B161" i="32"/>
  <c r="I160" i="32"/>
  <c r="B160" i="32"/>
  <c r="I159" i="32"/>
  <c r="B159" i="32"/>
  <c r="I158" i="32"/>
  <c r="B158" i="32"/>
  <c r="I157" i="32"/>
  <c r="B157" i="32"/>
  <c r="I156" i="32"/>
  <c r="B156" i="32"/>
  <c r="I155" i="32"/>
  <c r="B155" i="32"/>
  <c r="I154" i="32"/>
  <c r="B154" i="32"/>
  <c r="I153" i="32"/>
  <c r="B153" i="32"/>
  <c r="I152" i="32"/>
  <c r="B152" i="32"/>
  <c r="I151" i="32"/>
  <c r="B151" i="32"/>
  <c r="I150" i="32"/>
  <c r="B150" i="32"/>
  <c r="I149" i="32"/>
  <c r="B149" i="32"/>
  <c r="I148" i="32"/>
  <c r="B148" i="32"/>
  <c r="I147" i="32"/>
  <c r="B147" i="32"/>
  <c r="I146" i="32"/>
  <c r="B146" i="32"/>
  <c r="I145" i="32"/>
  <c r="B145" i="32"/>
  <c r="I144" i="32"/>
  <c r="B144" i="32"/>
  <c r="I143" i="32"/>
  <c r="B143" i="32"/>
  <c r="I142" i="32"/>
  <c r="B142" i="32"/>
  <c r="I141" i="32"/>
  <c r="B141" i="32"/>
  <c r="I140" i="32"/>
  <c r="B140" i="32"/>
  <c r="I139" i="32"/>
  <c r="B139" i="32"/>
  <c r="I138" i="32"/>
  <c r="B138" i="32"/>
  <c r="I137" i="32"/>
  <c r="B137" i="32"/>
  <c r="I136" i="32"/>
  <c r="B136" i="32"/>
  <c r="I135" i="32"/>
  <c r="B135" i="32"/>
  <c r="I134" i="32"/>
  <c r="B134" i="32"/>
  <c r="I133" i="32"/>
  <c r="B133" i="32"/>
  <c r="I132" i="32"/>
  <c r="B132" i="32"/>
  <c r="I131" i="32"/>
  <c r="B131" i="32"/>
  <c r="I130" i="32"/>
  <c r="B130" i="32"/>
  <c r="I129" i="32"/>
  <c r="B129" i="32"/>
  <c r="I128" i="32"/>
  <c r="B128" i="32"/>
  <c r="I127" i="32"/>
  <c r="B127" i="32"/>
  <c r="I126" i="32"/>
  <c r="B126" i="32"/>
  <c r="I125" i="32"/>
  <c r="B125" i="32"/>
  <c r="I124" i="32"/>
  <c r="B124" i="32"/>
  <c r="I123" i="32"/>
  <c r="B123" i="32"/>
  <c r="I122" i="32"/>
  <c r="B122" i="32"/>
  <c r="I121" i="32"/>
  <c r="B121" i="32"/>
  <c r="I120" i="32"/>
  <c r="B120" i="32"/>
  <c r="I119" i="32"/>
  <c r="B119" i="32"/>
  <c r="I118" i="32"/>
  <c r="B118" i="32"/>
  <c r="I117" i="32"/>
  <c r="B117" i="32"/>
  <c r="I116" i="32"/>
  <c r="B116" i="32"/>
  <c r="I115" i="32"/>
  <c r="B115" i="32"/>
  <c r="I114" i="32"/>
  <c r="B114" i="32"/>
  <c r="I113" i="32"/>
  <c r="B113" i="32"/>
  <c r="I112" i="32"/>
  <c r="B112" i="32"/>
  <c r="I111" i="32"/>
  <c r="B111" i="32"/>
  <c r="I110" i="32"/>
  <c r="B110" i="32"/>
  <c r="I109" i="32"/>
  <c r="B109" i="32"/>
  <c r="I108" i="32"/>
  <c r="B108" i="32"/>
  <c r="I107" i="32"/>
  <c r="B107" i="32"/>
  <c r="E107" i="32" s="1"/>
  <c r="I106" i="32"/>
  <c r="B106" i="32"/>
  <c r="I105" i="32"/>
  <c r="B105" i="32"/>
  <c r="I104" i="32"/>
  <c r="B104" i="32"/>
  <c r="I103" i="32"/>
  <c r="B103" i="32"/>
  <c r="E103" i="32" s="1"/>
  <c r="I102" i="32"/>
  <c r="B102" i="32"/>
  <c r="I101" i="32"/>
  <c r="B101" i="32"/>
  <c r="I100" i="32"/>
  <c r="B100" i="32"/>
  <c r="I99" i="32"/>
  <c r="B99" i="32"/>
  <c r="E99" i="32" s="1"/>
  <c r="I98" i="32"/>
  <c r="B98" i="32"/>
  <c r="I97" i="32"/>
  <c r="B97" i="32"/>
  <c r="I96" i="32"/>
  <c r="B96" i="32"/>
  <c r="I95" i="32"/>
  <c r="B95" i="32"/>
  <c r="E95" i="32" s="1"/>
  <c r="I94" i="32"/>
  <c r="B94" i="32"/>
  <c r="I93" i="32"/>
  <c r="B93" i="32"/>
  <c r="I92" i="32"/>
  <c r="B92" i="32"/>
  <c r="I91" i="32"/>
  <c r="B91" i="32"/>
  <c r="I90" i="32"/>
  <c r="B90" i="32"/>
  <c r="I89" i="32"/>
  <c r="B89" i="32"/>
  <c r="I88" i="32"/>
  <c r="B88" i="32"/>
  <c r="I87" i="32"/>
  <c r="B87" i="32"/>
  <c r="I86" i="32"/>
  <c r="B86" i="32"/>
  <c r="I85" i="32"/>
  <c r="B85" i="32"/>
  <c r="I84" i="32"/>
  <c r="B84" i="32"/>
  <c r="I83" i="32"/>
  <c r="B83" i="32"/>
  <c r="I82" i="32"/>
  <c r="B82" i="32"/>
  <c r="I81" i="32"/>
  <c r="B81" i="32"/>
  <c r="I80" i="32"/>
  <c r="B80" i="32"/>
  <c r="I79" i="32"/>
  <c r="B79" i="32"/>
  <c r="I78" i="32"/>
  <c r="B78" i="32"/>
  <c r="I77" i="32"/>
  <c r="B77" i="32"/>
  <c r="I76" i="32"/>
  <c r="B76" i="32"/>
  <c r="I75" i="32"/>
  <c r="B75" i="32"/>
  <c r="I74" i="32"/>
  <c r="B74" i="32"/>
  <c r="I73" i="32"/>
  <c r="B73" i="32"/>
  <c r="I72" i="32"/>
  <c r="B72" i="32"/>
  <c r="I71" i="32"/>
  <c r="B71" i="32"/>
  <c r="E71" i="32" s="1"/>
  <c r="I70" i="32"/>
  <c r="B70" i="32"/>
  <c r="I69" i="32"/>
  <c r="B69" i="32"/>
  <c r="I68" i="32"/>
  <c r="B68" i="32"/>
  <c r="I67" i="32"/>
  <c r="B67" i="32"/>
  <c r="I66" i="32"/>
  <c r="B66" i="32"/>
  <c r="I65" i="32"/>
  <c r="B65" i="32"/>
  <c r="E65" i="32" s="1"/>
  <c r="I64" i="32"/>
  <c r="B64" i="32"/>
  <c r="I63" i="32"/>
  <c r="B63" i="32"/>
  <c r="I62" i="32"/>
  <c r="B62" i="32"/>
  <c r="I61" i="32"/>
  <c r="B61" i="32"/>
  <c r="I60" i="32"/>
  <c r="B60" i="32"/>
  <c r="I59" i="32"/>
  <c r="B59" i="32"/>
  <c r="I58" i="32"/>
  <c r="B58" i="32"/>
  <c r="I57" i="32"/>
  <c r="B57" i="32"/>
  <c r="I56" i="32"/>
  <c r="B56" i="32"/>
  <c r="I55" i="32"/>
  <c r="B55" i="32"/>
  <c r="I54" i="32"/>
  <c r="B54" i="32"/>
  <c r="I53" i="32"/>
  <c r="B53" i="32"/>
  <c r="I52" i="32"/>
  <c r="B52" i="32"/>
  <c r="I51" i="32"/>
  <c r="B51" i="32"/>
  <c r="I50" i="32"/>
  <c r="B50" i="32"/>
  <c r="I49" i="32"/>
  <c r="B49" i="32"/>
  <c r="I48" i="32"/>
  <c r="B48" i="32"/>
  <c r="I47" i="32"/>
  <c r="B47" i="32"/>
  <c r="E47" i="32" s="1"/>
  <c r="I46" i="32"/>
  <c r="B46" i="32"/>
  <c r="I45" i="32"/>
  <c r="B45" i="32"/>
  <c r="E45" i="32" s="1"/>
  <c r="I44" i="32"/>
  <c r="B44" i="32"/>
  <c r="I43" i="32"/>
  <c r="B43" i="32"/>
  <c r="I42" i="32"/>
  <c r="B42" i="32"/>
  <c r="I41" i="32"/>
  <c r="B41" i="32"/>
  <c r="I40" i="32"/>
  <c r="B40" i="32"/>
  <c r="I39" i="32"/>
  <c r="B39" i="32"/>
  <c r="I38" i="32"/>
  <c r="B38" i="32"/>
  <c r="I37" i="32"/>
  <c r="B37" i="32"/>
  <c r="I36" i="32"/>
  <c r="B36" i="32"/>
  <c r="I35" i="32"/>
  <c r="B35" i="32"/>
  <c r="I34" i="32"/>
  <c r="B34" i="32"/>
  <c r="I33" i="32"/>
  <c r="B33" i="32"/>
  <c r="I32" i="32"/>
  <c r="B32" i="32"/>
  <c r="I31" i="32"/>
  <c r="B31" i="32"/>
  <c r="I30" i="32"/>
  <c r="B30" i="32"/>
  <c r="I29" i="32"/>
  <c r="B29" i="32"/>
  <c r="I28" i="32"/>
  <c r="B28" i="32"/>
  <c r="I27" i="32"/>
  <c r="B27" i="32"/>
  <c r="I26" i="32"/>
  <c r="B26" i="32"/>
  <c r="E26" i="32" s="1"/>
  <c r="I25" i="32"/>
  <c r="B25" i="32"/>
  <c r="I24" i="32"/>
  <c r="B24" i="32"/>
  <c r="I23" i="32"/>
  <c r="B23" i="32"/>
  <c r="C31" i="22"/>
  <c r="F44" i="33" l="1"/>
  <c r="C44" i="33"/>
  <c r="C22" i="33"/>
  <c r="F31" i="33"/>
  <c r="C40" i="33"/>
  <c r="D44" i="33"/>
  <c r="C31" i="33"/>
  <c r="C34" i="33"/>
  <c r="C23" i="33"/>
  <c r="C25" i="33" s="1"/>
  <c r="D31" i="33"/>
  <c r="E31" i="33"/>
  <c r="G31" i="33"/>
  <c r="G20" i="33"/>
  <c r="F47" i="32"/>
  <c r="F71" i="32"/>
  <c r="F95" i="32"/>
  <c r="F99" i="32"/>
  <c r="F103" i="32"/>
  <c r="F107" i="32"/>
  <c r="F45" i="32"/>
  <c r="F65" i="32"/>
  <c r="F26" i="32"/>
  <c r="G50" i="32"/>
  <c r="H50" i="32" s="1"/>
  <c r="G58" i="32"/>
  <c r="H58" i="32" s="1"/>
  <c r="C23" i="32"/>
  <c r="D23" i="32" s="1"/>
  <c r="G39" i="32"/>
  <c r="H39" i="32" s="1"/>
  <c r="C55" i="32"/>
  <c r="D55" i="32" s="1"/>
  <c r="C63" i="32"/>
  <c r="D63" i="32" s="1"/>
  <c r="C79" i="32"/>
  <c r="D79" i="32" s="1"/>
  <c r="G193" i="32"/>
  <c r="H193" i="32" s="1"/>
  <c r="G181" i="32"/>
  <c r="H181" i="32" s="1"/>
  <c r="G165" i="32"/>
  <c r="H165" i="32" s="1"/>
  <c r="G119" i="32"/>
  <c r="H119" i="32" s="1"/>
  <c r="G24" i="32"/>
  <c r="H24" i="32" s="1"/>
  <c r="G190" i="32"/>
  <c r="H190" i="32" s="1"/>
  <c r="G174" i="32"/>
  <c r="H174" i="32" s="1"/>
  <c r="G158" i="32"/>
  <c r="H158" i="32" s="1"/>
  <c r="G156" i="32"/>
  <c r="H156" i="32" s="1"/>
  <c r="G154" i="32"/>
  <c r="H154" i="32" s="1"/>
  <c r="G185" i="32"/>
  <c r="H185" i="32" s="1"/>
  <c r="G169" i="32"/>
  <c r="H169" i="32" s="1"/>
  <c r="G178" i="32"/>
  <c r="H178" i="32" s="1"/>
  <c r="G162" i="32"/>
  <c r="H162" i="32" s="1"/>
  <c r="G189" i="32"/>
  <c r="H189" i="32" s="1"/>
  <c r="G173" i="32"/>
  <c r="H173" i="32" s="1"/>
  <c r="G157" i="32"/>
  <c r="H157" i="32" s="1"/>
  <c r="G153" i="32"/>
  <c r="H153" i="32" s="1"/>
  <c r="G149" i="32"/>
  <c r="H149" i="32" s="1"/>
  <c r="G145" i="32"/>
  <c r="H145" i="32" s="1"/>
  <c r="G141" i="32"/>
  <c r="H141" i="32" s="1"/>
  <c r="G182" i="32"/>
  <c r="H182" i="32" s="1"/>
  <c r="G166" i="32"/>
  <c r="H166" i="32" s="1"/>
  <c r="G137" i="32"/>
  <c r="H137" i="32" s="1"/>
  <c r="G130" i="32"/>
  <c r="H130" i="32" s="1"/>
  <c r="G118" i="32"/>
  <c r="H118" i="32" s="1"/>
  <c r="G170" i="32"/>
  <c r="H170" i="32" s="1"/>
  <c r="G177" i="32"/>
  <c r="H177" i="32" s="1"/>
  <c r="G161" i="32"/>
  <c r="H161" i="32" s="1"/>
  <c r="G128" i="32"/>
  <c r="H128" i="32" s="1"/>
  <c r="G121" i="32"/>
  <c r="H121" i="32" s="1"/>
  <c r="G110" i="32"/>
  <c r="H110" i="32" s="1"/>
  <c r="G186" i="32"/>
  <c r="H186" i="32" s="1"/>
  <c r="G126" i="32"/>
  <c r="H126" i="32" s="1"/>
  <c r="G113" i="32"/>
  <c r="H113" i="32" s="1"/>
  <c r="G132" i="32"/>
  <c r="H132" i="32" s="1"/>
  <c r="G93" i="32"/>
  <c r="H93" i="32" s="1"/>
  <c r="G73" i="32"/>
  <c r="H73" i="32" s="1"/>
  <c r="G59" i="32"/>
  <c r="H59" i="32" s="1"/>
  <c r="G150" i="32"/>
  <c r="H150" i="32" s="1"/>
  <c r="G134" i="32"/>
  <c r="H134" i="32" s="1"/>
  <c r="G108" i="32"/>
  <c r="H108" i="32" s="1"/>
  <c r="G104" i="32"/>
  <c r="H104" i="32" s="1"/>
  <c r="G100" i="32"/>
  <c r="H100" i="32" s="1"/>
  <c r="G65" i="32"/>
  <c r="H65" i="32" s="1"/>
  <c r="G51" i="32"/>
  <c r="H51" i="32" s="1"/>
  <c r="G31" i="32"/>
  <c r="H31" i="32" s="1"/>
  <c r="G57" i="32"/>
  <c r="H57" i="32" s="1"/>
  <c r="G43" i="32"/>
  <c r="H43" i="32" s="1"/>
  <c r="G23" i="32"/>
  <c r="H23" i="32" s="1"/>
  <c r="G68" i="32"/>
  <c r="H68" i="32" s="1"/>
  <c r="G35" i="32"/>
  <c r="H35" i="32" s="1"/>
  <c r="G96" i="32"/>
  <c r="H96" i="32" s="1"/>
  <c r="G89" i="32"/>
  <c r="H89" i="32" s="1"/>
  <c r="G82" i="32"/>
  <c r="H82" i="32" s="1"/>
  <c r="G49" i="32"/>
  <c r="H49" i="32" s="1"/>
  <c r="G41" i="32"/>
  <c r="H41" i="32" s="1"/>
  <c r="G27" i="32"/>
  <c r="H27" i="32" s="1"/>
  <c r="G146" i="32"/>
  <c r="H146" i="32" s="1"/>
  <c r="G112" i="32"/>
  <c r="H112" i="32" s="1"/>
  <c r="G79" i="32"/>
  <c r="H79" i="32" s="1"/>
  <c r="G74" i="32"/>
  <c r="H74" i="32" s="1"/>
  <c r="G152" i="32"/>
  <c r="H152" i="32" s="1"/>
  <c r="G92" i="32"/>
  <c r="H92" i="32" s="1"/>
  <c r="G71" i="32"/>
  <c r="H71" i="32" s="1"/>
  <c r="G66" i="32"/>
  <c r="H66" i="32" s="1"/>
  <c r="G60" i="32"/>
  <c r="H60" i="32" s="1"/>
  <c r="G142" i="32"/>
  <c r="H142" i="32" s="1"/>
  <c r="G83" i="32"/>
  <c r="H83" i="32" s="1"/>
  <c r="G33" i="32"/>
  <c r="H33" i="32" s="1"/>
  <c r="G148" i="32"/>
  <c r="H148" i="32" s="1"/>
  <c r="G125" i="32"/>
  <c r="H125" i="32" s="1"/>
  <c r="G111" i="32"/>
  <c r="H111" i="32" s="1"/>
  <c r="G105" i="32"/>
  <c r="H105" i="32" s="1"/>
  <c r="G101" i="32"/>
  <c r="H101" i="32" s="1"/>
  <c r="G97" i="32"/>
  <c r="H97" i="32" s="1"/>
  <c r="G88" i="32"/>
  <c r="H88" i="32" s="1"/>
  <c r="G75" i="32"/>
  <c r="H75" i="32" s="1"/>
  <c r="G25" i="32"/>
  <c r="H25" i="32" s="1"/>
  <c r="G138" i="32"/>
  <c r="H138" i="32" s="1"/>
  <c r="G120" i="32"/>
  <c r="H120" i="32" s="1"/>
  <c r="G81" i="32"/>
  <c r="H81" i="32" s="1"/>
  <c r="G67" i="32"/>
  <c r="H67" i="32" s="1"/>
  <c r="G36" i="32"/>
  <c r="H36" i="32" s="1"/>
  <c r="G44" i="32"/>
  <c r="H44" i="32" s="1"/>
  <c r="G116" i="32"/>
  <c r="H116" i="32" s="1"/>
  <c r="C53" i="32"/>
  <c r="D53" i="32" s="1"/>
  <c r="C105" i="32"/>
  <c r="D105" i="32" s="1"/>
  <c r="C101" i="32"/>
  <c r="D101" i="32" s="1"/>
  <c r="C80" i="32"/>
  <c r="D80" i="32" s="1"/>
  <c r="C75" i="32"/>
  <c r="D75" i="32" s="1"/>
  <c r="C93" i="32"/>
  <c r="D93" i="32" s="1"/>
  <c r="C72" i="32"/>
  <c r="D72" i="32" s="1"/>
  <c r="C67" i="32"/>
  <c r="D67" i="32" s="1"/>
  <c r="C56" i="32"/>
  <c r="D56" i="32" s="1"/>
  <c r="C64" i="32"/>
  <c r="D64" i="32" s="1"/>
  <c r="C106" i="32"/>
  <c r="D106" i="32" s="1"/>
  <c r="C89" i="32"/>
  <c r="D89" i="32" s="1"/>
  <c r="C51" i="32"/>
  <c r="D51" i="32" s="1"/>
  <c r="C43" i="32"/>
  <c r="D43" i="32" s="1"/>
  <c r="C31" i="32"/>
  <c r="D31" i="32" s="1"/>
  <c r="C70" i="32"/>
  <c r="D70" i="32" s="1"/>
  <c r="C48" i="32"/>
  <c r="D48" i="32" s="1"/>
  <c r="C40" i="32"/>
  <c r="D40" i="32" s="1"/>
  <c r="C35" i="32"/>
  <c r="D35" i="32" s="1"/>
  <c r="C27" i="32"/>
  <c r="D27" i="32" s="1"/>
  <c r="C37" i="32"/>
  <c r="D37" i="32" s="1"/>
  <c r="C32" i="32"/>
  <c r="D32" i="32" s="1"/>
  <c r="C97" i="32"/>
  <c r="D97" i="32" s="1"/>
  <c r="C90" i="32"/>
  <c r="D90" i="32" s="1"/>
  <c r="C83" i="32"/>
  <c r="D83" i="32" s="1"/>
  <c r="C77" i="32"/>
  <c r="D77" i="32" s="1"/>
  <c r="C71" i="32"/>
  <c r="D71" i="32" s="1"/>
  <c r="C46" i="32"/>
  <c r="D46" i="32" s="1"/>
  <c r="C24" i="32"/>
  <c r="D24" i="32" s="1"/>
  <c r="C59" i="32"/>
  <c r="D59" i="32" s="1"/>
  <c r="C28" i="32"/>
  <c r="D28" i="32" s="1"/>
  <c r="E28" i="32"/>
  <c r="F28" i="32" s="1"/>
  <c r="E31" i="32"/>
  <c r="F31" i="32" s="1"/>
  <c r="C42" i="32"/>
  <c r="D42" i="32" s="1"/>
  <c r="E27" i="32"/>
  <c r="F27" i="32" s="1"/>
  <c r="G32" i="32"/>
  <c r="H32" i="32" s="1"/>
  <c r="E33" i="32"/>
  <c r="F33" i="32" s="1"/>
  <c r="G42" i="32"/>
  <c r="H42" i="32" s="1"/>
  <c r="G47" i="32"/>
  <c r="H47" i="32" s="1"/>
  <c r="C49" i="32"/>
  <c r="D49" i="32" s="1"/>
  <c r="C52" i="32"/>
  <c r="D52" i="32" s="1"/>
  <c r="E52" i="32"/>
  <c r="F52" i="32" s="1"/>
  <c r="E54" i="32"/>
  <c r="F54" i="32" s="1"/>
  <c r="G54" i="32"/>
  <c r="H54" i="32" s="1"/>
  <c r="E55" i="32"/>
  <c r="F55" i="32" s="1"/>
  <c r="E58" i="32"/>
  <c r="F58" i="32" s="1"/>
  <c r="C66" i="32"/>
  <c r="D66" i="32" s="1"/>
  <c r="E69" i="32"/>
  <c r="F69" i="32" s="1"/>
  <c r="E72" i="32"/>
  <c r="F72" i="32" s="1"/>
  <c r="G85" i="32"/>
  <c r="H85" i="32" s="1"/>
  <c r="E88" i="32"/>
  <c r="F88" i="32" s="1"/>
  <c r="C92" i="32"/>
  <c r="D92" i="32" s="1"/>
  <c r="C148" i="32"/>
  <c r="D148" i="32" s="1"/>
  <c r="G29" i="32"/>
  <c r="H29" i="32" s="1"/>
  <c r="E35" i="32"/>
  <c r="F35" i="32" s="1"/>
  <c r="G40" i="32"/>
  <c r="H40" i="32" s="1"/>
  <c r="E41" i="32"/>
  <c r="F41" i="32" s="1"/>
  <c r="C54" i="32"/>
  <c r="D54" i="32" s="1"/>
  <c r="G55" i="32"/>
  <c r="H55" i="32" s="1"/>
  <c r="C57" i="32"/>
  <c r="D57" i="32" s="1"/>
  <c r="C60" i="32"/>
  <c r="D60" i="32" s="1"/>
  <c r="E60" i="32"/>
  <c r="F60" i="32" s="1"/>
  <c r="E62" i="32"/>
  <c r="F62" i="32" s="1"/>
  <c r="G62" i="32"/>
  <c r="H62" i="32" s="1"/>
  <c r="E63" i="32"/>
  <c r="F63" i="32" s="1"/>
  <c r="E66" i="32"/>
  <c r="F66" i="32" s="1"/>
  <c r="C74" i="32"/>
  <c r="D74" i="32" s="1"/>
  <c r="E77" i="32"/>
  <c r="F77" i="32" s="1"/>
  <c r="E80" i="32"/>
  <c r="F80" i="32" s="1"/>
  <c r="C85" i="32"/>
  <c r="D85" i="32" s="1"/>
  <c r="G87" i="32"/>
  <c r="H87" i="32" s="1"/>
  <c r="E90" i="32"/>
  <c r="F90" i="32" s="1"/>
  <c r="G94" i="32"/>
  <c r="H94" i="32" s="1"/>
  <c r="C114" i="32"/>
  <c r="D114" i="32" s="1"/>
  <c r="G114" i="32"/>
  <c r="H114" i="32" s="1"/>
  <c r="E116" i="32"/>
  <c r="F116" i="32" s="1"/>
  <c r="G133" i="32"/>
  <c r="H133" i="32" s="1"/>
  <c r="E24" i="32"/>
  <c r="F24" i="32" s="1"/>
  <c r="C29" i="32"/>
  <c r="D29" i="32" s="1"/>
  <c r="G37" i="32"/>
  <c r="H37" i="32" s="1"/>
  <c r="E43" i="32"/>
  <c r="F43" i="32" s="1"/>
  <c r="G48" i="32"/>
  <c r="H48" i="32" s="1"/>
  <c r="E49" i="32"/>
  <c r="F49" i="32" s="1"/>
  <c r="G52" i="32"/>
  <c r="H52" i="32" s="1"/>
  <c r="C62" i="32"/>
  <c r="D62" i="32" s="1"/>
  <c r="G63" i="32"/>
  <c r="H63" i="32" s="1"/>
  <c r="C65" i="32"/>
  <c r="D65" i="32" s="1"/>
  <c r="C68" i="32"/>
  <c r="D68" i="32" s="1"/>
  <c r="E68" i="32"/>
  <c r="F68" i="32" s="1"/>
  <c r="E70" i="32"/>
  <c r="F70" i="32" s="1"/>
  <c r="G70" i="32"/>
  <c r="H70" i="32" s="1"/>
  <c r="E74" i="32"/>
  <c r="F74" i="32" s="1"/>
  <c r="C82" i="32"/>
  <c r="D82" i="32" s="1"/>
  <c r="E85" i="32"/>
  <c r="F85" i="32" s="1"/>
  <c r="C87" i="32"/>
  <c r="D87" i="32" s="1"/>
  <c r="E92" i="32"/>
  <c r="F92" i="32" s="1"/>
  <c r="C94" i="32"/>
  <c r="D94" i="32" s="1"/>
  <c r="C96" i="32"/>
  <c r="D96" i="32" s="1"/>
  <c r="E114" i="32"/>
  <c r="F114" i="32" s="1"/>
  <c r="E133" i="32"/>
  <c r="F133" i="32" s="1"/>
  <c r="C136" i="32"/>
  <c r="D136" i="32" s="1"/>
  <c r="G136" i="32"/>
  <c r="H136" i="32" s="1"/>
  <c r="E29" i="32"/>
  <c r="F29" i="32" s="1"/>
  <c r="G45" i="32"/>
  <c r="H45" i="32" s="1"/>
  <c r="G56" i="32"/>
  <c r="H56" i="32" s="1"/>
  <c r="E57" i="32"/>
  <c r="F57" i="32" s="1"/>
  <c r="C73" i="32"/>
  <c r="D73" i="32" s="1"/>
  <c r="C76" i="32"/>
  <c r="D76" i="32" s="1"/>
  <c r="E76" i="32"/>
  <c r="F76" i="32" s="1"/>
  <c r="E78" i="32"/>
  <c r="F78" i="32" s="1"/>
  <c r="G78" i="32"/>
  <c r="H78" i="32" s="1"/>
  <c r="E79" i="32"/>
  <c r="F79" i="32" s="1"/>
  <c r="E82" i="32"/>
  <c r="F82" i="32" s="1"/>
  <c r="G91" i="32"/>
  <c r="H91" i="32" s="1"/>
  <c r="E94" i="32"/>
  <c r="F94" i="32" s="1"/>
  <c r="G98" i="32"/>
  <c r="H98" i="32" s="1"/>
  <c r="E98" i="32"/>
  <c r="F98" i="32" s="1"/>
  <c r="C100" i="32"/>
  <c r="D100" i="32" s="1"/>
  <c r="E102" i="32"/>
  <c r="F102" i="32" s="1"/>
  <c r="G102" i="32"/>
  <c r="H102" i="32" s="1"/>
  <c r="C104" i="32"/>
  <c r="D104" i="32" s="1"/>
  <c r="E106" i="32"/>
  <c r="F106" i="32" s="1"/>
  <c r="G106" i="32"/>
  <c r="H106" i="32" s="1"/>
  <c r="C108" i="32"/>
  <c r="D108" i="32" s="1"/>
  <c r="E119" i="32"/>
  <c r="F119" i="32" s="1"/>
  <c r="C124" i="32"/>
  <c r="D124" i="32" s="1"/>
  <c r="G124" i="32"/>
  <c r="H124" i="32" s="1"/>
  <c r="C129" i="32"/>
  <c r="D129" i="32" s="1"/>
  <c r="E136" i="32"/>
  <c r="F136" i="32" s="1"/>
  <c r="C39" i="32"/>
  <c r="D39" i="32" s="1"/>
  <c r="G64" i="32"/>
  <c r="H64" i="32" s="1"/>
  <c r="C78" i="32"/>
  <c r="D78" i="32" s="1"/>
  <c r="C81" i="32"/>
  <c r="D81" i="32" s="1"/>
  <c r="C84" i="32"/>
  <c r="D84" i="32" s="1"/>
  <c r="E84" i="32"/>
  <c r="F84" i="32" s="1"/>
  <c r="E86" i="32"/>
  <c r="F86" i="32" s="1"/>
  <c r="G86" i="32"/>
  <c r="H86" i="32" s="1"/>
  <c r="E87" i="32"/>
  <c r="F87" i="32" s="1"/>
  <c r="C91" i="32"/>
  <c r="D91" i="32" s="1"/>
  <c r="E96" i="32"/>
  <c r="F96" i="32" s="1"/>
  <c r="C98" i="32"/>
  <c r="D98" i="32" s="1"/>
  <c r="C102" i="32"/>
  <c r="D102" i="32" s="1"/>
  <c r="E129" i="32"/>
  <c r="F129" i="32" s="1"/>
  <c r="E131" i="32"/>
  <c r="F131" i="32" s="1"/>
  <c r="C140" i="32"/>
  <c r="D140" i="32" s="1"/>
  <c r="E140" i="32"/>
  <c r="F140" i="32" s="1"/>
  <c r="E32" i="32"/>
  <c r="F32" i="32" s="1"/>
  <c r="E37" i="32"/>
  <c r="F37" i="32" s="1"/>
  <c r="C47" i="32"/>
  <c r="D47" i="32" s="1"/>
  <c r="E73" i="32"/>
  <c r="F73" i="32" s="1"/>
  <c r="G76" i="32"/>
  <c r="H76" i="32" s="1"/>
  <c r="C86" i="32"/>
  <c r="D86" i="32" s="1"/>
  <c r="E100" i="32"/>
  <c r="F100" i="32" s="1"/>
  <c r="E104" i="32"/>
  <c r="F104" i="32" s="1"/>
  <c r="E108" i="32"/>
  <c r="F108" i="32" s="1"/>
  <c r="C122" i="32"/>
  <c r="D122" i="32" s="1"/>
  <c r="G122" i="32"/>
  <c r="H122" i="32" s="1"/>
  <c r="E124" i="32"/>
  <c r="F124" i="32" s="1"/>
  <c r="G127" i="32"/>
  <c r="H127" i="32" s="1"/>
  <c r="G140" i="32"/>
  <c r="H140" i="32" s="1"/>
  <c r="C26" i="32"/>
  <c r="D26" i="32" s="1"/>
  <c r="E23" i="32"/>
  <c r="F23" i="32" s="1"/>
  <c r="C34" i="32"/>
  <c r="D34" i="32" s="1"/>
  <c r="E40" i="32"/>
  <c r="F40" i="32" s="1"/>
  <c r="C45" i="32"/>
  <c r="D45" i="32" s="1"/>
  <c r="C25" i="32"/>
  <c r="D25" i="32" s="1"/>
  <c r="G61" i="32"/>
  <c r="H61" i="32" s="1"/>
  <c r="G95" i="32"/>
  <c r="H95" i="32" s="1"/>
  <c r="C33" i="32"/>
  <c r="D33" i="32" s="1"/>
  <c r="G80" i="32"/>
  <c r="H80" i="32" s="1"/>
  <c r="E193" i="32"/>
  <c r="F193" i="32" s="1"/>
  <c r="E190" i="32"/>
  <c r="F190" i="32" s="1"/>
  <c r="E186" i="32"/>
  <c r="F186" i="32" s="1"/>
  <c r="E182" i="32"/>
  <c r="F182" i="32" s="1"/>
  <c r="E178" i="32"/>
  <c r="F178" i="32" s="1"/>
  <c r="E174" i="32"/>
  <c r="F174" i="32" s="1"/>
  <c r="E170" i="32"/>
  <c r="F170" i="32" s="1"/>
  <c r="E166" i="32"/>
  <c r="F166" i="32" s="1"/>
  <c r="E162" i="32"/>
  <c r="F162" i="32" s="1"/>
  <c r="E158" i="32"/>
  <c r="F158" i="32" s="1"/>
  <c r="E154" i="32"/>
  <c r="F154" i="32" s="1"/>
  <c r="E150" i="32"/>
  <c r="F150" i="32" s="1"/>
  <c r="E146" i="32"/>
  <c r="F146" i="32" s="1"/>
  <c r="E142" i="32"/>
  <c r="F142" i="32" s="1"/>
  <c r="E138" i="32"/>
  <c r="F138" i="32" s="1"/>
  <c r="E134" i="32"/>
  <c r="F134" i="32" s="1"/>
  <c r="E130" i="32"/>
  <c r="F130" i="32" s="1"/>
  <c r="E126" i="32"/>
  <c r="F126" i="32" s="1"/>
  <c r="E191" i="32"/>
  <c r="F191" i="32" s="1"/>
  <c r="E187" i="32"/>
  <c r="F187" i="32" s="1"/>
  <c r="E183" i="32"/>
  <c r="F183" i="32" s="1"/>
  <c r="E179" i="32"/>
  <c r="F179" i="32" s="1"/>
  <c r="E175" i="32"/>
  <c r="F175" i="32" s="1"/>
  <c r="E171" i="32"/>
  <c r="F171" i="32" s="1"/>
  <c r="E167" i="32"/>
  <c r="F167" i="32" s="1"/>
  <c r="E163" i="32"/>
  <c r="F163" i="32" s="1"/>
  <c r="E159" i="32"/>
  <c r="F159" i="32" s="1"/>
  <c r="E177" i="32"/>
  <c r="F177" i="32" s="1"/>
  <c r="E161" i="32"/>
  <c r="F161" i="32" s="1"/>
  <c r="E110" i="32"/>
  <c r="F110" i="32" s="1"/>
  <c r="E172" i="32"/>
  <c r="F172" i="32" s="1"/>
  <c r="E181" i="32"/>
  <c r="F181" i="32" s="1"/>
  <c r="E165" i="32"/>
  <c r="F165" i="32" s="1"/>
  <c r="E185" i="32"/>
  <c r="F185" i="32" s="1"/>
  <c r="E169" i="32"/>
  <c r="F169" i="32" s="1"/>
  <c r="E155" i="32"/>
  <c r="F155" i="32" s="1"/>
  <c r="E151" i="32"/>
  <c r="F151" i="32" s="1"/>
  <c r="E147" i="32"/>
  <c r="F147" i="32" s="1"/>
  <c r="E143" i="32"/>
  <c r="F143" i="32" s="1"/>
  <c r="E139" i="32"/>
  <c r="F139" i="32" s="1"/>
  <c r="E105" i="32"/>
  <c r="F105" i="32" s="1"/>
  <c r="E101" i="32"/>
  <c r="F101" i="32" s="1"/>
  <c r="E97" i="32"/>
  <c r="F97" i="32" s="1"/>
  <c r="E93" i="32"/>
  <c r="F93" i="32" s="1"/>
  <c r="E89" i="32"/>
  <c r="F89" i="32" s="1"/>
  <c r="E83" i="32"/>
  <c r="F83" i="32" s="1"/>
  <c r="E75" i="32"/>
  <c r="F75" i="32" s="1"/>
  <c r="E67" i="32"/>
  <c r="F67" i="32" s="1"/>
  <c r="E59" i="32"/>
  <c r="F59" i="32" s="1"/>
  <c r="E51" i="32"/>
  <c r="F51" i="32" s="1"/>
  <c r="E135" i="32"/>
  <c r="F135" i="32" s="1"/>
  <c r="E189" i="32"/>
  <c r="F189" i="32" s="1"/>
  <c r="E173" i="32"/>
  <c r="F173" i="32" s="1"/>
  <c r="E157" i="32"/>
  <c r="F157" i="32" s="1"/>
  <c r="E153" i="32"/>
  <c r="F153" i="32" s="1"/>
  <c r="E149" i="32"/>
  <c r="F149" i="32" s="1"/>
  <c r="E145" i="32"/>
  <c r="F145" i="32" s="1"/>
  <c r="E141" i="32"/>
  <c r="F141" i="32" s="1"/>
  <c r="E109" i="32"/>
  <c r="F109" i="32" s="1"/>
  <c r="E184" i="32"/>
  <c r="F184" i="32" s="1"/>
  <c r="E168" i="32"/>
  <c r="F168" i="32" s="1"/>
  <c r="E137" i="32"/>
  <c r="F137" i="32" s="1"/>
  <c r="E128" i="32"/>
  <c r="F128" i="32" s="1"/>
  <c r="E118" i="32"/>
  <c r="F118" i="32" s="1"/>
  <c r="G53" i="32"/>
  <c r="H53" i="32" s="1"/>
  <c r="E30" i="32"/>
  <c r="F30" i="32" s="1"/>
  <c r="G30" i="32"/>
  <c r="H30" i="32" s="1"/>
  <c r="E34" i="32"/>
  <c r="F34" i="32" s="1"/>
  <c r="E48" i="32"/>
  <c r="F48" i="32" s="1"/>
  <c r="G72" i="32"/>
  <c r="H72" i="32" s="1"/>
  <c r="G26" i="32"/>
  <c r="H26" i="32" s="1"/>
  <c r="C30" i="32"/>
  <c r="D30" i="32" s="1"/>
  <c r="C36" i="32"/>
  <c r="D36" i="32" s="1"/>
  <c r="E36" i="32"/>
  <c r="F36" i="32" s="1"/>
  <c r="E38" i="32"/>
  <c r="F38" i="32" s="1"/>
  <c r="G38" i="32"/>
  <c r="H38" i="32" s="1"/>
  <c r="E39" i="32"/>
  <c r="F39" i="32" s="1"/>
  <c r="E42" i="32"/>
  <c r="F42" i="32" s="1"/>
  <c r="C50" i="32"/>
  <c r="D50" i="32" s="1"/>
  <c r="E53" i="32"/>
  <c r="F53" i="32" s="1"/>
  <c r="E56" i="32"/>
  <c r="F56" i="32" s="1"/>
  <c r="C61" i="32"/>
  <c r="D61" i="32" s="1"/>
  <c r="G69" i="32"/>
  <c r="H69" i="32" s="1"/>
  <c r="E81" i="32"/>
  <c r="F81" i="32" s="1"/>
  <c r="G84" i="32"/>
  <c r="H84" i="32" s="1"/>
  <c r="C88" i="32"/>
  <c r="D88" i="32" s="1"/>
  <c r="E91" i="32"/>
  <c r="F91" i="32" s="1"/>
  <c r="C95" i="32"/>
  <c r="D95" i="32" s="1"/>
  <c r="G99" i="32"/>
  <c r="H99" i="32" s="1"/>
  <c r="G103" i="32"/>
  <c r="H103" i="32" s="1"/>
  <c r="G107" i="32"/>
  <c r="H107" i="32" s="1"/>
  <c r="E122" i="32"/>
  <c r="F122" i="32" s="1"/>
  <c r="E127" i="32"/>
  <c r="F127" i="32" s="1"/>
  <c r="G129" i="32"/>
  <c r="H129" i="32" s="1"/>
  <c r="C144" i="32"/>
  <c r="D144" i="32" s="1"/>
  <c r="E144" i="32"/>
  <c r="F144" i="32" s="1"/>
  <c r="E25" i="32"/>
  <c r="F25" i="32" s="1"/>
  <c r="G28" i="32"/>
  <c r="H28" i="32" s="1"/>
  <c r="G34" i="32"/>
  <c r="H34" i="32" s="1"/>
  <c r="C38" i="32"/>
  <c r="D38" i="32" s="1"/>
  <c r="C41" i="32"/>
  <c r="D41" i="32" s="1"/>
  <c r="C44" i="32"/>
  <c r="D44" i="32" s="1"/>
  <c r="E44" i="32"/>
  <c r="F44" i="32" s="1"/>
  <c r="E46" i="32"/>
  <c r="F46" i="32" s="1"/>
  <c r="G46" i="32"/>
  <c r="H46" i="32" s="1"/>
  <c r="E50" i="32"/>
  <c r="F50" i="32" s="1"/>
  <c r="C58" i="32"/>
  <c r="D58" i="32" s="1"/>
  <c r="E61" i="32"/>
  <c r="F61" i="32" s="1"/>
  <c r="E64" i="32"/>
  <c r="F64" i="32" s="1"/>
  <c r="C69" i="32"/>
  <c r="D69" i="32" s="1"/>
  <c r="G77" i="32"/>
  <c r="H77" i="32" s="1"/>
  <c r="G90" i="32"/>
  <c r="H90" i="32" s="1"/>
  <c r="C99" i="32"/>
  <c r="D99" i="32" s="1"/>
  <c r="C103" i="32"/>
  <c r="D103" i="32" s="1"/>
  <c r="C107" i="32"/>
  <c r="D107" i="32" s="1"/>
  <c r="E111" i="32"/>
  <c r="F111" i="32" s="1"/>
  <c r="E113" i="32"/>
  <c r="F113" i="32" s="1"/>
  <c r="C116" i="32"/>
  <c r="D116" i="32" s="1"/>
  <c r="G144" i="32"/>
  <c r="H144" i="32" s="1"/>
  <c r="C112" i="32"/>
  <c r="D112" i="32" s="1"/>
  <c r="E112" i="32"/>
  <c r="F112" i="32" s="1"/>
  <c r="C125" i="32"/>
  <c r="D125" i="32" s="1"/>
  <c r="C132" i="32"/>
  <c r="D132" i="32" s="1"/>
  <c r="G139" i="32"/>
  <c r="H139" i="32" s="1"/>
  <c r="G143" i="32"/>
  <c r="H143" i="32" s="1"/>
  <c r="G147" i="32"/>
  <c r="H147" i="32" s="1"/>
  <c r="G151" i="32"/>
  <c r="H151" i="32" s="1"/>
  <c r="G155" i="32"/>
  <c r="H155" i="32" s="1"/>
  <c r="G159" i="32"/>
  <c r="H159" i="32" s="1"/>
  <c r="C164" i="32"/>
  <c r="D164" i="32" s="1"/>
  <c r="G164" i="32"/>
  <c r="H164" i="32" s="1"/>
  <c r="G175" i="32"/>
  <c r="H175" i="32" s="1"/>
  <c r="C180" i="32"/>
  <c r="D180" i="32" s="1"/>
  <c r="G180" i="32"/>
  <c r="H180" i="32" s="1"/>
  <c r="G191" i="32"/>
  <c r="H191" i="32" s="1"/>
  <c r="C117" i="32"/>
  <c r="D117" i="32" s="1"/>
  <c r="G117" i="32"/>
  <c r="H117" i="32" s="1"/>
  <c r="C123" i="32"/>
  <c r="D123" i="32" s="1"/>
  <c r="E123" i="32"/>
  <c r="F123" i="32" s="1"/>
  <c r="G123" i="32"/>
  <c r="H123" i="32" s="1"/>
  <c r="E117" i="32"/>
  <c r="F117" i="32" s="1"/>
  <c r="C120" i="32"/>
  <c r="D120" i="32" s="1"/>
  <c r="E120" i="32"/>
  <c r="F120" i="32" s="1"/>
  <c r="E125" i="32"/>
  <c r="F125" i="32" s="1"/>
  <c r="E132" i="32"/>
  <c r="F132" i="32" s="1"/>
  <c r="E164" i="32"/>
  <c r="F164" i="32" s="1"/>
  <c r="E180" i="32"/>
  <c r="F180" i="32" s="1"/>
  <c r="C160" i="32"/>
  <c r="D160" i="32" s="1"/>
  <c r="G160" i="32"/>
  <c r="H160" i="32" s="1"/>
  <c r="G171" i="32"/>
  <c r="H171" i="32" s="1"/>
  <c r="C176" i="32"/>
  <c r="D176" i="32" s="1"/>
  <c r="G176" i="32"/>
  <c r="H176" i="32" s="1"/>
  <c r="G187" i="32"/>
  <c r="H187" i="32" s="1"/>
  <c r="C192" i="32"/>
  <c r="D192" i="32" s="1"/>
  <c r="G192" i="32"/>
  <c r="H192" i="32" s="1"/>
  <c r="C152" i="32"/>
  <c r="D152" i="32" s="1"/>
  <c r="C156" i="32"/>
  <c r="D156" i="32" s="1"/>
  <c r="E160" i="32"/>
  <c r="F160" i="32" s="1"/>
  <c r="E176" i="32"/>
  <c r="F176" i="32" s="1"/>
  <c r="E192" i="32"/>
  <c r="F192" i="32" s="1"/>
  <c r="G131" i="32"/>
  <c r="H131" i="32" s="1"/>
  <c r="C133" i="32"/>
  <c r="D133" i="32" s="1"/>
  <c r="E148" i="32"/>
  <c r="F148" i="32" s="1"/>
  <c r="E152" i="32"/>
  <c r="F152" i="32" s="1"/>
  <c r="E156" i="32"/>
  <c r="F156" i="32" s="1"/>
  <c r="G167" i="32"/>
  <c r="H167" i="32" s="1"/>
  <c r="C172" i="32"/>
  <c r="D172" i="32" s="1"/>
  <c r="G172" i="32"/>
  <c r="H172" i="32" s="1"/>
  <c r="G183" i="32"/>
  <c r="H183" i="32" s="1"/>
  <c r="C188" i="32"/>
  <c r="D188" i="32" s="1"/>
  <c r="G188" i="32"/>
  <c r="H188" i="32" s="1"/>
  <c r="E188" i="32"/>
  <c r="F188" i="32" s="1"/>
  <c r="C109" i="32"/>
  <c r="D109" i="32" s="1"/>
  <c r="G109" i="32"/>
  <c r="H109" i="32" s="1"/>
  <c r="C115" i="32"/>
  <c r="D115" i="32" s="1"/>
  <c r="E115" i="32"/>
  <c r="F115" i="32" s="1"/>
  <c r="G115" i="32"/>
  <c r="H115" i="32" s="1"/>
  <c r="E121" i="32"/>
  <c r="F121" i="32" s="1"/>
  <c r="C128" i="32"/>
  <c r="D128" i="32" s="1"/>
  <c r="G135" i="32"/>
  <c r="H135" i="32" s="1"/>
  <c r="C137" i="32"/>
  <c r="D137" i="32" s="1"/>
  <c r="G163" i="32"/>
  <c r="H163" i="32" s="1"/>
  <c r="C168" i="32"/>
  <c r="D168" i="32" s="1"/>
  <c r="G168" i="32"/>
  <c r="H168" i="32" s="1"/>
  <c r="G179" i="32"/>
  <c r="H179" i="32" s="1"/>
  <c r="C184" i="32"/>
  <c r="D184" i="32" s="1"/>
  <c r="G184" i="32"/>
  <c r="H184" i="32" s="1"/>
  <c r="C111" i="32"/>
  <c r="D111" i="32" s="1"/>
  <c r="C119" i="32"/>
  <c r="D119" i="32" s="1"/>
  <c r="C126" i="32"/>
  <c r="D126" i="32" s="1"/>
  <c r="C130" i="32"/>
  <c r="D130" i="32" s="1"/>
  <c r="C134" i="32"/>
  <c r="D134" i="32" s="1"/>
  <c r="C138" i="32"/>
  <c r="D138" i="32" s="1"/>
  <c r="C142" i="32"/>
  <c r="D142" i="32" s="1"/>
  <c r="C146" i="32"/>
  <c r="D146" i="32" s="1"/>
  <c r="C150" i="32"/>
  <c r="D150" i="32" s="1"/>
  <c r="C154" i="32"/>
  <c r="D154" i="32" s="1"/>
  <c r="C158" i="32"/>
  <c r="D158" i="32" s="1"/>
  <c r="C162" i="32"/>
  <c r="D162" i="32" s="1"/>
  <c r="C166" i="32"/>
  <c r="D166" i="32" s="1"/>
  <c r="C170" i="32"/>
  <c r="D170" i="32" s="1"/>
  <c r="C174" i="32"/>
  <c r="D174" i="32" s="1"/>
  <c r="C178" i="32"/>
  <c r="D178" i="32" s="1"/>
  <c r="C182" i="32"/>
  <c r="D182" i="32" s="1"/>
  <c r="C186" i="32"/>
  <c r="D186" i="32" s="1"/>
  <c r="C190" i="32"/>
  <c r="D190" i="32" s="1"/>
  <c r="C110" i="32"/>
  <c r="D110" i="32" s="1"/>
  <c r="C118" i="32"/>
  <c r="D118" i="32" s="1"/>
  <c r="C141" i="32"/>
  <c r="D141" i="32" s="1"/>
  <c r="C145" i="32"/>
  <c r="D145" i="32" s="1"/>
  <c r="C149" i="32"/>
  <c r="D149" i="32" s="1"/>
  <c r="C153" i="32"/>
  <c r="D153" i="32" s="1"/>
  <c r="C157" i="32"/>
  <c r="D157" i="32" s="1"/>
  <c r="C161" i="32"/>
  <c r="D161" i="32" s="1"/>
  <c r="C165" i="32"/>
  <c r="D165" i="32" s="1"/>
  <c r="C169" i="32"/>
  <c r="D169" i="32" s="1"/>
  <c r="C173" i="32"/>
  <c r="D173" i="32" s="1"/>
  <c r="C177" i="32"/>
  <c r="D177" i="32" s="1"/>
  <c r="C181" i="32"/>
  <c r="D181" i="32" s="1"/>
  <c r="C185" i="32"/>
  <c r="D185" i="32" s="1"/>
  <c r="C189" i="32"/>
  <c r="D189" i="32" s="1"/>
  <c r="C193" i="32"/>
  <c r="D193" i="32" s="1"/>
  <c r="C113" i="32"/>
  <c r="D113" i="32" s="1"/>
  <c r="C121" i="32"/>
  <c r="D121" i="32" s="1"/>
  <c r="C127" i="32"/>
  <c r="D127" i="32" s="1"/>
  <c r="C131" i="32"/>
  <c r="D131" i="32" s="1"/>
  <c r="C135" i="32"/>
  <c r="D135" i="32" s="1"/>
  <c r="C139" i="32"/>
  <c r="D139" i="32" s="1"/>
  <c r="C143" i="32"/>
  <c r="D143" i="32" s="1"/>
  <c r="C147" i="32"/>
  <c r="D147" i="32" s="1"/>
  <c r="C151" i="32"/>
  <c r="D151" i="32" s="1"/>
  <c r="C155" i="32"/>
  <c r="D155" i="32" s="1"/>
  <c r="C159" i="32"/>
  <c r="D159" i="32" s="1"/>
  <c r="C163" i="32"/>
  <c r="D163" i="32" s="1"/>
  <c r="C167" i="32"/>
  <c r="D167" i="32" s="1"/>
  <c r="C171" i="32"/>
  <c r="D171" i="32" s="1"/>
  <c r="C175" i="32"/>
  <c r="D175" i="32" s="1"/>
  <c r="C179" i="32"/>
  <c r="D179" i="32" s="1"/>
  <c r="C183" i="32"/>
  <c r="D183" i="32" s="1"/>
  <c r="C187" i="32"/>
  <c r="D187" i="32" s="1"/>
  <c r="C191" i="32"/>
  <c r="D191" i="32" s="1"/>
  <c r="C22" i="22"/>
  <c r="C23" i="22"/>
  <c r="F14" i="22"/>
  <c r="E14" i="22"/>
  <c r="D14" i="22"/>
  <c r="C14" i="22"/>
  <c r="F54" i="31"/>
  <c r="F53" i="31"/>
  <c r="F52" i="31"/>
  <c r="F51" i="31"/>
  <c r="F50" i="31"/>
  <c r="F49" i="31"/>
  <c r="F48" i="31"/>
  <c r="F47" i="31"/>
  <c r="F46" i="31"/>
  <c r="F45" i="31"/>
  <c r="N38" i="31"/>
  <c r="M38" i="31"/>
  <c r="E38" i="31"/>
  <c r="F38" i="31" s="1"/>
  <c r="H38" i="31" s="1"/>
  <c r="O38" i="31" s="1"/>
  <c r="P38" i="31" s="1"/>
  <c r="D38" i="31"/>
  <c r="D39" i="31" s="1"/>
  <c r="C38" i="31"/>
  <c r="C39" i="31" s="1"/>
  <c r="C40" i="31" s="1"/>
  <c r="C41" i="31" s="1"/>
  <c r="B38" i="31"/>
  <c r="B39" i="31" s="1"/>
  <c r="R37" i="31"/>
  <c r="Q37" i="31"/>
  <c r="N37" i="31"/>
  <c r="M37" i="31"/>
  <c r="L37" i="31"/>
  <c r="K37" i="31"/>
  <c r="F37" i="31"/>
  <c r="H37" i="31" s="1"/>
  <c r="C36" i="31"/>
  <c r="B36" i="31"/>
  <c r="K36" i="31" s="1"/>
  <c r="L36" i="31" s="1"/>
  <c r="Q35" i="31"/>
  <c r="R35" i="31" s="1"/>
  <c r="N35" i="31"/>
  <c r="M35" i="31"/>
  <c r="K35" i="31"/>
  <c r="L35" i="31" s="1"/>
  <c r="H35" i="31"/>
  <c r="I35" i="31" s="1"/>
  <c r="J35" i="31" s="1"/>
  <c r="F35" i="31"/>
  <c r="C34" i="31"/>
  <c r="B34" i="31"/>
  <c r="R33" i="31"/>
  <c r="Q33" i="31"/>
  <c r="M33" i="31"/>
  <c r="N33" i="31" s="1"/>
  <c r="K33" i="31"/>
  <c r="L33" i="31" s="1"/>
  <c r="H33" i="31"/>
  <c r="O33" i="31" s="1"/>
  <c r="P33" i="31" s="1"/>
  <c r="F33" i="31"/>
  <c r="F32" i="31"/>
  <c r="H32" i="31" s="1"/>
  <c r="C32" i="31"/>
  <c r="B32" i="31"/>
  <c r="Q32" i="31" s="1"/>
  <c r="R32" i="31" s="1"/>
  <c r="R31" i="31"/>
  <c r="Q31" i="31"/>
  <c r="M31" i="31"/>
  <c r="N31" i="31" s="1"/>
  <c r="L31" i="31"/>
  <c r="K31" i="31"/>
  <c r="F31" i="31"/>
  <c r="H31" i="31" s="1"/>
  <c r="Q30" i="31"/>
  <c r="R30" i="31" s="1"/>
  <c r="H30" i="31"/>
  <c r="I30" i="31" s="1"/>
  <c r="J30" i="31" s="1"/>
  <c r="G30" i="31"/>
  <c r="K30" i="31" s="1"/>
  <c r="L30" i="31" s="1"/>
  <c r="F30" i="31"/>
  <c r="Q29" i="31"/>
  <c r="R29" i="31" s="1"/>
  <c r="M29" i="31"/>
  <c r="N29" i="31" s="1"/>
  <c r="L29" i="31"/>
  <c r="K29" i="31"/>
  <c r="F29" i="31"/>
  <c r="H29" i="31" s="1"/>
  <c r="Q28" i="31"/>
  <c r="R28" i="31" s="1"/>
  <c r="M28" i="31"/>
  <c r="N28" i="31" s="1"/>
  <c r="K28" i="31"/>
  <c r="L28" i="31" s="1"/>
  <c r="I28" i="31"/>
  <c r="J28" i="31" s="1"/>
  <c r="H28" i="31"/>
  <c r="O28" i="31" s="1"/>
  <c r="P28" i="31" s="1"/>
  <c r="F28" i="31"/>
  <c r="D28" i="31"/>
  <c r="C18" i="31"/>
  <c r="C20" i="31" s="1"/>
  <c r="C17" i="31"/>
  <c r="C19" i="31" s="1"/>
  <c r="C16" i="31"/>
  <c r="C12" i="31"/>
  <c r="G41" i="30"/>
  <c r="F41" i="30"/>
  <c r="E41" i="30"/>
  <c r="D41" i="30"/>
  <c r="G40" i="30"/>
  <c r="F40" i="30"/>
  <c r="E40" i="30"/>
  <c r="D40" i="30"/>
  <c r="G39" i="30"/>
  <c r="F39" i="30"/>
  <c r="E39" i="30"/>
  <c r="D39" i="30"/>
  <c r="C41" i="30"/>
  <c r="C40" i="30"/>
  <c r="C39" i="30"/>
  <c r="C34" i="30"/>
  <c r="C33" i="30"/>
  <c r="C35" i="30" s="1"/>
  <c r="F32" i="30"/>
  <c r="F33" i="30" s="1"/>
  <c r="F35" i="30" s="1"/>
  <c r="D32" i="30"/>
  <c r="D33" i="30" s="1"/>
  <c r="D35" i="30" s="1"/>
  <c r="C32" i="30"/>
  <c r="D29" i="30"/>
  <c r="D27" i="30"/>
  <c r="F21" i="30"/>
  <c r="E21" i="30"/>
  <c r="D21" i="30"/>
  <c r="C21" i="30"/>
  <c r="F20" i="30"/>
  <c r="E20" i="30"/>
  <c r="E28" i="30" s="1"/>
  <c r="D20" i="30"/>
  <c r="D28" i="30" s="1"/>
  <c r="C20" i="30"/>
  <c r="F14" i="30"/>
  <c r="E14" i="30"/>
  <c r="D14" i="30"/>
  <c r="C14" i="30"/>
  <c r="I12" i="30"/>
  <c r="H10" i="25"/>
  <c r="G10" i="25"/>
  <c r="C41" i="33" l="1"/>
  <c r="C42" i="33" s="1"/>
  <c r="C53" i="33"/>
  <c r="E53" i="33" s="1"/>
  <c r="F53" i="33" s="1"/>
  <c r="C54" i="33"/>
  <c r="E54" i="33" s="1"/>
  <c r="F54" i="33" s="1"/>
  <c r="C55" i="33"/>
  <c r="E55" i="33" s="1"/>
  <c r="F55" i="33" s="1"/>
  <c r="C52" i="33"/>
  <c r="E52" i="33" s="1"/>
  <c r="F52" i="33" s="1"/>
  <c r="C51" i="33"/>
  <c r="E51" i="33" s="1"/>
  <c r="F51" i="33" s="1"/>
  <c r="B40" i="31"/>
  <c r="K39" i="31"/>
  <c r="L39" i="31" s="1"/>
  <c r="Q39" i="31"/>
  <c r="R39" i="31" s="1"/>
  <c r="M39" i="31"/>
  <c r="N39" i="31" s="1"/>
  <c r="O37" i="31"/>
  <c r="P37" i="31" s="1"/>
  <c r="I37" i="31"/>
  <c r="J37" i="31" s="1"/>
  <c r="O31" i="31"/>
  <c r="P31" i="31" s="1"/>
  <c r="I31" i="31"/>
  <c r="J31" i="31" s="1"/>
  <c r="D40" i="31"/>
  <c r="I29" i="31"/>
  <c r="J29" i="31" s="1"/>
  <c r="O29" i="31"/>
  <c r="P29" i="31" s="1"/>
  <c r="O32" i="31"/>
  <c r="P32" i="31" s="1"/>
  <c r="O34" i="31"/>
  <c r="P34" i="31" s="1"/>
  <c r="O30" i="31"/>
  <c r="P30" i="31" s="1"/>
  <c r="M32" i="31"/>
  <c r="N32" i="31" s="1"/>
  <c r="I33" i="31"/>
  <c r="J33" i="31" s="1"/>
  <c r="K34" i="31"/>
  <c r="L34" i="31" s="1"/>
  <c r="O35" i="31"/>
  <c r="P35" i="31" s="1"/>
  <c r="Q36" i="31"/>
  <c r="R36" i="31" s="1"/>
  <c r="E39" i="31"/>
  <c r="E40" i="31" s="1"/>
  <c r="E41" i="31" s="1"/>
  <c r="M36" i="31"/>
  <c r="N36" i="31" s="1"/>
  <c r="I38" i="31"/>
  <c r="J38" i="31" s="1"/>
  <c r="Q38" i="31"/>
  <c r="R38" i="31" s="1"/>
  <c r="M30" i="31"/>
  <c r="N30" i="31" s="1"/>
  <c r="K32" i="31"/>
  <c r="L32" i="31" s="1"/>
  <c r="I34" i="31"/>
  <c r="J34" i="31" s="1"/>
  <c r="Q34" i="31"/>
  <c r="R34" i="31" s="1"/>
  <c r="F36" i="31"/>
  <c r="H36" i="31" s="1"/>
  <c r="O36" i="31" s="1"/>
  <c r="P36" i="31" s="1"/>
  <c r="K38" i="31"/>
  <c r="L38" i="31" s="1"/>
  <c r="M34" i="31"/>
  <c r="N34" i="31" s="1"/>
  <c r="I32" i="31"/>
  <c r="J32" i="31" s="1"/>
  <c r="F34" i="31"/>
  <c r="H34" i="31" s="1"/>
  <c r="G20" i="30"/>
  <c r="C30" i="30"/>
  <c r="C28" i="30"/>
  <c r="G27" i="30"/>
  <c r="C27" i="30"/>
  <c r="C29" i="30"/>
  <c r="E27" i="30"/>
  <c r="E29" i="30"/>
  <c r="F29" i="30"/>
  <c r="F28" i="30"/>
  <c r="F27" i="30"/>
  <c r="D28" i="29"/>
  <c r="E39" i="29"/>
  <c r="E40" i="29" s="1"/>
  <c r="E41" i="29" s="1"/>
  <c r="E38" i="29"/>
  <c r="D38" i="29"/>
  <c r="D39" i="29" s="1"/>
  <c r="D40" i="29" s="1"/>
  <c r="D41" i="29" s="1"/>
  <c r="H38" i="19"/>
  <c r="C38" i="29"/>
  <c r="C39" i="29" s="1"/>
  <c r="C40" i="29" s="1"/>
  <c r="C41" i="29" s="1"/>
  <c r="B38" i="29"/>
  <c r="B39" i="29" s="1"/>
  <c r="C39" i="28"/>
  <c r="C40" i="28"/>
  <c r="C41" i="28" s="1"/>
  <c r="C38" i="28"/>
  <c r="B39" i="28"/>
  <c r="B40" i="28"/>
  <c r="B41" i="28" s="1"/>
  <c r="B38" i="28"/>
  <c r="R29" i="29"/>
  <c r="R37" i="29"/>
  <c r="R36" i="29"/>
  <c r="R35" i="29"/>
  <c r="R34" i="29"/>
  <c r="R33" i="29"/>
  <c r="R32" i="29"/>
  <c r="R31" i="29"/>
  <c r="R30" i="29"/>
  <c r="R28" i="29"/>
  <c r="Q29" i="29"/>
  <c r="Q30" i="29"/>
  <c r="Q31" i="29"/>
  <c r="Q32" i="29"/>
  <c r="Q33" i="29"/>
  <c r="Q34" i="29"/>
  <c r="Q35" i="29"/>
  <c r="Q36" i="29"/>
  <c r="Q37" i="29"/>
  <c r="Q28" i="29"/>
  <c r="M28" i="29"/>
  <c r="B32" i="29"/>
  <c r="B34" i="29"/>
  <c r="F40" i="31" l="1"/>
  <c r="H40" i="31" s="1"/>
  <c r="D41" i="31"/>
  <c r="F39" i="31"/>
  <c r="H39" i="31" s="1"/>
  <c r="O40" i="31"/>
  <c r="P40" i="31" s="1"/>
  <c r="B41" i="31"/>
  <c r="K40" i="31"/>
  <c r="L40" i="31" s="1"/>
  <c r="Q40" i="31"/>
  <c r="R40" i="31" s="1"/>
  <c r="I40" i="31"/>
  <c r="J40" i="31" s="1"/>
  <c r="M40" i="31"/>
  <c r="N40" i="31" s="1"/>
  <c r="I36" i="31"/>
  <c r="J36" i="31" s="1"/>
  <c r="B40" i="29"/>
  <c r="Q39" i="29"/>
  <c r="R39" i="29" s="1"/>
  <c r="Q38" i="29"/>
  <c r="R38" i="29" s="1"/>
  <c r="O39" i="31" l="1"/>
  <c r="P39" i="31" s="1"/>
  <c r="I39" i="31"/>
  <c r="J39" i="31" s="1"/>
  <c r="F41" i="31"/>
  <c r="H41" i="31" s="1"/>
  <c r="O41" i="31" s="1"/>
  <c r="P41" i="31" s="1"/>
  <c r="K41" i="31"/>
  <c r="L41" i="31" s="1"/>
  <c r="Q41" i="31"/>
  <c r="R41" i="31" s="1"/>
  <c r="I41" i="31"/>
  <c r="J41" i="31" s="1"/>
  <c r="M41" i="31"/>
  <c r="N41" i="31" s="1"/>
  <c r="Q40" i="29"/>
  <c r="R40" i="29" s="1"/>
  <c r="B41" i="29"/>
  <c r="Q41" i="29" s="1"/>
  <c r="R41" i="29" s="1"/>
  <c r="F54" i="29" l="1"/>
  <c r="F53" i="29"/>
  <c r="F52" i="29"/>
  <c r="F51" i="29"/>
  <c r="F50" i="29"/>
  <c r="F49" i="29"/>
  <c r="F48" i="29"/>
  <c r="F47" i="29"/>
  <c r="F46" i="29"/>
  <c r="F45" i="29"/>
  <c r="M41" i="29"/>
  <c r="N41" i="29" s="1"/>
  <c r="K41" i="29"/>
  <c r="L41" i="29" s="1"/>
  <c r="F41" i="29"/>
  <c r="H41" i="29" s="1"/>
  <c r="M40" i="29"/>
  <c r="N40" i="29" s="1"/>
  <c r="K40" i="29"/>
  <c r="L40" i="29" s="1"/>
  <c r="F40" i="29"/>
  <c r="H40" i="29" s="1"/>
  <c r="M39" i="29"/>
  <c r="N39" i="29" s="1"/>
  <c r="K39" i="29"/>
  <c r="L39" i="29" s="1"/>
  <c r="F39" i="29"/>
  <c r="H39" i="29" s="1"/>
  <c r="N38" i="29"/>
  <c r="M38" i="29"/>
  <c r="K38" i="29"/>
  <c r="L38" i="29" s="1"/>
  <c r="F38" i="29"/>
  <c r="H38" i="29" s="1"/>
  <c r="M37" i="29"/>
  <c r="N37" i="29" s="1"/>
  <c r="K37" i="29"/>
  <c r="L37" i="29" s="1"/>
  <c r="F37" i="29"/>
  <c r="H37" i="29" s="1"/>
  <c r="K36" i="29"/>
  <c r="L36" i="29" s="1"/>
  <c r="C36" i="29"/>
  <c r="B36" i="29"/>
  <c r="N35" i="29"/>
  <c r="M35" i="29"/>
  <c r="K35" i="29"/>
  <c r="L35" i="29" s="1"/>
  <c r="F35" i="29"/>
  <c r="H35" i="29" s="1"/>
  <c r="K34" i="29"/>
  <c r="L34" i="29" s="1"/>
  <c r="C34" i="29"/>
  <c r="M33" i="29"/>
  <c r="N33" i="29" s="1"/>
  <c r="K33" i="29"/>
  <c r="L33" i="29" s="1"/>
  <c r="F33" i="29"/>
  <c r="H33" i="29" s="1"/>
  <c r="K32" i="29"/>
  <c r="L32" i="29" s="1"/>
  <c r="F32" i="29"/>
  <c r="H32" i="29" s="1"/>
  <c r="C32" i="29"/>
  <c r="M32" i="29"/>
  <c r="N32" i="29" s="1"/>
  <c r="M31" i="29"/>
  <c r="N31" i="29" s="1"/>
  <c r="K31" i="29"/>
  <c r="L31" i="29" s="1"/>
  <c r="F31" i="29"/>
  <c r="H31" i="29" s="1"/>
  <c r="M30" i="29"/>
  <c r="N30" i="29" s="1"/>
  <c r="G30" i="29"/>
  <c r="K30" i="29" s="1"/>
  <c r="L30" i="29" s="1"/>
  <c r="F30" i="29"/>
  <c r="M29" i="29"/>
  <c r="N29" i="29" s="1"/>
  <c r="K29" i="29"/>
  <c r="L29" i="29" s="1"/>
  <c r="F29" i="29"/>
  <c r="H29" i="29" s="1"/>
  <c r="I29" i="29" s="1"/>
  <c r="J29" i="29" s="1"/>
  <c r="N28" i="29"/>
  <c r="L28" i="29"/>
  <c r="K28" i="29"/>
  <c r="F28" i="29"/>
  <c r="H28" i="29" s="1"/>
  <c r="C18" i="29"/>
  <c r="C20" i="29" s="1"/>
  <c r="C17" i="29"/>
  <c r="C19" i="29" s="1"/>
  <c r="C16" i="29"/>
  <c r="C12" i="29"/>
  <c r="F46" i="28"/>
  <c r="F47" i="28"/>
  <c r="F48" i="28"/>
  <c r="F49" i="28"/>
  <c r="F50" i="28"/>
  <c r="F51" i="28"/>
  <c r="F52" i="28"/>
  <c r="F53" i="28"/>
  <c r="F54" i="28"/>
  <c r="F45" i="28"/>
  <c r="O29" i="28"/>
  <c r="O30" i="28"/>
  <c r="O31" i="28"/>
  <c r="O32" i="28"/>
  <c r="O33" i="28"/>
  <c r="P33" i="28" s="1"/>
  <c r="O34" i="28"/>
  <c r="O35" i="28"/>
  <c r="O36" i="28"/>
  <c r="P36" i="28" s="1"/>
  <c r="O37" i="28"/>
  <c r="O28" i="28"/>
  <c r="P37" i="28"/>
  <c r="P35" i="28"/>
  <c r="P34" i="28"/>
  <c r="P32" i="28"/>
  <c r="P31" i="28"/>
  <c r="P30" i="28"/>
  <c r="P29" i="28"/>
  <c r="P28" i="28"/>
  <c r="I29" i="28"/>
  <c r="J29" i="28" s="1"/>
  <c r="I30" i="28"/>
  <c r="J30" i="28" s="1"/>
  <c r="I31" i="28"/>
  <c r="J31" i="28" s="1"/>
  <c r="I32" i="28"/>
  <c r="J32" i="28"/>
  <c r="I33" i="28"/>
  <c r="J33" i="28" s="1"/>
  <c r="I34" i="28"/>
  <c r="J34" i="28" s="1"/>
  <c r="I35" i="28"/>
  <c r="J35" i="28" s="1"/>
  <c r="I36" i="28"/>
  <c r="J36" i="28"/>
  <c r="I37" i="28"/>
  <c r="J37" i="28" s="1"/>
  <c r="J28" i="28"/>
  <c r="I28" i="28"/>
  <c r="B36" i="28"/>
  <c r="M36" i="28" s="1"/>
  <c r="N36" i="28" s="1"/>
  <c r="B34" i="28"/>
  <c r="M34" i="28" s="1"/>
  <c r="N34" i="28" s="1"/>
  <c r="B32" i="28"/>
  <c r="M32" i="28" s="1"/>
  <c r="N32" i="28" s="1"/>
  <c r="C36" i="28"/>
  <c r="C34" i="28"/>
  <c r="C32" i="28"/>
  <c r="M41" i="28"/>
  <c r="N41" i="28" s="1"/>
  <c r="K41" i="28"/>
  <c r="L41" i="28" s="1"/>
  <c r="F41" i="28"/>
  <c r="H41" i="28" s="1"/>
  <c r="I41" i="28" s="1"/>
  <c r="J41" i="28" s="1"/>
  <c r="M40" i="28"/>
  <c r="N40" i="28" s="1"/>
  <c r="K40" i="28"/>
  <c r="L40" i="28" s="1"/>
  <c r="F40" i="28"/>
  <c r="H40" i="28" s="1"/>
  <c r="O40" i="28" s="1"/>
  <c r="P40" i="28" s="1"/>
  <c r="M39" i="28"/>
  <c r="N39" i="28" s="1"/>
  <c r="K39" i="28"/>
  <c r="L39" i="28" s="1"/>
  <c r="F39" i="28"/>
  <c r="H39" i="28" s="1"/>
  <c r="O39" i="28" s="1"/>
  <c r="P39" i="28" s="1"/>
  <c r="M38" i="28"/>
  <c r="N38" i="28" s="1"/>
  <c r="K38" i="28"/>
  <c r="L38" i="28" s="1"/>
  <c r="F38" i="28"/>
  <c r="H38" i="28" s="1"/>
  <c r="O38" i="28" s="1"/>
  <c r="P38" i="28" s="1"/>
  <c r="M37" i="28"/>
  <c r="N37" i="28" s="1"/>
  <c r="K37" i="28"/>
  <c r="L37" i="28" s="1"/>
  <c r="F37" i="28"/>
  <c r="H37" i="28" s="1"/>
  <c r="M35" i="28"/>
  <c r="N35" i="28" s="1"/>
  <c r="K35" i="28"/>
  <c r="L35" i="28" s="1"/>
  <c r="F35" i="28"/>
  <c r="H35" i="28" s="1"/>
  <c r="N33" i="28"/>
  <c r="M33" i="28"/>
  <c r="K33" i="28"/>
  <c r="L33" i="28" s="1"/>
  <c r="F33" i="28"/>
  <c r="H33" i="28" s="1"/>
  <c r="M31" i="28"/>
  <c r="N31" i="28" s="1"/>
  <c r="K31" i="28"/>
  <c r="L31" i="28" s="1"/>
  <c r="F31" i="28"/>
  <c r="H31" i="28" s="1"/>
  <c r="G30" i="28"/>
  <c r="K30" i="28" s="1"/>
  <c r="L30" i="28" s="1"/>
  <c r="F30" i="28"/>
  <c r="M29" i="28"/>
  <c r="N29" i="28" s="1"/>
  <c r="K29" i="28"/>
  <c r="L29" i="28" s="1"/>
  <c r="F29" i="28"/>
  <c r="H29" i="28" s="1"/>
  <c r="M28" i="28"/>
  <c r="N28" i="28" s="1"/>
  <c r="K28" i="28"/>
  <c r="L28" i="28" s="1"/>
  <c r="F28" i="28"/>
  <c r="H28" i="28" s="1"/>
  <c r="C18" i="28"/>
  <c r="C20" i="28" s="1"/>
  <c r="C17" i="28"/>
  <c r="C19" i="28" s="1"/>
  <c r="C16" i="28"/>
  <c r="C12" i="28"/>
  <c r="N28" i="19"/>
  <c r="O28" i="19" s="1"/>
  <c r="L28" i="19"/>
  <c r="M28" i="19" s="1"/>
  <c r="I28" i="19"/>
  <c r="J28" i="19" s="1"/>
  <c r="K28" i="19" s="1"/>
  <c r="F28" i="19"/>
  <c r="L28" i="18"/>
  <c r="M28" i="18" s="1"/>
  <c r="J28" i="18"/>
  <c r="K28" i="18" s="1"/>
  <c r="H28" i="18"/>
  <c r="I28" i="18" s="1"/>
  <c r="G28" i="18"/>
  <c r="E28" i="18"/>
  <c r="E30" i="26"/>
  <c r="E31" i="26"/>
  <c r="E32" i="26"/>
  <c r="E33" i="26"/>
  <c r="E34" i="26"/>
  <c r="H34" i="26" s="1"/>
  <c r="I34" i="26" s="1"/>
  <c r="E35" i="26"/>
  <c r="E36" i="26"/>
  <c r="H36" i="26" s="1"/>
  <c r="I36" i="26" s="1"/>
  <c r="E37" i="26"/>
  <c r="H37" i="26" s="1"/>
  <c r="I37" i="26" s="1"/>
  <c r="E38" i="26"/>
  <c r="E39" i="26"/>
  <c r="E40" i="26"/>
  <c r="H40" i="26" s="1"/>
  <c r="I40" i="26" s="1"/>
  <c r="E41" i="26"/>
  <c r="E29" i="26"/>
  <c r="H29" i="26" s="1"/>
  <c r="I29" i="26" s="1"/>
  <c r="H31" i="26"/>
  <c r="I31" i="26" s="1"/>
  <c r="H32" i="26"/>
  <c r="I32" i="26" s="1"/>
  <c r="H38" i="26"/>
  <c r="I38" i="26" s="1"/>
  <c r="H39" i="26"/>
  <c r="I39" i="26" s="1"/>
  <c r="H30" i="26"/>
  <c r="I30" i="26" s="1"/>
  <c r="H35" i="26"/>
  <c r="I35" i="26" s="1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28" i="26"/>
  <c r="H33" i="26"/>
  <c r="I33" i="26" s="1"/>
  <c r="H41" i="26"/>
  <c r="I41" i="26" s="1"/>
  <c r="I28" i="29" l="1"/>
  <c r="J28" i="29" s="1"/>
  <c r="O28" i="29"/>
  <c r="O37" i="29"/>
  <c r="P37" i="29" s="1"/>
  <c r="I37" i="29"/>
  <c r="J37" i="29" s="1"/>
  <c r="O41" i="29"/>
  <c r="P41" i="29" s="1"/>
  <c r="I41" i="29"/>
  <c r="J41" i="29" s="1"/>
  <c r="P28" i="29"/>
  <c r="I32" i="29"/>
  <c r="J32" i="29" s="1"/>
  <c r="O32" i="29"/>
  <c r="P32" i="29" s="1"/>
  <c r="I33" i="29"/>
  <c r="J33" i="29" s="1"/>
  <c r="O33" i="29"/>
  <c r="P33" i="29" s="1"/>
  <c r="I31" i="29"/>
  <c r="J31" i="29" s="1"/>
  <c r="O31" i="29"/>
  <c r="P31" i="29" s="1"/>
  <c r="I38" i="29"/>
  <c r="J38" i="29" s="1"/>
  <c r="O38" i="29"/>
  <c r="P38" i="29" s="1"/>
  <c r="I40" i="29"/>
  <c r="J40" i="29" s="1"/>
  <c r="O40" i="29"/>
  <c r="P40" i="29" s="1"/>
  <c r="I35" i="29"/>
  <c r="J35" i="29" s="1"/>
  <c r="O35" i="29"/>
  <c r="P35" i="29" s="1"/>
  <c r="I39" i="29"/>
  <c r="J39" i="29" s="1"/>
  <c r="O39" i="29"/>
  <c r="P39" i="29" s="1"/>
  <c r="M36" i="29"/>
  <c r="N36" i="29" s="1"/>
  <c r="H30" i="29"/>
  <c r="M34" i="29"/>
  <c r="N34" i="29" s="1"/>
  <c r="F36" i="29"/>
  <c r="H36" i="29" s="1"/>
  <c r="I36" i="29" s="1"/>
  <c r="J36" i="29" s="1"/>
  <c r="F34" i="29"/>
  <c r="H34" i="29" s="1"/>
  <c r="I34" i="29" s="1"/>
  <c r="J34" i="29" s="1"/>
  <c r="O29" i="29"/>
  <c r="P29" i="29" s="1"/>
  <c r="I40" i="28"/>
  <c r="J40" i="28" s="1"/>
  <c r="I39" i="28"/>
  <c r="J39" i="28" s="1"/>
  <c r="I38" i="28"/>
  <c r="J38" i="28" s="1"/>
  <c r="O41" i="28"/>
  <c r="P41" i="28" s="1"/>
  <c r="F36" i="28"/>
  <c r="H36" i="28" s="1"/>
  <c r="K36" i="28"/>
  <c r="L36" i="28" s="1"/>
  <c r="K34" i="28"/>
  <c r="L34" i="28" s="1"/>
  <c r="F34" i="28"/>
  <c r="H34" i="28" s="1"/>
  <c r="F32" i="28"/>
  <c r="H32" i="28" s="1"/>
  <c r="K32" i="28"/>
  <c r="L32" i="28" s="1"/>
  <c r="H30" i="28"/>
  <c r="M30" i="28"/>
  <c r="N30" i="28" s="1"/>
  <c r="J41" i="26"/>
  <c r="J40" i="26"/>
  <c r="J39" i="26"/>
  <c r="J38" i="26"/>
  <c r="J37" i="26"/>
  <c r="J36" i="26"/>
  <c r="J35" i="26"/>
  <c r="J34" i="26"/>
  <c r="J33" i="26"/>
  <c r="J32" i="26"/>
  <c r="J31" i="26"/>
  <c r="F30" i="26"/>
  <c r="J29" i="26"/>
  <c r="C18" i="26"/>
  <c r="C20" i="26" s="1"/>
  <c r="C17" i="26"/>
  <c r="C19" i="26" s="1"/>
  <c r="C16" i="26"/>
  <c r="C12" i="26"/>
  <c r="D10" i="25"/>
  <c r="F10" i="25"/>
  <c r="C10" i="25"/>
  <c r="E10" i="25"/>
  <c r="O36" i="29" l="1"/>
  <c r="P36" i="29" s="1"/>
  <c r="I30" i="29"/>
  <c r="J30" i="29" s="1"/>
  <c r="O30" i="29"/>
  <c r="P30" i="29" s="1"/>
  <c r="O34" i="29"/>
  <c r="P34" i="29" s="1"/>
  <c r="J30" i="26"/>
  <c r="N30" i="24" l="1"/>
  <c r="N31" i="24"/>
  <c r="N32" i="24"/>
  <c r="N33" i="24"/>
  <c r="N34" i="24"/>
  <c r="N35" i="24"/>
  <c r="N36" i="24"/>
  <c r="N37" i="24"/>
  <c r="N38" i="24"/>
  <c r="N39" i="24"/>
  <c r="N40" i="24"/>
  <c r="N41" i="24"/>
  <c r="N29" i="24"/>
  <c r="L30" i="18"/>
  <c r="L31" i="18"/>
  <c r="L32" i="18"/>
  <c r="L33" i="18"/>
  <c r="L34" i="18"/>
  <c r="L35" i="18"/>
  <c r="L36" i="18"/>
  <c r="L37" i="18"/>
  <c r="L38" i="18"/>
  <c r="L39" i="18"/>
  <c r="L40" i="18"/>
  <c r="L41" i="18"/>
  <c r="L29" i="18"/>
  <c r="N30" i="19"/>
  <c r="N31" i="19"/>
  <c r="N32" i="19"/>
  <c r="N33" i="19"/>
  <c r="N34" i="19"/>
  <c r="N35" i="19"/>
  <c r="N36" i="19"/>
  <c r="N37" i="19"/>
  <c r="N38" i="19"/>
  <c r="N39" i="19"/>
  <c r="N40" i="19"/>
  <c r="N41" i="19"/>
  <c r="N29" i="19"/>
  <c r="O37" i="24" l="1"/>
  <c r="I41" i="24"/>
  <c r="H41" i="24"/>
  <c r="F41" i="24"/>
  <c r="C41" i="24"/>
  <c r="O41" i="24" s="1"/>
  <c r="H40" i="24"/>
  <c r="I40" i="24" s="1"/>
  <c r="F40" i="24"/>
  <c r="C40" i="24"/>
  <c r="O40" i="24" s="1"/>
  <c r="H39" i="24"/>
  <c r="I39" i="24" s="1"/>
  <c r="J39" i="24" s="1"/>
  <c r="K39" i="24" s="1"/>
  <c r="F39" i="24"/>
  <c r="C39" i="24"/>
  <c r="O39" i="24" s="1"/>
  <c r="L38" i="24"/>
  <c r="M38" i="24" s="1"/>
  <c r="H38" i="24"/>
  <c r="I38" i="24" s="1"/>
  <c r="J38" i="24" s="1"/>
  <c r="K38" i="24" s="1"/>
  <c r="F38" i="24"/>
  <c r="C38" i="24"/>
  <c r="O38" i="24" s="1"/>
  <c r="H37" i="24"/>
  <c r="I37" i="24" s="1"/>
  <c r="F37" i="24"/>
  <c r="C37" i="24"/>
  <c r="L37" i="24" s="1"/>
  <c r="M37" i="24" s="1"/>
  <c r="H36" i="24"/>
  <c r="I36" i="24" s="1"/>
  <c r="F36" i="24"/>
  <c r="C36" i="24"/>
  <c r="O36" i="24" s="1"/>
  <c r="I35" i="24"/>
  <c r="J35" i="24" s="1"/>
  <c r="K35" i="24" s="1"/>
  <c r="H35" i="24"/>
  <c r="L35" i="24" s="1"/>
  <c r="M35" i="24" s="1"/>
  <c r="F35" i="24"/>
  <c r="C35" i="24"/>
  <c r="O35" i="24" s="1"/>
  <c r="L34" i="24"/>
  <c r="M34" i="24" s="1"/>
  <c r="H34" i="24"/>
  <c r="I34" i="24" s="1"/>
  <c r="J34" i="24" s="1"/>
  <c r="K34" i="24" s="1"/>
  <c r="F34" i="24"/>
  <c r="C34" i="24"/>
  <c r="O34" i="24" s="1"/>
  <c r="H33" i="24"/>
  <c r="I33" i="24" s="1"/>
  <c r="F33" i="24"/>
  <c r="C33" i="24"/>
  <c r="L33" i="24" s="1"/>
  <c r="M33" i="24" s="1"/>
  <c r="H32" i="24"/>
  <c r="I32" i="24" s="1"/>
  <c r="F32" i="24"/>
  <c r="C32" i="24"/>
  <c r="O32" i="24" s="1"/>
  <c r="I31" i="24"/>
  <c r="J31" i="24" s="1"/>
  <c r="K31" i="24" s="1"/>
  <c r="H31" i="24"/>
  <c r="L31" i="24" s="1"/>
  <c r="M31" i="24" s="1"/>
  <c r="F31" i="24"/>
  <c r="C31" i="24"/>
  <c r="O31" i="24" s="1"/>
  <c r="O30" i="24"/>
  <c r="L30" i="24"/>
  <c r="M30" i="24" s="1"/>
  <c r="H30" i="24"/>
  <c r="I30" i="24" s="1"/>
  <c r="J30" i="24" s="1"/>
  <c r="K30" i="24" s="1"/>
  <c r="G30" i="24"/>
  <c r="F30" i="24"/>
  <c r="C30" i="24"/>
  <c r="I29" i="24"/>
  <c r="H29" i="24"/>
  <c r="F29" i="24"/>
  <c r="C29" i="24"/>
  <c r="O29" i="24" s="1"/>
  <c r="H28" i="24"/>
  <c r="C28" i="24"/>
  <c r="C27" i="24"/>
  <c r="C26" i="24"/>
  <c r="C25" i="24"/>
  <c r="C18" i="24"/>
  <c r="C20" i="24" s="1"/>
  <c r="C17" i="24"/>
  <c r="C19" i="24" s="1"/>
  <c r="C16" i="24"/>
  <c r="C12" i="24"/>
  <c r="L43" i="23"/>
  <c r="M43" i="23" s="1"/>
  <c r="J43" i="23"/>
  <c r="K43" i="23" s="1"/>
  <c r="E43" i="23"/>
  <c r="G43" i="23" s="1"/>
  <c r="H43" i="23" s="1"/>
  <c r="I43" i="23" s="1"/>
  <c r="L42" i="23"/>
  <c r="M42" i="23" s="1"/>
  <c r="J42" i="23"/>
  <c r="K42" i="23" s="1"/>
  <c r="E42" i="23"/>
  <c r="G42" i="23" s="1"/>
  <c r="H42" i="23" s="1"/>
  <c r="I42" i="23" s="1"/>
  <c r="L41" i="23"/>
  <c r="M41" i="23" s="1"/>
  <c r="J41" i="23"/>
  <c r="K41" i="23" s="1"/>
  <c r="E41" i="23"/>
  <c r="G41" i="23" s="1"/>
  <c r="H41" i="23" s="1"/>
  <c r="I41" i="23" s="1"/>
  <c r="L40" i="23"/>
  <c r="M40" i="23" s="1"/>
  <c r="J40" i="23"/>
  <c r="K40" i="23" s="1"/>
  <c r="E40" i="23"/>
  <c r="G40" i="23" s="1"/>
  <c r="H40" i="23" s="1"/>
  <c r="I40" i="23" s="1"/>
  <c r="L39" i="23"/>
  <c r="M39" i="23" s="1"/>
  <c r="J39" i="23"/>
  <c r="K39" i="23" s="1"/>
  <c r="E39" i="23"/>
  <c r="G39" i="23" s="1"/>
  <c r="H39" i="23" s="1"/>
  <c r="I39" i="23" s="1"/>
  <c r="L38" i="23"/>
  <c r="M38" i="23" s="1"/>
  <c r="J38" i="23"/>
  <c r="K38" i="23" s="1"/>
  <c r="E38" i="23"/>
  <c r="G38" i="23" s="1"/>
  <c r="H38" i="23" s="1"/>
  <c r="I38" i="23" s="1"/>
  <c r="L37" i="23"/>
  <c r="M37" i="23" s="1"/>
  <c r="J37" i="23"/>
  <c r="K37" i="23" s="1"/>
  <c r="E37" i="23"/>
  <c r="G37" i="23" s="1"/>
  <c r="H37" i="23" s="1"/>
  <c r="I37" i="23" s="1"/>
  <c r="L36" i="23"/>
  <c r="M36" i="23" s="1"/>
  <c r="J36" i="23"/>
  <c r="K36" i="23" s="1"/>
  <c r="E36" i="23"/>
  <c r="G36" i="23" s="1"/>
  <c r="H36" i="23" s="1"/>
  <c r="I36" i="23" s="1"/>
  <c r="L35" i="23"/>
  <c r="M35" i="23" s="1"/>
  <c r="J35" i="23"/>
  <c r="K35" i="23" s="1"/>
  <c r="E35" i="23"/>
  <c r="G35" i="23" s="1"/>
  <c r="H35" i="23" s="1"/>
  <c r="I35" i="23" s="1"/>
  <c r="L34" i="23"/>
  <c r="M34" i="23" s="1"/>
  <c r="J34" i="23"/>
  <c r="K34" i="23" s="1"/>
  <c r="E34" i="23"/>
  <c r="G34" i="23" s="1"/>
  <c r="H34" i="23" s="1"/>
  <c r="I34" i="23" s="1"/>
  <c r="L33" i="23"/>
  <c r="M33" i="23" s="1"/>
  <c r="J33" i="23"/>
  <c r="K33" i="23" s="1"/>
  <c r="E33" i="23"/>
  <c r="G33" i="23" s="1"/>
  <c r="H33" i="23" s="1"/>
  <c r="I33" i="23" s="1"/>
  <c r="L32" i="23"/>
  <c r="M32" i="23" s="1"/>
  <c r="J32" i="23"/>
  <c r="K32" i="23" s="1"/>
  <c r="F32" i="23"/>
  <c r="E32" i="23"/>
  <c r="G32" i="23" s="1"/>
  <c r="H32" i="23" s="1"/>
  <c r="I32" i="23" s="1"/>
  <c r="L31" i="23"/>
  <c r="M31" i="23" s="1"/>
  <c r="K31" i="23"/>
  <c r="J31" i="23"/>
  <c r="E31" i="23"/>
  <c r="G31" i="23" s="1"/>
  <c r="H31" i="23" s="1"/>
  <c r="I31" i="23" s="1"/>
  <c r="G30" i="23"/>
  <c r="H30" i="23" s="1"/>
  <c r="I30" i="23" s="1"/>
  <c r="E30" i="23"/>
  <c r="E29" i="23"/>
  <c r="G29" i="23" s="1"/>
  <c r="H29" i="23" s="1"/>
  <c r="I29" i="23" s="1"/>
  <c r="G28" i="23"/>
  <c r="H28" i="23" s="1"/>
  <c r="I28" i="23" s="1"/>
  <c r="E28" i="23"/>
  <c r="E27" i="23"/>
  <c r="G27" i="23" s="1"/>
  <c r="H27" i="23" s="1"/>
  <c r="I27" i="23" s="1"/>
  <c r="G26" i="23"/>
  <c r="H26" i="23" s="1"/>
  <c r="I26" i="23" s="1"/>
  <c r="E26" i="23"/>
  <c r="E25" i="23"/>
  <c r="G25" i="23" s="1"/>
  <c r="H25" i="23" s="1"/>
  <c r="I25" i="23" s="1"/>
  <c r="C18" i="23"/>
  <c r="C20" i="23" s="1"/>
  <c r="C17" i="23"/>
  <c r="C19" i="23" s="1"/>
  <c r="C16" i="23"/>
  <c r="C12" i="23"/>
  <c r="O33" i="24" l="1"/>
  <c r="J40" i="24"/>
  <c r="K40" i="24" s="1"/>
  <c r="J32" i="24"/>
  <c r="K32" i="24" s="1"/>
  <c r="J36" i="24"/>
  <c r="K36" i="24" s="1"/>
  <c r="L39" i="24"/>
  <c r="M39" i="24" s="1"/>
  <c r="J29" i="24"/>
  <c r="K29" i="24" s="1"/>
  <c r="L32" i="24"/>
  <c r="M32" i="24" s="1"/>
  <c r="J33" i="24"/>
  <c r="K33" i="24" s="1"/>
  <c r="L36" i="24"/>
  <c r="M36" i="24" s="1"/>
  <c r="J37" i="24"/>
  <c r="K37" i="24" s="1"/>
  <c r="L40" i="24"/>
  <c r="M40" i="24" s="1"/>
  <c r="J41" i="24"/>
  <c r="K41" i="24" s="1"/>
  <c r="L29" i="24"/>
  <c r="M29" i="24" s="1"/>
  <c r="L41" i="24"/>
  <c r="M41" i="24" s="1"/>
  <c r="O31" i="19"/>
  <c r="O32" i="19"/>
  <c r="O33" i="19"/>
  <c r="O35" i="19"/>
  <c r="O39" i="19"/>
  <c r="O40" i="19"/>
  <c r="O41" i="19"/>
  <c r="O30" i="19"/>
  <c r="O34" i="19"/>
  <c r="O36" i="19"/>
  <c r="O37" i="19"/>
  <c r="O38" i="19"/>
  <c r="O29" i="19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K29" i="18"/>
  <c r="F21" i="22"/>
  <c r="F20" i="22"/>
  <c r="E21" i="22"/>
  <c r="E20" i="22"/>
  <c r="E33" i="22" s="1"/>
  <c r="D21" i="22"/>
  <c r="D20" i="22"/>
  <c r="D33" i="22" s="1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38" i="22"/>
  <c r="F36" i="22"/>
  <c r="F37" i="22" s="1"/>
  <c r="D36" i="22"/>
  <c r="C36" i="22"/>
  <c r="C21" i="22"/>
  <c r="C20" i="22"/>
  <c r="I12" i="22"/>
  <c r="L30" i="19"/>
  <c r="L31" i="19"/>
  <c r="L32" i="19"/>
  <c r="L33" i="19"/>
  <c r="L34" i="19"/>
  <c r="L35" i="19"/>
  <c r="M35" i="19" s="1"/>
  <c r="L36" i="19"/>
  <c r="L37" i="19"/>
  <c r="L38" i="19"/>
  <c r="M38" i="19" s="1"/>
  <c r="L39" i="19"/>
  <c r="L40" i="19"/>
  <c r="L41" i="19"/>
  <c r="L29" i="19"/>
  <c r="J30" i="19"/>
  <c r="J31" i="19"/>
  <c r="J32" i="19"/>
  <c r="J33" i="19"/>
  <c r="J34" i="19"/>
  <c r="J35" i="19"/>
  <c r="J36" i="19"/>
  <c r="J37" i="19"/>
  <c r="J39" i="19"/>
  <c r="J40" i="19"/>
  <c r="J41" i="19"/>
  <c r="J29" i="19"/>
  <c r="I30" i="19"/>
  <c r="I31" i="19"/>
  <c r="I32" i="19"/>
  <c r="I33" i="19"/>
  <c r="I34" i="19"/>
  <c r="I35" i="19"/>
  <c r="I36" i="19"/>
  <c r="I37" i="19"/>
  <c r="I38" i="19"/>
  <c r="J38" i="19" s="1"/>
  <c r="K38" i="19" s="1"/>
  <c r="I39" i="19"/>
  <c r="I40" i="19"/>
  <c r="I41" i="19"/>
  <c r="I29" i="19"/>
  <c r="H29" i="19"/>
  <c r="H30" i="19"/>
  <c r="H31" i="19"/>
  <c r="H32" i="19"/>
  <c r="H33" i="19"/>
  <c r="H34" i="19"/>
  <c r="H35" i="19"/>
  <c r="H36" i="19"/>
  <c r="H37" i="19"/>
  <c r="H39" i="19"/>
  <c r="H40" i="19"/>
  <c r="H41" i="19"/>
  <c r="H28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25" i="19"/>
  <c r="M41" i="19"/>
  <c r="F41" i="19"/>
  <c r="K41" i="19" s="1"/>
  <c r="M40" i="19"/>
  <c r="F40" i="19"/>
  <c r="M39" i="19"/>
  <c r="F39" i="19"/>
  <c r="K39" i="19" s="1"/>
  <c r="F38" i="19"/>
  <c r="M37" i="19"/>
  <c r="F37" i="19"/>
  <c r="M36" i="19"/>
  <c r="F36" i="19"/>
  <c r="F35" i="19"/>
  <c r="M34" i="19"/>
  <c r="K34" i="19"/>
  <c r="F34" i="19"/>
  <c r="M33" i="19"/>
  <c r="F33" i="19"/>
  <c r="K33" i="19" s="1"/>
  <c r="M32" i="19"/>
  <c r="K32" i="19"/>
  <c r="F32" i="19"/>
  <c r="M31" i="19"/>
  <c r="F31" i="19"/>
  <c r="K31" i="19" s="1"/>
  <c r="G30" i="19"/>
  <c r="M30" i="19" s="1"/>
  <c r="F30" i="19"/>
  <c r="K30" i="19" s="1"/>
  <c r="M29" i="19"/>
  <c r="F29" i="19"/>
  <c r="K29" i="19" s="1"/>
  <c r="C18" i="19"/>
  <c r="C20" i="19" s="1"/>
  <c r="C17" i="19"/>
  <c r="C19" i="19" s="1"/>
  <c r="C16" i="19"/>
  <c r="C12" i="19"/>
  <c r="F33" i="22" l="1"/>
  <c r="D31" i="22"/>
  <c r="F31" i="22"/>
  <c r="C25" i="22"/>
  <c r="E31" i="22"/>
  <c r="G31" i="22"/>
  <c r="C33" i="22"/>
  <c r="C32" i="22"/>
  <c r="D32" i="22"/>
  <c r="G20" i="22"/>
  <c r="F39" i="22"/>
  <c r="E32" i="22"/>
  <c r="F32" i="22"/>
  <c r="D43" i="22"/>
  <c r="D196" i="22"/>
  <c r="D245" i="22"/>
  <c r="D133" i="22"/>
  <c r="D149" i="22"/>
  <c r="D165" i="22"/>
  <c r="D197" i="22"/>
  <c r="D213" i="22"/>
  <c r="D277" i="22"/>
  <c r="D309" i="22"/>
  <c r="D341" i="22"/>
  <c r="D381" i="22"/>
  <c r="D413" i="22"/>
  <c r="D445" i="22"/>
  <c r="D461" i="22"/>
  <c r="D46" i="22"/>
  <c r="D62" i="22"/>
  <c r="D78" i="22"/>
  <c r="D86" i="22"/>
  <c r="D102" i="22"/>
  <c r="D113" i="22"/>
  <c r="D129" i="22"/>
  <c r="D153" i="22"/>
  <c r="D169" i="22"/>
  <c r="D193" i="22"/>
  <c r="D225" i="22"/>
  <c r="D257" i="22"/>
  <c r="D289" i="22"/>
  <c r="D321" i="22"/>
  <c r="D361" i="22"/>
  <c r="D385" i="22"/>
  <c r="D425" i="22"/>
  <c r="D457" i="22"/>
  <c r="D50" i="22"/>
  <c r="D66" i="22"/>
  <c r="D82" i="22"/>
  <c r="D90" i="22"/>
  <c r="D106" i="22"/>
  <c r="D114" i="22"/>
  <c r="D121" i="22"/>
  <c r="D145" i="22"/>
  <c r="D161" i="22"/>
  <c r="D177" i="22"/>
  <c r="D201" i="22"/>
  <c r="D233" i="22"/>
  <c r="D265" i="22"/>
  <c r="D297" i="22"/>
  <c r="D353" i="22"/>
  <c r="D393" i="22"/>
  <c r="D441" i="22"/>
  <c r="D473" i="22"/>
  <c r="D58" i="22"/>
  <c r="D74" i="22"/>
  <c r="D98" i="22"/>
  <c r="D534" i="22"/>
  <c r="D137" i="22"/>
  <c r="D185" i="22"/>
  <c r="D329" i="22"/>
  <c r="D125" i="22"/>
  <c r="D173" i="22"/>
  <c r="D349" i="22"/>
  <c r="D117" i="22"/>
  <c r="D141" i="22"/>
  <c r="D157" i="22"/>
  <c r="D181" i="22"/>
  <c r="D189" i="22"/>
  <c r="D221" i="22"/>
  <c r="D253" i="22"/>
  <c r="D285" i="22"/>
  <c r="D317" i="22"/>
  <c r="D373" i="22"/>
  <c r="D405" i="22"/>
  <c r="D429" i="22"/>
  <c r="D477" i="22"/>
  <c r="D54" i="22"/>
  <c r="D70" i="22"/>
  <c r="D94" i="22"/>
  <c r="D110" i="22"/>
  <c r="D49" i="22"/>
  <c r="D57" i="22"/>
  <c r="D65" i="22"/>
  <c r="D73" i="22"/>
  <c r="D81" i="22"/>
  <c r="D89" i="22"/>
  <c r="D97" i="22"/>
  <c r="D105" i="22"/>
  <c r="D112" i="22"/>
  <c r="D216" i="22"/>
  <c r="D224" i="22"/>
  <c r="D248" i="22"/>
  <c r="D256" i="22"/>
  <c r="D280" i="22"/>
  <c r="D288" i="22"/>
  <c r="D130" i="22"/>
  <c r="D146" i="22"/>
  <c r="D162" i="22"/>
  <c r="D178" i="22"/>
  <c r="D194" i="22"/>
  <c r="D202" i="22"/>
  <c r="D242" i="22"/>
  <c r="D274" i="22"/>
  <c r="D306" i="22"/>
  <c r="D338" i="22"/>
  <c r="D370" i="22"/>
  <c r="D402" i="22"/>
  <c r="D434" i="22"/>
  <c r="D450" i="22"/>
  <c r="D482" i="22"/>
  <c r="D122" i="22"/>
  <c r="D138" i="22"/>
  <c r="D154" i="22"/>
  <c r="D170" i="22"/>
  <c r="D186" i="22"/>
  <c r="D210" i="22"/>
  <c r="D234" i="22"/>
  <c r="D266" i="22"/>
  <c r="D298" i="22"/>
  <c r="D330" i="22"/>
  <c r="D362" i="22"/>
  <c r="D394" i="22"/>
  <c r="D418" i="22"/>
  <c r="D466" i="22"/>
  <c r="D45" i="22"/>
  <c r="D53" i="22"/>
  <c r="D61" i="22"/>
  <c r="D69" i="22"/>
  <c r="D77" i="22"/>
  <c r="D85" i="22"/>
  <c r="D93" i="22"/>
  <c r="D101" i="22"/>
  <c r="D109" i="22"/>
  <c r="D204" i="22"/>
  <c r="D212" i="22"/>
  <c r="D236" i="22"/>
  <c r="D244" i="22"/>
  <c r="D268" i="22"/>
  <c r="D276" i="22"/>
  <c r="D300" i="22"/>
  <c r="D126" i="22"/>
  <c r="D142" i="22"/>
  <c r="D158" i="22"/>
  <c r="D174" i="22"/>
  <c r="D190" i="22"/>
  <c r="D222" i="22"/>
  <c r="D254" i="22"/>
  <c r="D286" i="22"/>
  <c r="D318" i="22"/>
  <c r="D350" i="22"/>
  <c r="D382" i="22"/>
  <c r="D414" i="22"/>
  <c r="D446" i="22"/>
  <c r="D462" i="22"/>
  <c r="D486" i="22"/>
  <c r="D118" i="22"/>
  <c r="D134" i="22"/>
  <c r="D150" i="22"/>
  <c r="D166" i="22"/>
  <c r="D182" i="22"/>
  <c r="D198" i="22"/>
  <c r="D230" i="22"/>
  <c r="D262" i="22"/>
  <c r="D294" i="22"/>
  <c r="D326" i="22"/>
  <c r="D358" i="22"/>
  <c r="D390" i="22"/>
  <c r="D430" i="22"/>
  <c r="D478" i="22"/>
  <c r="D312" i="22"/>
  <c r="D320" i="22"/>
  <c r="D490" i="22"/>
  <c r="D514" i="22"/>
  <c r="D522" i="22"/>
  <c r="D308" i="22"/>
  <c r="D332" i="22"/>
  <c r="D494" i="22"/>
  <c r="D518" i="22"/>
  <c r="D526" i="22"/>
  <c r="D52" i="22"/>
  <c r="D76" i="22"/>
  <c r="D104" i="22"/>
  <c r="D214" i="22"/>
  <c r="D237" i="22"/>
  <c r="D260" i="22"/>
  <c r="D269" i="22"/>
  <c r="D301" i="22"/>
  <c r="D324" i="22"/>
  <c r="D342" i="22"/>
  <c r="D356" i="22"/>
  <c r="D379" i="22"/>
  <c r="D397" i="22"/>
  <c r="D411" i="22"/>
  <c r="D421" i="22"/>
  <c r="D426" i="22"/>
  <c r="D437" i="22"/>
  <c r="D442" i="22"/>
  <c r="D453" i="22"/>
  <c r="D458" i="22"/>
  <c r="D469" i="22"/>
  <c r="D474" i="22"/>
  <c r="D498" i="22"/>
  <c r="D537" i="22"/>
  <c r="C34" i="22"/>
  <c r="D215" i="22"/>
  <c r="D247" i="22"/>
  <c r="D279" i="22"/>
  <c r="D311" i="22"/>
  <c r="D343" i="22"/>
  <c r="D352" i="22"/>
  <c r="D375" i="22"/>
  <c r="D384" i="22"/>
  <c r="D407" i="22"/>
  <c r="D427" i="22"/>
  <c r="D443" i="22"/>
  <c r="D459" i="22"/>
  <c r="D475" i="22"/>
  <c r="D493" i="22"/>
  <c r="D499" i="22"/>
  <c r="D525" i="22"/>
  <c r="D531" i="22"/>
  <c r="D211" i="22"/>
  <c r="D238" i="22"/>
  <c r="D243" i="22"/>
  <c r="D252" i="22"/>
  <c r="D261" i="22"/>
  <c r="D270" i="22"/>
  <c r="D275" i="22"/>
  <c r="D284" i="22"/>
  <c r="D293" i="22"/>
  <c r="D302" i="22"/>
  <c r="D307" i="22"/>
  <c r="D316" i="22"/>
  <c r="D325" i="22"/>
  <c r="D334" i="22"/>
  <c r="D339" i="22"/>
  <c r="D348" i="22"/>
  <c r="D357" i="22"/>
  <c r="D366" i="22"/>
  <c r="D371" i="22"/>
  <c r="D380" i="22"/>
  <c r="D389" i="22"/>
  <c r="D398" i="22"/>
  <c r="D403" i="22"/>
  <c r="D412" i="22"/>
  <c r="D417" i="22"/>
  <c r="D422" i="22"/>
  <c r="D433" i="22"/>
  <c r="D438" i="22"/>
  <c r="D449" i="22"/>
  <c r="D454" i="22"/>
  <c r="D465" i="22"/>
  <c r="D470" i="22"/>
  <c r="D481" i="22"/>
  <c r="D487" i="22"/>
  <c r="D506" i="22"/>
  <c r="D513" i="22"/>
  <c r="D519" i="22"/>
  <c r="D538" i="22"/>
  <c r="D68" i="22"/>
  <c r="D108" i="22"/>
  <c r="D310" i="22"/>
  <c r="D347" i="22"/>
  <c r="D365" i="22"/>
  <c r="D388" i="22"/>
  <c r="D511" i="22"/>
  <c r="D220" i="22"/>
  <c r="D207" i="22"/>
  <c r="D239" i="22"/>
  <c r="D271" i="22"/>
  <c r="D303" i="22"/>
  <c r="D335" i="22"/>
  <c r="D344" i="22"/>
  <c r="D367" i="22"/>
  <c r="D376" i="22"/>
  <c r="D399" i="22"/>
  <c r="D408" i="22"/>
  <c r="D423" i="22"/>
  <c r="D439" i="22"/>
  <c r="D455" i="22"/>
  <c r="D471" i="22"/>
  <c r="D501" i="22"/>
  <c r="D507" i="22"/>
  <c r="D533" i="22"/>
  <c r="D539" i="22"/>
  <c r="D56" i="22"/>
  <c r="D64" i="22"/>
  <c r="D84" i="22"/>
  <c r="D96" i="22"/>
  <c r="D205" i="22"/>
  <c r="D228" i="22"/>
  <c r="D246" i="22"/>
  <c r="D278" i="22"/>
  <c r="D315" i="22"/>
  <c r="D333" i="22"/>
  <c r="D530" i="22"/>
  <c r="D229" i="22"/>
  <c r="D203" i="22"/>
  <c r="D235" i="22"/>
  <c r="D267" i="22"/>
  <c r="D299" i="22"/>
  <c r="D331" i="22"/>
  <c r="D340" i="22"/>
  <c r="D363" i="22"/>
  <c r="D372" i="22"/>
  <c r="D395" i="22"/>
  <c r="D404" i="22"/>
  <c r="D489" i="22"/>
  <c r="D495" i="22"/>
  <c r="D521" i="22"/>
  <c r="D527" i="22"/>
  <c r="D44" i="22"/>
  <c r="D72" i="22"/>
  <c r="D100" i="22"/>
  <c r="D219" i="22"/>
  <c r="D251" i="22"/>
  <c r="D283" i="22"/>
  <c r="D505" i="22"/>
  <c r="D206" i="22"/>
  <c r="C37" i="22"/>
  <c r="C39" i="22" s="1"/>
  <c r="D47" i="22"/>
  <c r="D55" i="22"/>
  <c r="D67" i="22"/>
  <c r="D79" i="22"/>
  <c r="D87" i="22"/>
  <c r="D91" i="22"/>
  <c r="D99" i="22"/>
  <c r="D103" i="22"/>
  <c r="D107" i="22"/>
  <c r="D111" i="22"/>
  <c r="D115" i="22"/>
  <c r="D119" i="22"/>
  <c r="D127" i="22"/>
  <c r="D131" i="22"/>
  <c r="D135" i="22"/>
  <c r="D139" i="22"/>
  <c r="D143" i="22"/>
  <c r="D147" i="22"/>
  <c r="D151" i="22"/>
  <c r="D155" i="22"/>
  <c r="D159" i="22"/>
  <c r="D163" i="22"/>
  <c r="D167" i="22"/>
  <c r="D171" i="22"/>
  <c r="D175" i="22"/>
  <c r="D179" i="22"/>
  <c r="D183" i="22"/>
  <c r="D187" i="22"/>
  <c r="D191" i="22"/>
  <c r="D195" i="22"/>
  <c r="D199" i="22"/>
  <c r="D208" i="22"/>
  <c r="D217" i="22"/>
  <c r="D226" i="22"/>
  <c r="D231" i="22"/>
  <c r="D240" i="22"/>
  <c r="D249" i="22"/>
  <c r="D258" i="22"/>
  <c r="D263" i="22"/>
  <c r="D272" i="22"/>
  <c r="D281" i="22"/>
  <c r="D290" i="22"/>
  <c r="D295" i="22"/>
  <c r="D304" i="22"/>
  <c r="D313" i="22"/>
  <c r="D322" i="22"/>
  <c r="D327" i="22"/>
  <c r="D336" i="22"/>
  <c r="D345" i="22"/>
  <c r="D354" i="22"/>
  <c r="D359" i="22"/>
  <c r="D368" i="22"/>
  <c r="D377" i="22"/>
  <c r="D386" i="22"/>
  <c r="D391" i="22"/>
  <c r="D400" i="22"/>
  <c r="D409" i="22"/>
  <c r="D419" i="22"/>
  <c r="D435" i="22"/>
  <c r="D451" i="22"/>
  <c r="D467" i="22"/>
  <c r="D483" i="22"/>
  <c r="D502" i="22"/>
  <c r="D509" i="22"/>
  <c r="D515" i="22"/>
  <c r="D541" i="22"/>
  <c r="D48" i="22"/>
  <c r="D60" i="22"/>
  <c r="D80" i="22"/>
  <c r="D88" i="22"/>
  <c r="D92" i="22"/>
  <c r="D292" i="22"/>
  <c r="D374" i="22"/>
  <c r="D406" i="22"/>
  <c r="D540" i="22"/>
  <c r="D536" i="22"/>
  <c r="D532" i="22"/>
  <c r="D528" i="22"/>
  <c r="D524" i="22"/>
  <c r="D520" i="22"/>
  <c r="D516" i="22"/>
  <c r="D512" i="22"/>
  <c r="D508" i="22"/>
  <c r="D504" i="22"/>
  <c r="D500" i="22"/>
  <c r="D496" i="22"/>
  <c r="D492" i="22"/>
  <c r="D488" i="22"/>
  <c r="D484" i="22"/>
  <c r="D480" i="22"/>
  <c r="D476" i="22"/>
  <c r="D472" i="22"/>
  <c r="D468" i="22"/>
  <c r="D464" i="22"/>
  <c r="D460" i="22"/>
  <c r="D456" i="22"/>
  <c r="D452" i="22"/>
  <c r="D448" i="22"/>
  <c r="D444" i="22"/>
  <c r="D440" i="22"/>
  <c r="D436" i="22"/>
  <c r="D432" i="22"/>
  <c r="D428" i="22"/>
  <c r="D424" i="22"/>
  <c r="D420" i="22"/>
  <c r="D416" i="22"/>
  <c r="D51" i="22"/>
  <c r="D59" i="22"/>
  <c r="D63" i="22"/>
  <c r="D71" i="22"/>
  <c r="D75" i="22"/>
  <c r="D83" i="22"/>
  <c r="D95" i="22"/>
  <c r="D123" i="22"/>
  <c r="D37" i="22"/>
  <c r="D39" i="22" s="1"/>
  <c r="D227" i="22"/>
  <c r="D259" i="22"/>
  <c r="D291" i="22"/>
  <c r="D323" i="22"/>
  <c r="D355" i="22"/>
  <c r="D364" i="22"/>
  <c r="D387" i="22"/>
  <c r="D396" i="22"/>
  <c r="D497" i="22"/>
  <c r="D503" i="22"/>
  <c r="D529" i="22"/>
  <c r="D535" i="22"/>
  <c r="D116" i="22"/>
  <c r="D120" i="22"/>
  <c r="D124" i="22"/>
  <c r="D128" i="22"/>
  <c r="D132" i="22"/>
  <c r="D136" i="22"/>
  <c r="D140" i="22"/>
  <c r="D144" i="22"/>
  <c r="D148" i="22"/>
  <c r="D152" i="22"/>
  <c r="D156" i="22"/>
  <c r="D160" i="22"/>
  <c r="D164" i="22"/>
  <c r="D168" i="22"/>
  <c r="D172" i="22"/>
  <c r="D176" i="22"/>
  <c r="D180" i="22"/>
  <c r="D184" i="22"/>
  <c r="D188" i="22"/>
  <c r="D192" i="22"/>
  <c r="D200" i="22"/>
  <c r="D209" i="22"/>
  <c r="D218" i="22"/>
  <c r="D223" i="22"/>
  <c r="D232" i="22"/>
  <c r="D241" i="22"/>
  <c r="D250" i="22"/>
  <c r="D255" i="22"/>
  <c r="D264" i="22"/>
  <c r="D273" i="22"/>
  <c r="D282" i="22"/>
  <c r="D287" i="22"/>
  <c r="D296" i="22"/>
  <c r="D305" i="22"/>
  <c r="D314" i="22"/>
  <c r="D319" i="22"/>
  <c r="D328" i="22"/>
  <c r="D337" i="22"/>
  <c r="D346" i="22"/>
  <c r="D351" i="22"/>
  <c r="D360" i="22"/>
  <c r="D369" i="22"/>
  <c r="D378" i="22"/>
  <c r="D383" i="22"/>
  <c r="D392" i="22"/>
  <c r="D401" i="22"/>
  <c r="D410" i="22"/>
  <c r="D415" i="22"/>
  <c r="D431" i="22"/>
  <c r="D447" i="22"/>
  <c r="D463" i="22"/>
  <c r="D479" i="22"/>
  <c r="D485" i="22"/>
  <c r="D491" i="22"/>
  <c r="D510" i="22"/>
  <c r="D517" i="22"/>
  <c r="D523" i="22"/>
  <c r="D542" i="22"/>
  <c r="K37" i="19"/>
  <c r="K35" i="19"/>
  <c r="K36" i="19"/>
  <c r="K40" i="19"/>
  <c r="K30" i="18"/>
  <c r="K31" i="18"/>
  <c r="K32" i="18"/>
  <c r="K33" i="18"/>
  <c r="K34" i="18"/>
  <c r="K35" i="18"/>
  <c r="K36" i="18"/>
  <c r="K37" i="18"/>
  <c r="K38" i="18"/>
  <c r="K39" i="18"/>
  <c r="K40" i="18"/>
  <c r="K41" i="18"/>
  <c r="I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29" i="18"/>
  <c r="I30" i="18" l="1"/>
  <c r="I31" i="18"/>
  <c r="I32" i="18"/>
  <c r="I33" i="18"/>
  <c r="I34" i="18"/>
  <c r="I35" i="18"/>
  <c r="I36" i="18"/>
  <c r="I37" i="18"/>
  <c r="I38" i="18"/>
  <c r="I39" i="18"/>
  <c r="I40" i="18"/>
  <c r="I41" i="18"/>
  <c r="C12" i="18"/>
  <c r="C18" i="18"/>
  <c r="C20" i="18" s="1"/>
  <c r="C17" i="18"/>
  <c r="C19" i="18" s="1"/>
  <c r="C16" i="18"/>
  <c r="H29" i="18"/>
  <c r="G29" i="18"/>
  <c r="F30" i="18"/>
  <c r="E30" i="18" l="1"/>
  <c r="G30" i="18" s="1"/>
  <c r="H30" i="18" s="1"/>
  <c r="E31" i="18"/>
  <c r="G31" i="18" s="1"/>
  <c r="H31" i="18" s="1"/>
  <c r="E32" i="18"/>
  <c r="G32" i="18" s="1"/>
  <c r="H32" i="18" s="1"/>
  <c r="E33" i="18"/>
  <c r="G33" i="18" s="1"/>
  <c r="H33" i="18" s="1"/>
  <c r="E34" i="18"/>
  <c r="G34" i="18" s="1"/>
  <c r="H34" i="18" s="1"/>
  <c r="E35" i="18"/>
  <c r="G35" i="18" s="1"/>
  <c r="H35" i="18" s="1"/>
  <c r="E36" i="18"/>
  <c r="G36" i="18" s="1"/>
  <c r="H36" i="18" s="1"/>
  <c r="E37" i="18"/>
  <c r="G37" i="18" s="1"/>
  <c r="H37" i="18" s="1"/>
  <c r="E38" i="18"/>
  <c r="G38" i="18" s="1"/>
  <c r="H38" i="18" s="1"/>
  <c r="E39" i="18"/>
  <c r="G39" i="18" s="1"/>
  <c r="H39" i="18" s="1"/>
  <c r="E40" i="18"/>
  <c r="G40" i="18" s="1"/>
  <c r="H40" i="18" s="1"/>
  <c r="E41" i="18"/>
  <c r="G41" i="18" s="1"/>
  <c r="H41" i="18" s="1"/>
  <c r="E29" i="18"/>
  <c r="C18" i="17" l="1"/>
  <c r="C20" i="17" s="1"/>
  <c r="C17" i="17"/>
  <c r="C19" i="17" s="1"/>
  <c r="C16" i="17"/>
  <c r="C12" i="17"/>
  <c r="O23" i="15" l="1"/>
  <c r="L26" i="15"/>
  <c r="L27" i="15" s="1"/>
  <c r="K26" i="15"/>
  <c r="K27" i="15" s="1"/>
  <c r="J26" i="15"/>
  <c r="J27" i="15" s="1"/>
  <c r="C10" i="16" l="1"/>
  <c r="C18" i="16"/>
  <c r="C20" i="16" s="1"/>
  <c r="C17" i="16"/>
  <c r="C19" i="16" s="1"/>
  <c r="C16" i="16"/>
  <c r="C12" i="16"/>
  <c r="J28" i="15"/>
  <c r="K29" i="15"/>
  <c r="J29" i="15"/>
  <c r="L29" i="15"/>
  <c r="J20" i="15"/>
  <c r="J19" i="15"/>
  <c r="C18" i="15"/>
  <c r="C20" i="15" s="1"/>
  <c r="C17" i="15"/>
  <c r="C19" i="15" s="1"/>
  <c r="C16" i="15"/>
  <c r="C12" i="15"/>
  <c r="B33" i="15" s="1"/>
  <c r="A34" i="15"/>
  <c r="A35" i="15" s="1"/>
  <c r="C28" i="15"/>
  <c r="G26" i="15"/>
  <c r="E26" i="15"/>
  <c r="D26" i="15"/>
  <c r="C26" i="15"/>
  <c r="G24" i="15"/>
  <c r="F24" i="15"/>
  <c r="G11" i="15"/>
  <c r="G4" i="15"/>
  <c r="C18" i="14"/>
  <c r="C20" i="14" s="1"/>
  <c r="C17" i="14"/>
  <c r="C19" i="14" s="1"/>
  <c r="C16" i="14"/>
  <c r="C12" i="14"/>
  <c r="C18" i="13"/>
  <c r="C20" i="13" s="1"/>
  <c r="C17" i="13"/>
  <c r="C19" i="13" s="1"/>
  <c r="C16" i="13"/>
  <c r="C12" i="13"/>
  <c r="C18" i="12"/>
  <c r="C20" i="12" s="1"/>
  <c r="C17" i="12"/>
  <c r="C19" i="12" s="1"/>
  <c r="C16" i="12"/>
  <c r="C12" i="12"/>
  <c r="J23" i="15" l="1"/>
  <c r="J24" i="15" s="1"/>
  <c r="B34" i="15"/>
  <c r="C27" i="15"/>
  <c r="C29" i="15" s="1"/>
  <c r="C23" i="15"/>
  <c r="C42" i="15" s="1"/>
  <c r="E27" i="15"/>
  <c r="E29" i="15" s="1"/>
  <c r="C59" i="15"/>
  <c r="C51" i="15"/>
  <c r="C47" i="15"/>
  <c r="C44" i="15"/>
  <c r="C40" i="15"/>
  <c r="C39" i="15"/>
  <c r="C37" i="15"/>
  <c r="C36" i="15"/>
  <c r="C34" i="15"/>
  <c r="F34" i="15" s="1"/>
  <c r="C33" i="15"/>
  <c r="C2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8" i="15"/>
  <c r="C57" i="15"/>
  <c r="C56" i="15"/>
  <c r="C55" i="15"/>
  <c r="C54" i="15"/>
  <c r="C53" i="15"/>
  <c r="C52" i="15"/>
  <c r="C50" i="15"/>
  <c r="C49" i="15"/>
  <c r="C48" i="15"/>
  <c r="C46" i="15"/>
  <c r="C45" i="15"/>
  <c r="C43" i="15"/>
  <c r="C41" i="15"/>
  <c r="C38" i="15"/>
  <c r="C35" i="15"/>
  <c r="B35" i="15"/>
  <c r="A36" i="15"/>
  <c r="F33" i="15"/>
  <c r="D27" i="15"/>
  <c r="D29" i="15" s="1"/>
  <c r="M23" i="15" l="1"/>
  <c r="E52" i="15"/>
  <c r="D52" i="15"/>
  <c r="E69" i="15"/>
  <c r="D69" i="15"/>
  <c r="E59" i="15"/>
  <c r="D59" i="15"/>
  <c r="E41" i="15"/>
  <c r="D41" i="15"/>
  <c r="E53" i="15"/>
  <c r="D53" i="15"/>
  <c r="E62" i="15"/>
  <c r="D62" i="15"/>
  <c r="E70" i="15"/>
  <c r="D70" i="15"/>
  <c r="E37" i="15"/>
  <c r="D37" i="15"/>
  <c r="E43" i="15"/>
  <c r="D43" i="15"/>
  <c r="E54" i="15"/>
  <c r="D54" i="15"/>
  <c r="E63" i="15"/>
  <c r="D63" i="15"/>
  <c r="E71" i="15"/>
  <c r="D71" i="15"/>
  <c r="E39" i="15"/>
  <c r="D39" i="15"/>
  <c r="E38" i="15"/>
  <c r="D38" i="15"/>
  <c r="E36" i="15"/>
  <c r="D36" i="15"/>
  <c r="E55" i="15"/>
  <c r="D55" i="15"/>
  <c r="E72" i="15"/>
  <c r="D72" i="15"/>
  <c r="E40" i="15"/>
  <c r="D40" i="15"/>
  <c r="F35" i="15"/>
  <c r="E46" i="15"/>
  <c r="D46" i="15"/>
  <c r="E56" i="15"/>
  <c r="D56" i="15"/>
  <c r="E65" i="15"/>
  <c r="D65" i="15"/>
  <c r="E73" i="15"/>
  <c r="D73" i="15"/>
  <c r="E42" i="15"/>
  <c r="D42" i="15"/>
  <c r="E61" i="15"/>
  <c r="D61" i="15"/>
  <c r="A37" i="15"/>
  <c r="B36" i="15"/>
  <c r="E45" i="15"/>
  <c r="D45" i="15"/>
  <c r="E64" i="15"/>
  <c r="D64" i="15"/>
  <c r="E48" i="15"/>
  <c r="D48" i="15"/>
  <c r="E57" i="15"/>
  <c r="D57" i="15"/>
  <c r="E66" i="15"/>
  <c r="D66" i="15"/>
  <c r="E44" i="15"/>
  <c r="D44" i="15"/>
  <c r="E49" i="15"/>
  <c r="D49" i="15"/>
  <c r="E58" i="15"/>
  <c r="D58" i="15"/>
  <c r="E67" i="15"/>
  <c r="D67" i="15"/>
  <c r="E33" i="15"/>
  <c r="H33" i="15" s="1"/>
  <c r="D33" i="15"/>
  <c r="G33" i="15" s="1"/>
  <c r="E47" i="15"/>
  <c r="D47" i="15"/>
  <c r="E35" i="15"/>
  <c r="H35" i="15" s="1"/>
  <c r="D35" i="15"/>
  <c r="G35" i="15" s="1"/>
  <c r="E50" i="15"/>
  <c r="D50" i="15"/>
  <c r="E60" i="15"/>
  <c r="D60" i="15"/>
  <c r="E68" i="15"/>
  <c r="D68" i="15"/>
  <c r="E34" i="15"/>
  <c r="H34" i="15" s="1"/>
  <c r="D34" i="15"/>
  <c r="G34" i="15" s="1"/>
  <c r="E51" i="15"/>
  <c r="D51" i="15"/>
  <c r="H36" i="15" l="1"/>
  <c r="G36" i="15"/>
  <c r="F36" i="15"/>
  <c r="B37" i="15"/>
  <c r="A38" i="15"/>
  <c r="B38" i="15" l="1"/>
  <c r="A39" i="15"/>
  <c r="H37" i="15"/>
  <c r="F37" i="15"/>
  <c r="G37" i="15"/>
  <c r="G26" i="9"/>
  <c r="G38" i="15" l="1"/>
  <c r="H38" i="15"/>
  <c r="F38" i="15"/>
  <c r="B39" i="15"/>
  <c r="A40" i="15"/>
  <c r="L23" i="10"/>
  <c r="L22" i="10"/>
  <c r="C28" i="11"/>
  <c r="E17" i="10"/>
  <c r="E4" i="10"/>
  <c r="C29" i="11"/>
  <c r="C24" i="11"/>
  <c r="E5" i="10"/>
  <c r="I4" i="10"/>
  <c r="E22" i="10"/>
  <c r="E16" i="10"/>
  <c r="E18" i="10" s="1"/>
  <c r="E19" i="10" s="1"/>
  <c r="E27" i="11"/>
  <c r="D27" i="11"/>
  <c r="C27" i="11"/>
  <c r="C23" i="11"/>
  <c r="B34" i="11"/>
  <c r="A34" i="11"/>
  <c r="A35" i="11" s="1"/>
  <c r="B33" i="11"/>
  <c r="G24" i="11"/>
  <c r="F24" i="11"/>
  <c r="C20" i="11"/>
  <c r="C19" i="11"/>
  <c r="C18" i="11"/>
  <c r="C17" i="11"/>
  <c r="C16" i="11"/>
  <c r="C12" i="11"/>
  <c r="G11" i="11"/>
  <c r="G4" i="11"/>
  <c r="D22" i="10"/>
  <c r="D16" i="10"/>
  <c r="D18" i="10" s="1"/>
  <c r="D19" i="10" s="1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H33" i="9"/>
  <c r="G33" i="9"/>
  <c r="F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E33" i="9"/>
  <c r="D33" i="9"/>
  <c r="B40" i="15" l="1"/>
  <c r="A41" i="15"/>
  <c r="G39" i="15"/>
  <c r="H39" i="15"/>
  <c r="F39" i="15"/>
  <c r="D29" i="11"/>
  <c r="E6" i="10"/>
  <c r="E10" i="10" s="1"/>
  <c r="E11" i="10" s="1"/>
  <c r="E29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F34" i="11" s="1"/>
  <c r="C33" i="11"/>
  <c r="B35" i="11"/>
  <c r="A36" i="11"/>
  <c r="F33" i="11"/>
  <c r="G40" i="15" l="1"/>
  <c r="H40" i="15"/>
  <c r="F40" i="15"/>
  <c r="B41" i="15"/>
  <c r="A42" i="15"/>
  <c r="E23" i="10"/>
  <c r="E24" i="10" s="1"/>
  <c r="D36" i="11"/>
  <c r="E36" i="11"/>
  <c r="E68" i="11"/>
  <c r="D68" i="11"/>
  <c r="E53" i="11"/>
  <c r="D53" i="11"/>
  <c r="D38" i="11"/>
  <c r="E38" i="11"/>
  <c r="D46" i="11"/>
  <c r="E46" i="11"/>
  <c r="D54" i="11"/>
  <c r="E54" i="11"/>
  <c r="E62" i="11"/>
  <c r="D62" i="11"/>
  <c r="E70" i="11"/>
  <c r="D70" i="11"/>
  <c r="D52" i="11"/>
  <c r="E52" i="11"/>
  <c r="F35" i="11"/>
  <c r="D72" i="11"/>
  <c r="E72" i="11"/>
  <c r="E69" i="11"/>
  <c r="D69" i="11"/>
  <c r="E73" i="11"/>
  <c r="D73" i="11"/>
  <c r="D44" i="11"/>
  <c r="E44" i="11"/>
  <c r="D60" i="11"/>
  <c r="E60" i="11"/>
  <c r="D37" i="11"/>
  <c r="E37" i="11"/>
  <c r="B36" i="11"/>
  <c r="A37" i="11"/>
  <c r="D47" i="11"/>
  <c r="E47" i="11"/>
  <c r="E71" i="11"/>
  <c r="D71" i="11"/>
  <c r="D40" i="11"/>
  <c r="E40" i="11"/>
  <c r="D56" i="11"/>
  <c r="E56" i="11"/>
  <c r="D33" i="11"/>
  <c r="G33" i="11" s="1"/>
  <c r="E33" i="11"/>
  <c r="H33" i="11" s="1"/>
  <c r="D49" i="11"/>
  <c r="E49" i="11"/>
  <c r="E65" i="11"/>
  <c r="D65" i="11"/>
  <c r="E34" i="11"/>
  <c r="H34" i="11" s="1"/>
  <c r="D34" i="11"/>
  <c r="G34" i="11" s="1"/>
  <c r="D42" i="11"/>
  <c r="E42" i="11"/>
  <c r="D50" i="11"/>
  <c r="E50" i="11"/>
  <c r="D58" i="11"/>
  <c r="E58" i="11"/>
  <c r="D66" i="11"/>
  <c r="E66" i="11"/>
  <c r="E45" i="11"/>
  <c r="D45" i="11"/>
  <c r="D61" i="11"/>
  <c r="E61" i="11"/>
  <c r="E39" i="11"/>
  <c r="D39" i="11"/>
  <c r="E55" i="11"/>
  <c r="D55" i="11"/>
  <c r="D63" i="11"/>
  <c r="E63" i="11"/>
  <c r="E48" i="11"/>
  <c r="D48" i="11"/>
  <c r="E64" i="11"/>
  <c r="D64" i="11"/>
  <c r="E41" i="11"/>
  <c r="D41" i="11"/>
  <c r="E57" i="11"/>
  <c r="D57" i="11"/>
  <c r="E35" i="11"/>
  <c r="H35" i="11" s="1"/>
  <c r="D35" i="11"/>
  <c r="G35" i="11" s="1"/>
  <c r="E43" i="11"/>
  <c r="D43" i="11"/>
  <c r="E51" i="11"/>
  <c r="D51" i="11"/>
  <c r="E59" i="11"/>
  <c r="D59" i="11"/>
  <c r="E67" i="11"/>
  <c r="D67" i="11"/>
  <c r="C26" i="9"/>
  <c r="A64" i="9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34" i="9"/>
  <c r="B42" i="15" l="1"/>
  <c r="A43" i="15"/>
  <c r="H41" i="15"/>
  <c r="F41" i="15"/>
  <c r="G41" i="15"/>
  <c r="B37" i="11"/>
  <c r="A38" i="11"/>
  <c r="H36" i="11"/>
  <c r="G36" i="11"/>
  <c r="F36" i="11"/>
  <c r="A65" i="9"/>
  <c r="G4" i="9"/>
  <c r="G42" i="15" l="1"/>
  <c r="H42" i="15"/>
  <c r="F42" i="15"/>
  <c r="B43" i="15"/>
  <c r="A44" i="15"/>
  <c r="H37" i="11"/>
  <c r="G37" i="11"/>
  <c r="F37" i="11"/>
  <c r="B38" i="11"/>
  <c r="A39" i="11"/>
  <c r="A66" i="9"/>
  <c r="G24" i="9"/>
  <c r="F24" i="9"/>
  <c r="B44" i="15" l="1"/>
  <c r="A45" i="15"/>
  <c r="G43" i="15"/>
  <c r="H43" i="15"/>
  <c r="F43" i="15"/>
  <c r="B39" i="11"/>
  <c r="A40" i="11"/>
  <c r="H38" i="11"/>
  <c r="G38" i="11"/>
  <c r="F38" i="11"/>
  <c r="A67" i="9"/>
  <c r="C22" i="10"/>
  <c r="C16" i="10"/>
  <c r="C18" i="10" s="1"/>
  <c r="C19" i="10" s="1"/>
  <c r="B16" i="10"/>
  <c r="B18" i="10" s="1"/>
  <c r="B19" i="10" s="1"/>
  <c r="B22" i="10"/>
  <c r="C18" i="9"/>
  <c r="H44" i="15" l="1"/>
  <c r="G44" i="15"/>
  <c r="F44" i="15"/>
  <c r="B45" i="15"/>
  <c r="A46" i="15"/>
  <c r="B40" i="11"/>
  <c r="A41" i="11"/>
  <c r="H39" i="11"/>
  <c r="G39" i="11"/>
  <c r="F39" i="11"/>
  <c r="A68" i="9"/>
  <c r="C28" i="9"/>
  <c r="E26" i="9"/>
  <c r="D26" i="9"/>
  <c r="C20" i="9"/>
  <c r="C17" i="9"/>
  <c r="C19" i="9" s="1"/>
  <c r="C16" i="9"/>
  <c r="C12" i="9"/>
  <c r="G11" i="9"/>
  <c r="B46" i="15" l="1"/>
  <c r="A47" i="15"/>
  <c r="H45" i="15"/>
  <c r="G45" i="15"/>
  <c r="F45" i="15"/>
  <c r="H40" i="11"/>
  <c r="G40" i="11"/>
  <c r="F40" i="11"/>
  <c r="B41" i="11"/>
  <c r="A42" i="11"/>
  <c r="B41" i="9"/>
  <c r="B49" i="9"/>
  <c r="B57" i="9"/>
  <c r="B65" i="9"/>
  <c r="B73" i="9"/>
  <c r="B34" i="9"/>
  <c r="B42" i="9"/>
  <c r="B50" i="9"/>
  <c r="B58" i="9"/>
  <c r="B66" i="9"/>
  <c r="B33" i="9"/>
  <c r="B35" i="9"/>
  <c r="B43" i="9"/>
  <c r="B51" i="9"/>
  <c r="B59" i="9"/>
  <c r="B67" i="9"/>
  <c r="B36" i="9"/>
  <c r="B44" i="9"/>
  <c r="B52" i="9"/>
  <c r="B60" i="9"/>
  <c r="B68" i="9"/>
  <c r="B48" i="9"/>
  <c r="B37" i="9"/>
  <c r="B45" i="9"/>
  <c r="B53" i="9"/>
  <c r="B61" i="9"/>
  <c r="B69" i="9"/>
  <c r="B56" i="9"/>
  <c r="B38" i="9"/>
  <c r="B46" i="9"/>
  <c r="B54" i="9"/>
  <c r="B62" i="9"/>
  <c r="B70" i="9"/>
  <c r="B64" i="9"/>
  <c r="B39" i="9"/>
  <c r="B47" i="9"/>
  <c r="B55" i="9"/>
  <c r="B63" i="9"/>
  <c r="B71" i="9"/>
  <c r="B40" i="9"/>
  <c r="B72" i="9"/>
  <c r="A69" i="9"/>
  <c r="C27" i="9"/>
  <c r="D27" i="9"/>
  <c r="C23" i="9"/>
  <c r="E27" i="9"/>
  <c r="C28" i="7"/>
  <c r="E26" i="7"/>
  <c r="D26" i="7"/>
  <c r="C26" i="7"/>
  <c r="G46" i="15" l="1"/>
  <c r="H46" i="15"/>
  <c r="F46" i="15"/>
  <c r="B47" i="15"/>
  <c r="A48" i="15"/>
  <c r="B42" i="11"/>
  <c r="A43" i="11"/>
  <c r="H41" i="11"/>
  <c r="G41" i="11"/>
  <c r="F41" i="11"/>
  <c r="E29" i="9"/>
  <c r="D4" i="10"/>
  <c r="C34" i="9"/>
  <c r="C42" i="9"/>
  <c r="C50" i="9"/>
  <c r="C58" i="9"/>
  <c r="C66" i="9"/>
  <c r="C33" i="9"/>
  <c r="D5" i="10"/>
  <c r="C35" i="9"/>
  <c r="C43" i="9"/>
  <c r="C51" i="9"/>
  <c r="C59" i="9"/>
  <c r="C67" i="9"/>
  <c r="B5" i="10"/>
  <c r="C36" i="9"/>
  <c r="C44" i="9"/>
  <c r="C52" i="9"/>
  <c r="C60" i="9"/>
  <c r="C68" i="9"/>
  <c r="C37" i="9"/>
  <c r="C45" i="9"/>
  <c r="C53" i="9"/>
  <c r="C61" i="9"/>
  <c r="C69" i="9"/>
  <c r="C57" i="9"/>
  <c r="C38" i="9"/>
  <c r="C46" i="9"/>
  <c r="C54" i="9"/>
  <c r="C62" i="9"/>
  <c r="C70" i="9"/>
  <c r="C49" i="9"/>
  <c r="C39" i="9"/>
  <c r="C47" i="9"/>
  <c r="C55" i="9"/>
  <c r="C63" i="9"/>
  <c r="C71" i="9"/>
  <c r="C41" i="9"/>
  <c r="C73" i="9"/>
  <c r="C40" i="9"/>
  <c r="C48" i="9"/>
  <c r="C56" i="9"/>
  <c r="C64" i="9"/>
  <c r="C72" i="9"/>
  <c r="C65" i="9"/>
  <c r="A70" i="9"/>
  <c r="C24" i="9"/>
  <c r="C5" i="10"/>
  <c r="C29" i="9"/>
  <c r="B4" i="10"/>
  <c r="D29" i="9"/>
  <c r="C4" i="10"/>
  <c r="B200" i="8"/>
  <c r="C200" i="8" s="1"/>
  <c r="B199" i="8"/>
  <c r="C199" i="8" s="1"/>
  <c r="B198" i="8"/>
  <c r="C198" i="8" s="1"/>
  <c r="J198" i="8" s="1"/>
  <c r="B197" i="8"/>
  <c r="C197" i="8" s="1"/>
  <c r="B196" i="8"/>
  <c r="C196" i="8" s="1"/>
  <c r="F196" i="8" s="1"/>
  <c r="B195" i="8"/>
  <c r="C195" i="8" s="1"/>
  <c r="B194" i="8"/>
  <c r="C194" i="8" s="1"/>
  <c r="B193" i="8"/>
  <c r="C193" i="8" s="1"/>
  <c r="B192" i="8"/>
  <c r="C192" i="8" s="1"/>
  <c r="B191" i="8"/>
  <c r="C191" i="8" s="1"/>
  <c r="N191" i="8" s="1"/>
  <c r="B190" i="8"/>
  <c r="C190" i="8" s="1"/>
  <c r="J190" i="8" s="1"/>
  <c r="B189" i="8"/>
  <c r="C189" i="8" s="1"/>
  <c r="F189" i="8" s="1"/>
  <c r="B188" i="8"/>
  <c r="C188" i="8" s="1"/>
  <c r="F188" i="8" s="1"/>
  <c r="B187" i="8"/>
  <c r="C187" i="8" s="1"/>
  <c r="J187" i="8" s="1"/>
  <c r="B186" i="8"/>
  <c r="C186" i="8" s="1"/>
  <c r="J186" i="8" s="1"/>
  <c r="B185" i="8"/>
  <c r="C185" i="8" s="1"/>
  <c r="F185" i="8" s="1"/>
  <c r="B184" i="8"/>
  <c r="C184" i="8" s="1"/>
  <c r="F184" i="8" s="1"/>
  <c r="B183" i="8"/>
  <c r="C183" i="8" s="1"/>
  <c r="J183" i="8" s="1"/>
  <c r="B182" i="8"/>
  <c r="C182" i="8" s="1"/>
  <c r="J182" i="8" s="1"/>
  <c r="B181" i="8"/>
  <c r="C181" i="8" s="1"/>
  <c r="F181" i="8" s="1"/>
  <c r="B180" i="8"/>
  <c r="C180" i="8" s="1"/>
  <c r="F180" i="8" s="1"/>
  <c r="B179" i="8"/>
  <c r="C179" i="8" s="1"/>
  <c r="L179" i="8" s="1"/>
  <c r="B178" i="8"/>
  <c r="C178" i="8" s="1"/>
  <c r="P178" i="8" s="1"/>
  <c r="B177" i="8"/>
  <c r="C177" i="8" s="1"/>
  <c r="L177" i="8" s="1"/>
  <c r="B176" i="8"/>
  <c r="C176" i="8" s="1"/>
  <c r="H176" i="8" s="1"/>
  <c r="B175" i="8"/>
  <c r="C175" i="8" s="1"/>
  <c r="D175" i="8" s="1"/>
  <c r="C174" i="8"/>
  <c r="L174" i="8" s="1"/>
  <c r="B174" i="8"/>
  <c r="B173" i="8"/>
  <c r="C173" i="8" s="1"/>
  <c r="H173" i="8" s="1"/>
  <c r="B172" i="8"/>
  <c r="C172" i="8" s="1"/>
  <c r="D172" i="8" s="1"/>
  <c r="B171" i="8"/>
  <c r="C171" i="8" s="1"/>
  <c r="P171" i="8" s="1"/>
  <c r="C170" i="8"/>
  <c r="P170" i="8" s="1"/>
  <c r="B170" i="8"/>
  <c r="B169" i="8"/>
  <c r="C169" i="8" s="1"/>
  <c r="B168" i="8"/>
  <c r="C168" i="8" s="1"/>
  <c r="H168" i="8" s="1"/>
  <c r="B167" i="8"/>
  <c r="C167" i="8" s="1"/>
  <c r="D167" i="8" s="1"/>
  <c r="C166" i="8"/>
  <c r="D166" i="8" s="1"/>
  <c r="B166" i="8"/>
  <c r="B165" i="8"/>
  <c r="C165" i="8" s="1"/>
  <c r="J165" i="8" s="1"/>
  <c r="B164" i="8"/>
  <c r="C164" i="8" s="1"/>
  <c r="H164" i="8" s="1"/>
  <c r="B163" i="8"/>
  <c r="C163" i="8" s="1"/>
  <c r="J163" i="8" s="1"/>
  <c r="C162" i="8"/>
  <c r="B162" i="8"/>
  <c r="B161" i="8"/>
  <c r="C161" i="8" s="1"/>
  <c r="B160" i="8"/>
  <c r="C160" i="8" s="1"/>
  <c r="J160" i="8" s="1"/>
  <c r="B159" i="8"/>
  <c r="C159" i="8" s="1"/>
  <c r="J159" i="8" s="1"/>
  <c r="C158" i="8"/>
  <c r="B158" i="8"/>
  <c r="B157" i="8"/>
  <c r="C157" i="8" s="1"/>
  <c r="B156" i="8"/>
  <c r="C156" i="8" s="1"/>
  <c r="B155" i="8"/>
  <c r="C155" i="8" s="1"/>
  <c r="J155" i="8" s="1"/>
  <c r="C154" i="8"/>
  <c r="D154" i="8" s="1"/>
  <c r="B154" i="8"/>
  <c r="B153" i="8"/>
  <c r="C153" i="8" s="1"/>
  <c r="J153" i="8" s="1"/>
  <c r="K153" i="8" s="1"/>
  <c r="B152" i="8"/>
  <c r="C152" i="8" s="1"/>
  <c r="B151" i="8"/>
  <c r="C151" i="8" s="1"/>
  <c r="D151" i="8" s="1"/>
  <c r="C150" i="8"/>
  <c r="N150" i="8" s="1"/>
  <c r="B150" i="8"/>
  <c r="B149" i="8"/>
  <c r="C149" i="8" s="1"/>
  <c r="N149" i="8" s="1"/>
  <c r="O149" i="8" s="1"/>
  <c r="B148" i="8"/>
  <c r="C148" i="8" s="1"/>
  <c r="J148" i="8" s="1"/>
  <c r="B147" i="8"/>
  <c r="C147" i="8" s="1"/>
  <c r="D147" i="8" s="1"/>
  <c r="C146" i="8"/>
  <c r="H146" i="8" s="1"/>
  <c r="B146" i="8"/>
  <c r="B145" i="8"/>
  <c r="C145" i="8" s="1"/>
  <c r="B144" i="8"/>
  <c r="C144" i="8" s="1"/>
  <c r="N144" i="8" s="1"/>
  <c r="B143" i="8"/>
  <c r="C143" i="8" s="1"/>
  <c r="P143" i="8" s="1"/>
  <c r="B142" i="8"/>
  <c r="C142" i="8" s="1"/>
  <c r="H142" i="8" s="1"/>
  <c r="B141" i="8"/>
  <c r="C141" i="8" s="1"/>
  <c r="H141" i="8" s="1"/>
  <c r="B140" i="8"/>
  <c r="C140" i="8" s="1"/>
  <c r="H140" i="8" s="1"/>
  <c r="B139" i="8"/>
  <c r="C139" i="8" s="1"/>
  <c r="H139" i="8" s="1"/>
  <c r="B138" i="8"/>
  <c r="C138" i="8" s="1"/>
  <c r="H138" i="8" s="1"/>
  <c r="B137" i="8"/>
  <c r="C137" i="8" s="1"/>
  <c r="H137" i="8" s="1"/>
  <c r="B136" i="8"/>
  <c r="C136" i="8" s="1"/>
  <c r="H136" i="8" s="1"/>
  <c r="B135" i="8"/>
  <c r="C135" i="8" s="1"/>
  <c r="H135" i="8" s="1"/>
  <c r="B134" i="8"/>
  <c r="C134" i="8" s="1"/>
  <c r="H134" i="8" s="1"/>
  <c r="B133" i="8"/>
  <c r="C133" i="8" s="1"/>
  <c r="N133" i="8" s="1"/>
  <c r="B132" i="8"/>
  <c r="C132" i="8" s="1"/>
  <c r="L132" i="8" s="1"/>
  <c r="B131" i="8"/>
  <c r="C131" i="8" s="1"/>
  <c r="L131" i="8" s="1"/>
  <c r="B130" i="8"/>
  <c r="C130" i="8" s="1"/>
  <c r="H130" i="8" s="1"/>
  <c r="B129" i="8"/>
  <c r="C129" i="8" s="1"/>
  <c r="H129" i="8" s="1"/>
  <c r="B128" i="8"/>
  <c r="C128" i="8" s="1"/>
  <c r="B127" i="8"/>
  <c r="C127" i="8" s="1"/>
  <c r="P127" i="8" s="1"/>
  <c r="B126" i="8"/>
  <c r="C126" i="8" s="1"/>
  <c r="P126" i="8" s="1"/>
  <c r="B125" i="8"/>
  <c r="C125" i="8" s="1"/>
  <c r="P125" i="8" s="1"/>
  <c r="B124" i="8"/>
  <c r="C124" i="8" s="1"/>
  <c r="B123" i="8"/>
  <c r="C123" i="8" s="1"/>
  <c r="B122" i="8"/>
  <c r="C122" i="8" s="1"/>
  <c r="P122" i="8" s="1"/>
  <c r="B121" i="8"/>
  <c r="C121" i="8" s="1"/>
  <c r="P121" i="8" s="1"/>
  <c r="B120" i="8"/>
  <c r="C120" i="8" s="1"/>
  <c r="B119" i="8"/>
  <c r="C119" i="8" s="1"/>
  <c r="P119" i="8" s="1"/>
  <c r="B118" i="8"/>
  <c r="C118" i="8" s="1"/>
  <c r="P118" i="8" s="1"/>
  <c r="B117" i="8"/>
  <c r="C117" i="8" s="1"/>
  <c r="P117" i="8" s="1"/>
  <c r="B116" i="8"/>
  <c r="C116" i="8" s="1"/>
  <c r="B115" i="8"/>
  <c r="C115" i="8" s="1"/>
  <c r="P115" i="8" s="1"/>
  <c r="B114" i="8"/>
  <c r="C114" i="8" s="1"/>
  <c r="D114" i="8" s="1"/>
  <c r="B113" i="8"/>
  <c r="C113" i="8" s="1"/>
  <c r="P113" i="8" s="1"/>
  <c r="B112" i="8"/>
  <c r="C112" i="8" s="1"/>
  <c r="B111" i="8"/>
  <c r="C111" i="8" s="1"/>
  <c r="P111" i="8" s="1"/>
  <c r="B110" i="8"/>
  <c r="C110" i="8" s="1"/>
  <c r="P110" i="8" s="1"/>
  <c r="B109" i="8"/>
  <c r="C109" i="8" s="1"/>
  <c r="P109" i="8" s="1"/>
  <c r="B108" i="8"/>
  <c r="C108" i="8" s="1"/>
  <c r="B107" i="8"/>
  <c r="C107" i="8" s="1"/>
  <c r="B106" i="8"/>
  <c r="C106" i="8" s="1"/>
  <c r="P106" i="8" s="1"/>
  <c r="B105" i="8"/>
  <c r="C105" i="8" s="1"/>
  <c r="P105" i="8" s="1"/>
  <c r="B104" i="8"/>
  <c r="C104" i="8" s="1"/>
  <c r="B103" i="8"/>
  <c r="C103" i="8" s="1"/>
  <c r="P103" i="8" s="1"/>
  <c r="B102" i="8"/>
  <c r="C102" i="8" s="1"/>
  <c r="B101" i="8"/>
  <c r="C101" i="8" s="1"/>
  <c r="P101" i="8" s="1"/>
  <c r="B100" i="8"/>
  <c r="C100" i="8" s="1"/>
  <c r="B99" i="8"/>
  <c r="C99" i="8" s="1"/>
  <c r="P99" i="8" s="1"/>
  <c r="B98" i="8"/>
  <c r="C98" i="8" s="1"/>
  <c r="D98" i="8" s="1"/>
  <c r="B97" i="8"/>
  <c r="C97" i="8" s="1"/>
  <c r="P97" i="8" s="1"/>
  <c r="B96" i="8"/>
  <c r="C96" i="8" s="1"/>
  <c r="B95" i="8"/>
  <c r="C95" i="8" s="1"/>
  <c r="P95" i="8" s="1"/>
  <c r="B94" i="8"/>
  <c r="C94" i="8" s="1"/>
  <c r="P94" i="8" s="1"/>
  <c r="B93" i="8"/>
  <c r="C93" i="8" s="1"/>
  <c r="P93" i="8" s="1"/>
  <c r="B92" i="8"/>
  <c r="C92" i="8" s="1"/>
  <c r="B91" i="8"/>
  <c r="C91" i="8" s="1"/>
  <c r="B90" i="8"/>
  <c r="C90" i="8" s="1"/>
  <c r="P90" i="8" s="1"/>
  <c r="B89" i="8"/>
  <c r="C89" i="8" s="1"/>
  <c r="P89" i="8" s="1"/>
  <c r="B88" i="8"/>
  <c r="C88" i="8" s="1"/>
  <c r="B87" i="8"/>
  <c r="C87" i="8" s="1"/>
  <c r="P87" i="8" s="1"/>
  <c r="B86" i="8"/>
  <c r="C86" i="8" s="1"/>
  <c r="D86" i="8" s="1"/>
  <c r="B85" i="8"/>
  <c r="C85" i="8" s="1"/>
  <c r="P85" i="8" s="1"/>
  <c r="B84" i="8"/>
  <c r="C84" i="8" s="1"/>
  <c r="B83" i="8"/>
  <c r="C83" i="8" s="1"/>
  <c r="P83" i="8" s="1"/>
  <c r="B82" i="8"/>
  <c r="C82" i="8" s="1"/>
  <c r="D82" i="8" s="1"/>
  <c r="B81" i="8"/>
  <c r="C81" i="8" s="1"/>
  <c r="P81" i="8" s="1"/>
  <c r="B80" i="8"/>
  <c r="C80" i="8" s="1"/>
  <c r="B79" i="8"/>
  <c r="C79" i="8" s="1"/>
  <c r="P79" i="8" s="1"/>
  <c r="B78" i="8"/>
  <c r="C78" i="8" s="1"/>
  <c r="P78" i="8" s="1"/>
  <c r="B77" i="8"/>
  <c r="C77" i="8" s="1"/>
  <c r="P77" i="8" s="1"/>
  <c r="B76" i="8"/>
  <c r="C76" i="8" s="1"/>
  <c r="B75" i="8"/>
  <c r="C75" i="8" s="1"/>
  <c r="B74" i="8"/>
  <c r="C74" i="8" s="1"/>
  <c r="P74" i="8" s="1"/>
  <c r="B73" i="8"/>
  <c r="C73" i="8" s="1"/>
  <c r="P73" i="8" s="1"/>
  <c r="B72" i="8"/>
  <c r="C72" i="8" s="1"/>
  <c r="B71" i="8"/>
  <c r="C71" i="8" s="1"/>
  <c r="P71" i="8" s="1"/>
  <c r="B70" i="8"/>
  <c r="C70" i="8" s="1"/>
  <c r="D70" i="8" s="1"/>
  <c r="B69" i="8"/>
  <c r="C69" i="8" s="1"/>
  <c r="P69" i="8" s="1"/>
  <c r="B68" i="8"/>
  <c r="C68" i="8" s="1"/>
  <c r="B67" i="8"/>
  <c r="C67" i="8" s="1"/>
  <c r="F67" i="8" s="1"/>
  <c r="B66" i="8"/>
  <c r="C66" i="8" s="1"/>
  <c r="F66" i="8" s="1"/>
  <c r="B65" i="8"/>
  <c r="C65" i="8" s="1"/>
  <c r="P65" i="8" s="1"/>
  <c r="B64" i="8"/>
  <c r="C64" i="8" s="1"/>
  <c r="B63" i="8"/>
  <c r="C63" i="8" s="1"/>
  <c r="J63" i="8" s="1"/>
  <c r="B62" i="8"/>
  <c r="C62" i="8" s="1"/>
  <c r="H62" i="8" s="1"/>
  <c r="B61" i="8"/>
  <c r="C61" i="8" s="1"/>
  <c r="B60" i="8"/>
  <c r="C60" i="8" s="1"/>
  <c r="L60" i="8" s="1"/>
  <c r="B59" i="8"/>
  <c r="C59" i="8" s="1"/>
  <c r="P59" i="8" s="1"/>
  <c r="B58" i="8"/>
  <c r="C58" i="8" s="1"/>
  <c r="P58" i="8" s="1"/>
  <c r="B57" i="8"/>
  <c r="C57" i="8" s="1"/>
  <c r="B56" i="8"/>
  <c r="C56" i="8" s="1"/>
  <c r="P56" i="8" s="1"/>
  <c r="B55" i="8"/>
  <c r="C55" i="8" s="1"/>
  <c r="P55" i="8" s="1"/>
  <c r="B54" i="8"/>
  <c r="C54" i="8" s="1"/>
  <c r="P54" i="8" s="1"/>
  <c r="B53" i="8"/>
  <c r="C53" i="8" s="1"/>
  <c r="B52" i="8"/>
  <c r="C52" i="8" s="1"/>
  <c r="P52" i="8" s="1"/>
  <c r="B51" i="8"/>
  <c r="C51" i="8" s="1"/>
  <c r="P51" i="8" s="1"/>
  <c r="B50" i="8"/>
  <c r="C50" i="8" s="1"/>
  <c r="P50" i="8" s="1"/>
  <c r="B49" i="8"/>
  <c r="C49" i="8" s="1"/>
  <c r="B48" i="8"/>
  <c r="C48" i="8" s="1"/>
  <c r="P48" i="8" s="1"/>
  <c r="B47" i="8"/>
  <c r="C47" i="8" s="1"/>
  <c r="P47" i="8" s="1"/>
  <c r="B46" i="8"/>
  <c r="C46" i="8" s="1"/>
  <c r="P46" i="8" s="1"/>
  <c r="B45" i="8"/>
  <c r="C45" i="8" s="1"/>
  <c r="B44" i="8"/>
  <c r="C44" i="8" s="1"/>
  <c r="P44" i="8" s="1"/>
  <c r="B43" i="8"/>
  <c r="C43" i="8" s="1"/>
  <c r="P43" i="8" s="1"/>
  <c r="B42" i="8"/>
  <c r="C42" i="8" s="1"/>
  <c r="P42" i="8" s="1"/>
  <c r="B41" i="8"/>
  <c r="C41" i="8" s="1"/>
  <c r="B40" i="8"/>
  <c r="C40" i="8" s="1"/>
  <c r="P40" i="8" s="1"/>
  <c r="B39" i="8"/>
  <c r="C39" i="8" s="1"/>
  <c r="P39" i="8" s="1"/>
  <c r="B38" i="8"/>
  <c r="C38" i="8" s="1"/>
  <c r="P38" i="8" s="1"/>
  <c r="B37" i="8"/>
  <c r="C37" i="8" s="1"/>
  <c r="B36" i="8"/>
  <c r="C36" i="8" s="1"/>
  <c r="P36" i="8" s="1"/>
  <c r="B35" i="8"/>
  <c r="C35" i="8" s="1"/>
  <c r="P35" i="8" s="1"/>
  <c r="B34" i="8"/>
  <c r="C34" i="8" s="1"/>
  <c r="P34" i="8" s="1"/>
  <c r="B33" i="8"/>
  <c r="C33" i="8" s="1"/>
  <c r="B32" i="8"/>
  <c r="C32" i="8" s="1"/>
  <c r="P32" i="8" s="1"/>
  <c r="B31" i="8"/>
  <c r="C31" i="8" s="1"/>
  <c r="P31" i="8" s="1"/>
  <c r="B30" i="8"/>
  <c r="C30" i="8" s="1"/>
  <c r="P30" i="8" s="1"/>
  <c r="D26" i="8"/>
  <c r="C26" i="8"/>
  <c r="D25" i="8"/>
  <c r="C25" i="8"/>
  <c r="D24" i="8"/>
  <c r="C24" i="8"/>
  <c r="C22" i="8"/>
  <c r="C21" i="8"/>
  <c r="C20" i="8"/>
  <c r="C12" i="8"/>
  <c r="C13" i="8" s="1"/>
  <c r="B48" i="15" l="1"/>
  <c r="A49" i="15"/>
  <c r="G47" i="15"/>
  <c r="F47" i="15"/>
  <c r="H47" i="15"/>
  <c r="D6" i="10"/>
  <c r="H4" i="10"/>
  <c r="B43" i="11"/>
  <c r="A44" i="11"/>
  <c r="H42" i="11"/>
  <c r="G42" i="11"/>
  <c r="F42" i="11"/>
  <c r="A71" i="9"/>
  <c r="L32" i="8"/>
  <c r="I139" i="8"/>
  <c r="Q36" i="8"/>
  <c r="K182" i="8"/>
  <c r="C6" i="10"/>
  <c r="G4" i="10"/>
  <c r="F4" i="10"/>
  <c r="B6" i="10"/>
  <c r="M32" i="8"/>
  <c r="Q44" i="8"/>
  <c r="Q56" i="8"/>
  <c r="Q30" i="8"/>
  <c r="Q65" i="8"/>
  <c r="Q69" i="8"/>
  <c r="Q73" i="8"/>
  <c r="Q77" i="8"/>
  <c r="Q81" i="8"/>
  <c r="Q85" i="8"/>
  <c r="Q89" i="8"/>
  <c r="Q93" i="8"/>
  <c r="Q97" i="8"/>
  <c r="Q101" i="8"/>
  <c r="Q105" i="8"/>
  <c r="Q109" i="8"/>
  <c r="Q113" i="8"/>
  <c r="Q117" i="8"/>
  <c r="Q121" i="8"/>
  <c r="Q125" i="8"/>
  <c r="I129" i="8"/>
  <c r="I140" i="8"/>
  <c r="L175" i="8"/>
  <c r="Q40" i="8"/>
  <c r="Q52" i="8"/>
  <c r="Q31" i="8"/>
  <c r="Q34" i="8"/>
  <c r="Q38" i="8"/>
  <c r="Q42" i="8"/>
  <c r="Q46" i="8"/>
  <c r="Q50" i="8"/>
  <c r="Q54" i="8"/>
  <c r="Q58" i="8"/>
  <c r="I62" i="8"/>
  <c r="G66" i="8"/>
  <c r="I130" i="8"/>
  <c r="O133" i="8"/>
  <c r="I137" i="8"/>
  <c r="I146" i="8"/>
  <c r="O150" i="8"/>
  <c r="G180" i="8"/>
  <c r="Q48" i="8"/>
  <c r="M60" i="8"/>
  <c r="Q32" i="8"/>
  <c r="Q35" i="8"/>
  <c r="Q39" i="8"/>
  <c r="Q43" i="8"/>
  <c r="Q47" i="8"/>
  <c r="Q51" i="8"/>
  <c r="Q55" i="8"/>
  <c r="Q59" i="8"/>
  <c r="K63" i="8"/>
  <c r="G67" i="8"/>
  <c r="D130" i="8"/>
  <c r="I134" i="8"/>
  <c r="I138" i="8"/>
  <c r="I142" i="8"/>
  <c r="Q170" i="8"/>
  <c r="J149" i="8"/>
  <c r="K149" i="8" s="1"/>
  <c r="I136" i="8"/>
  <c r="L40" i="8"/>
  <c r="M40" i="8" s="1"/>
  <c r="D122" i="8"/>
  <c r="E122" i="8" s="1"/>
  <c r="D129" i="8"/>
  <c r="E129" i="8" s="1"/>
  <c r="P130" i="8"/>
  <c r="Q130" i="8" s="1"/>
  <c r="F136" i="8"/>
  <c r="J147" i="8"/>
  <c r="K147" i="8" s="1"/>
  <c r="J164" i="8"/>
  <c r="K164" i="8" s="1"/>
  <c r="H32" i="8"/>
  <c r="I32" i="8" s="1"/>
  <c r="H34" i="8"/>
  <c r="I34" i="8" s="1"/>
  <c r="D90" i="8"/>
  <c r="E90" i="8" s="1"/>
  <c r="N129" i="8"/>
  <c r="O129" i="8" s="1"/>
  <c r="N135" i="8"/>
  <c r="O135" i="8" s="1"/>
  <c r="H36" i="8"/>
  <c r="I36" i="8" s="1"/>
  <c r="H38" i="8"/>
  <c r="I38" i="8" s="1"/>
  <c r="D52" i="8"/>
  <c r="E52" i="8" s="1"/>
  <c r="H54" i="8"/>
  <c r="I54" i="8" s="1"/>
  <c r="D56" i="8"/>
  <c r="E56" i="8" s="1"/>
  <c r="H58" i="8"/>
  <c r="I58" i="8" s="1"/>
  <c r="H60" i="8"/>
  <c r="I60" i="8" s="1"/>
  <c r="F63" i="8"/>
  <c r="G63" i="8" s="1"/>
  <c r="P66" i="8"/>
  <c r="F129" i="8"/>
  <c r="G129" i="8" s="1"/>
  <c r="F130" i="8"/>
  <c r="G130" i="8" s="1"/>
  <c r="P139" i="8"/>
  <c r="Q139" i="8" s="1"/>
  <c r="J141" i="8"/>
  <c r="N148" i="8"/>
  <c r="O148" i="8" s="1"/>
  <c r="N153" i="8"/>
  <c r="O153" i="8" s="1"/>
  <c r="H172" i="8"/>
  <c r="I172" i="8" s="1"/>
  <c r="P175" i="8"/>
  <c r="L52" i="8"/>
  <c r="M52" i="8" s="1"/>
  <c r="L56" i="8"/>
  <c r="M56" i="8" s="1"/>
  <c r="P141" i="8"/>
  <c r="Q141" i="8" s="1"/>
  <c r="L36" i="8"/>
  <c r="M36" i="8" s="1"/>
  <c r="H30" i="8"/>
  <c r="I30" i="8" s="1"/>
  <c r="J136" i="8"/>
  <c r="K136" i="8" s="1"/>
  <c r="D139" i="8"/>
  <c r="E139" i="8" s="1"/>
  <c r="N140" i="8"/>
  <c r="O140" i="8" s="1"/>
  <c r="N146" i="8"/>
  <c r="O146" i="8" s="1"/>
  <c r="F139" i="8"/>
  <c r="G139" i="8" s="1"/>
  <c r="D44" i="8"/>
  <c r="E44" i="8" s="1"/>
  <c r="H46" i="8"/>
  <c r="I46" i="8" s="1"/>
  <c r="L48" i="8"/>
  <c r="M48" i="8" s="1"/>
  <c r="J67" i="8"/>
  <c r="K67" i="8" s="1"/>
  <c r="D106" i="8"/>
  <c r="E106" i="8" s="1"/>
  <c r="P129" i="8"/>
  <c r="Q129" i="8" s="1"/>
  <c r="J130" i="8"/>
  <c r="K130" i="8" s="1"/>
  <c r="J131" i="8"/>
  <c r="K131" i="8" s="1"/>
  <c r="F134" i="8"/>
  <c r="G134" i="8" s="1"/>
  <c r="D135" i="8"/>
  <c r="N136" i="8"/>
  <c r="O136" i="8" s="1"/>
  <c r="J139" i="8"/>
  <c r="K139" i="8" s="1"/>
  <c r="F140" i="8"/>
  <c r="G140" i="8" s="1"/>
  <c r="H144" i="8"/>
  <c r="I144" i="8" s="1"/>
  <c r="H151" i="8"/>
  <c r="I151" i="8" s="1"/>
  <c r="N166" i="8"/>
  <c r="O166" i="8" s="1"/>
  <c r="J167" i="8"/>
  <c r="K167" i="8" s="1"/>
  <c r="J168" i="8"/>
  <c r="K168" i="8" s="1"/>
  <c r="L173" i="8"/>
  <c r="M173" i="8" s="1"/>
  <c r="D32" i="8"/>
  <c r="E32" i="8" s="1"/>
  <c r="D36" i="8"/>
  <c r="E36" i="8" s="1"/>
  <c r="D40" i="8"/>
  <c r="E40" i="8" s="1"/>
  <c r="H42" i="8"/>
  <c r="I42" i="8" s="1"/>
  <c r="L44" i="8"/>
  <c r="M44" i="8" s="1"/>
  <c r="P62" i="8"/>
  <c r="Q62" i="8" s="1"/>
  <c r="P63" i="8"/>
  <c r="D66" i="8"/>
  <c r="D74" i="8"/>
  <c r="E74" i="8" s="1"/>
  <c r="N130" i="8"/>
  <c r="O130" i="8" s="1"/>
  <c r="L133" i="8"/>
  <c r="M133" i="8" s="1"/>
  <c r="L134" i="8"/>
  <c r="F135" i="8"/>
  <c r="G135" i="8" s="1"/>
  <c r="D136" i="8"/>
  <c r="E136" i="8" s="1"/>
  <c r="P136" i="8"/>
  <c r="Q136" i="8" s="1"/>
  <c r="N139" i="8"/>
  <c r="O139" i="8" s="1"/>
  <c r="F141" i="8"/>
  <c r="G141" i="8" s="1"/>
  <c r="J144" i="8"/>
  <c r="K144" i="8" s="1"/>
  <c r="H147" i="8"/>
  <c r="I147" i="8" s="1"/>
  <c r="D149" i="8"/>
  <c r="E149" i="8" s="1"/>
  <c r="J151" i="8"/>
  <c r="K151" i="8" s="1"/>
  <c r="N165" i="8"/>
  <c r="O165" i="8" s="1"/>
  <c r="N189" i="8"/>
  <c r="N134" i="8"/>
  <c r="D48" i="8"/>
  <c r="E48" i="8" s="1"/>
  <c r="H50" i="8"/>
  <c r="I50" i="8" s="1"/>
  <c r="J132" i="8"/>
  <c r="K132" i="8" s="1"/>
  <c r="D134" i="8"/>
  <c r="P135" i="8"/>
  <c r="Q135" i="8" s="1"/>
  <c r="J137" i="8"/>
  <c r="K137" i="8" s="1"/>
  <c r="P140" i="8"/>
  <c r="Q140" i="8" s="1"/>
  <c r="D159" i="8"/>
  <c r="E159" i="8" s="1"/>
  <c r="H167" i="8"/>
  <c r="I167" i="8" s="1"/>
  <c r="P174" i="8"/>
  <c r="Q174" i="8" s="1"/>
  <c r="J196" i="8"/>
  <c r="K196" i="8" s="1"/>
  <c r="D76" i="8"/>
  <c r="E76" i="8" s="1"/>
  <c r="J76" i="8"/>
  <c r="K76" i="8" s="1"/>
  <c r="D92" i="8"/>
  <c r="E92" i="8" s="1"/>
  <c r="J92" i="8"/>
  <c r="K92" i="8" s="1"/>
  <c r="J102" i="8"/>
  <c r="K102" i="8" s="1"/>
  <c r="F102" i="8"/>
  <c r="G102" i="8" s="1"/>
  <c r="D124" i="8"/>
  <c r="E124" i="8" s="1"/>
  <c r="J124" i="8"/>
  <c r="K124" i="8" s="1"/>
  <c r="H31" i="8"/>
  <c r="I31" i="8" s="1"/>
  <c r="H35" i="8"/>
  <c r="I35" i="8" s="1"/>
  <c r="H39" i="8"/>
  <c r="I39" i="8" s="1"/>
  <c r="H40" i="8"/>
  <c r="I40" i="8" s="1"/>
  <c r="H43" i="8"/>
  <c r="I43" i="8" s="1"/>
  <c r="H44" i="8"/>
  <c r="I44" i="8" s="1"/>
  <c r="H47" i="8"/>
  <c r="I47" i="8" s="1"/>
  <c r="H48" i="8"/>
  <c r="I48" i="8" s="1"/>
  <c r="H51" i="8"/>
  <c r="I51" i="8" s="1"/>
  <c r="H52" i="8"/>
  <c r="I52" i="8" s="1"/>
  <c r="H55" i="8"/>
  <c r="I55" i="8" s="1"/>
  <c r="H56" i="8"/>
  <c r="I56" i="8" s="1"/>
  <c r="H59" i="8"/>
  <c r="I59" i="8" s="1"/>
  <c r="P60" i="8"/>
  <c r="Q60" i="8" s="1"/>
  <c r="D64" i="8"/>
  <c r="E64" i="8" s="1"/>
  <c r="J64" i="8"/>
  <c r="K64" i="8" s="1"/>
  <c r="J66" i="8"/>
  <c r="K66" i="8" s="1"/>
  <c r="P67" i="8"/>
  <c r="Q67" i="8" s="1"/>
  <c r="D72" i="8"/>
  <c r="E72" i="8" s="1"/>
  <c r="J72" i="8"/>
  <c r="K72" i="8" s="1"/>
  <c r="J79" i="8"/>
  <c r="K79" i="8" s="1"/>
  <c r="F79" i="8"/>
  <c r="G79" i="8" s="1"/>
  <c r="J82" i="8"/>
  <c r="K82" i="8" s="1"/>
  <c r="F82" i="8"/>
  <c r="G82" i="8" s="1"/>
  <c r="D88" i="8"/>
  <c r="E88" i="8" s="1"/>
  <c r="J88" i="8"/>
  <c r="K88" i="8" s="1"/>
  <c r="J95" i="8"/>
  <c r="K95" i="8" s="1"/>
  <c r="F95" i="8"/>
  <c r="G95" i="8" s="1"/>
  <c r="J98" i="8"/>
  <c r="K98" i="8" s="1"/>
  <c r="F98" i="8"/>
  <c r="G98" i="8" s="1"/>
  <c r="D102" i="8"/>
  <c r="E102" i="8" s="1"/>
  <c r="D104" i="8"/>
  <c r="E104" i="8" s="1"/>
  <c r="J104" i="8"/>
  <c r="K104" i="8" s="1"/>
  <c r="J111" i="8"/>
  <c r="K111" i="8" s="1"/>
  <c r="F111" i="8"/>
  <c r="G111" i="8" s="1"/>
  <c r="J114" i="8"/>
  <c r="K114" i="8" s="1"/>
  <c r="F114" i="8"/>
  <c r="G114" i="8" s="1"/>
  <c r="D118" i="8"/>
  <c r="E118" i="8" s="1"/>
  <c r="D120" i="8"/>
  <c r="E120" i="8" s="1"/>
  <c r="J120" i="8"/>
  <c r="K120" i="8" s="1"/>
  <c r="J127" i="8"/>
  <c r="K127" i="8" s="1"/>
  <c r="F127" i="8"/>
  <c r="G127" i="8" s="1"/>
  <c r="J70" i="8"/>
  <c r="K70" i="8" s="1"/>
  <c r="F70" i="8"/>
  <c r="G70" i="8" s="1"/>
  <c r="J86" i="8"/>
  <c r="K86" i="8" s="1"/>
  <c r="F86" i="8"/>
  <c r="G86" i="8" s="1"/>
  <c r="J99" i="8"/>
  <c r="K99" i="8" s="1"/>
  <c r="F99" i="8"/>
  <c r="G99" i="8" s="1"/>
  <c r="J115" i="8"/>
  <c r="K115" i="8" s="1"/>
  <c r="F115" i="8"/>
  <c r="G115" i="8" s="1"/>
  <c r="D68" i="8"/>
  <c r="E68" i="8" s="1"/>
  <c r="J68" i="8"/>
  <c r="K68" i="8" s="1"/>
  <c r="P70" i="8"/>
  <c r="Q70" i="8" s="1"/>
  <c r="J75" i="8"/>
  <c r="K75" i="8" s="1"/>
  <c r="F75" i="8"/>
  <c r="G75" i="8" s="1"/>
  <c r="J78" i="8"/>
  <c r="K78" i="8" s="1"/>
  <c r="F78" i="8"/>
  <c r="G78" i="8" s="1"/>
  <c r="D84" i="8"/>
  <c r="E84" i="8" s="1"/>
  <c r="J84" i="8"/>
  <c r="K84" i="8" s="1"/>
  <c r="P86" i="8"/>
  <c r="Q86" i="8" s="1"/>
  <c r="J91" i="8"/>
  <c r="K91" i="8" s="1"/>
  <c r="F91" i="8"/>
  <c r="G91" i="8" s="1"/>
  <c r="J94" i="8"/>
  <c r="K94" i="8" s="1"/>
  <c r="F94" i="8"/>
  <c r="G94" i="8" s="1"/>
  <c r="D100" i="8"/>
  <c r="E100" i="8" s="1"/>
  <c r="J100" i="8"/>
  <c r="K100" i="8" s="1"/>
  <c r="P102" i="8"/>
  <c r="Q102" i="8" s="1"/>
  <c r="J107" i="8"/>
  <c r="K107" i="8" s="1"/>
  <c r="F107" i="8"/>
  <c r="G107" i="8" s="1"/>
  <c r="J110" i="8"/>
  <c r="K110" i="8" s="1"/>
  <c r="F110" i="8"/>
  <c r="G110" i="8" s="1"/>
  <c r="D116" i="8"/>
  <c r="E116" i="8" s="1"/>
  <c r="J116" i="8"/>
  <c r="K116" i="8" s="1"/>
  <c r="J123" i="8"/>
  <c r="K123" i="8" s="1"/>
  <c r="F123" i="8"/>
  <c r="G123" i="8" s="1"/>
  <c r="J126" i="8"/>
  <c r="K126" i="8" s="1"/>
  <c r="F126" i="8"/>
  <c r="G126" i="8" s="1"/>
  <c r="H132" i="8"/>
  <c r="I132" i="8" s="1"/>
  <c r="P132" i="8"/>
  <c r="Q132" i="8" s="1"/>
  <c r="N132" i="8"/>
  <c r="F132" i="8"/>
  <c r="G132" i="8" s="1"/>
  <c r="H133" i="8"/>
  <c r="I133" i="8" s="1"/>
  <c r="J133" i="8"/>
  <c r="K133" i="8" s="1"/>
  <c r="P133" i="8"/>
  <c r="Q133" i="8" s="1"/>
  <c r="F133" i="8"/>
  <c r="G133" i="8" s="1"/>
  <c r="J83" i="8"/>
  <c r="K83" i="8" s="1"/>
  <c r="F83" i="8"/>
  <c r="G83" i="8" s="1"/>
  <c r="D108" i="8"/>
  <c r="E108" i="8" s="1"/>
  <c r="J108" i="8"/>
  <c r="K108" i="8" s="1"/>
  <c r="J118" i="8"/>
  <c r="K118" i="8" s="1"/>
  <c r="F118" i="8"/>
  <c r="G118" i="8" s="1"/>
  <c r="D60" i="8"/>
  <c r="E60" i="8" s="1"/>
  <c r="J71" i="8"/>
  <c r="K71" i="8" s="1"/>
  <c r="F71" i="8"/>
  <c r="G71" i="8" s="1"/>
  <c r="J74" i="8"/>
  <c r="K74" i="8" s="1"/>
  <c r="F74" i="8"/>
  <c r="G74" i="8" s="1"/>
  <c r="P75" i="8"/>
  <c r="Q75" i="8" s="1"/>
  <c r="D78" i="8"/>
  <c r="E78" i="8" s="1"/>
  <c r="D80" i="8"/>
  <c r="E80" i="8" s="1"/>
  <c r="J80" i="8"/>
  <c r="K80" i="8" s="1"/>
  <c r="P82" i="8"/>
  <c r="Q82" i="8" s="1"/>
  <c r="J87" i="8"/>
  <c r="K87" i="8" s="1"/>
  <c r="F87" i="8"/>
  <c r="G87" i="8" s="1"/>
  <c r="J90" i="8"/>
  <c r="K90" i="8" s="1"/>
  <c r="F90" i="8"/>
  <c r="G90" i="8" s="1"/>
  <c r="P91" i="8"/>
  <c r="Q91" i="8" s="1"/>
  <c r="D94" i="8"/>
  <c r="E94" i="8" s="1"/>
  <c r="D96" i="8"/>
  <c r="E96" i="8" s="1"/>
  <c r="J96" i="8"/>
  <c r="K96" i="8" s="1"/>
  <c r="P98" i="8"/>
  <c r="Q98" i="8" s="1"/>
  <c r="J103" i="8"/>
  <c r="K103" i="8" s="1"/>
  <c r="F103" i="8"/>
  <c r="G103" i="8" s="1"/>
  <c r="J106" i="8"/>
  <c r="K106" i="8" s="1"/>
  <c r="F106" i="8"/>
  <c r="G106" i="8" s="1"/>
  <c r="P107" i="8"/>
  <c r="Q107" i="8" s="1"/>
  <c r="D110" i="8"/>
  <c r="E110" i="8" s="1"/>
  <c r="D112" i="8"/>
  <c r="E112" i="8" s="1"/>
  <c r="J112" i="8"/>
  <c r="K112" i="8" s="1"/>
  <c r="P114" i="8"/>
  <c r="Q114" i="8" s="1"/>
  <c r="J119" i="8"/>
  <c r="K119" i="8" s="1"/>
  <c r="F119" i="8"/>
  <c r="G119" i="8" s="1"/>
  <c r="J122" i="8"/>
  <c r="K122" i="8" s="1"/>
  <c r="F122" i="8"/>
  <c r="G122" i="8" s="1"/>
  <c r="P123" i="8"/>
  <c r="D126" i="8"/>
  <c r="E126" i="8" s="1"/>
  <c r="P128" i="8"/>
  <c r="Q128" i="8" s="1"/>
  <c r="J128" i="8"/>
  <c r="K128" i="8" s="1"/>
  <c r="H131" i="8"/>
  <c r="I131" i="8" s="1"/>
  <c r="P131" i="8"/>
  <c r="Q131" i="8" s="1"/>
  <c r="F131" i="8"/>
  <c r="G131" i="8" s="1"/>
  <c r="N131" i="8"/>
  <c r="O131" i="8" s="1"/>
  <c r="D131" i="8"/>
  <c r="D132" i="8"/>
  <c r="E132" i="8" s="1"/>
  <c r="D133" i="8"/>
  <c r="E133" i="8" s="1"/>
  <c r="J129" i="8"/>
  <c r="L130" i="8"/>
  <c r="M130" i="8" s="1"/>
  <c r="P134" i="8"/>
  <c r="Q134" i="8" s="1"/>
  <c r="J135" i="8"/>
  <c r="K135" i="8" s="1"/>
  <c r="L136" i="8"/>
  <c r="M136" i="8" s="1"/>
  <c r="D137" i="8"/>
  <c r="E137" i="8" s="1"/>
  <c r="N137" i="8"/>
  <c r="O137" i="8" s="1"/>
  <c r="F138" i="8"/>
  <c r="G138" i="8" s="1"/>
  <c r="P138" i="8"/>
  <c r="Q138" i="8" s="1"/>
  <c r="J140" i="8"/>
  <c r="K140" i="8" s="1"/>
  <c r="L141" i="8"/>
  <c r="M141" i="8" s="1"/>
  <c r="D142" i="8"/>
  <c r="E142" i="8" s="1"/>
  <c r="L142" i="8"/>
  <c r="M142" i="8" s="1"/>
  <c r="D143" i="8"/>
  <c r="E143" i="8" s="1"/>
  <c r="D155" i="8"/>
  <c r="H159" i="8"/>
  <c r="I159" i="8" s="1"/>
  <c r="H160" i="8"/>
  <c r="I160" i="8" s="1"/>
  <c r="D163" i="8"/>
  <c r="E163" i="8" s="1"/>
  <c r="L170" i="8"/>
  <c r="M170" i="8" s="1"/>
  <c r="D171" i="8"/>
  <c r="E171" i="8" s="1"/>
  <c r="L178" i="8"/>
  <c r="M178" i="8" s="1"/>
  <c r="D179" i="8"/>
  <c r="E179" i="8" s="1"/>
  <c r="L129" i="8"/>
  <c r="M129" i="8" s="1"/>
  <c r="J134" i="8"/>
  <c r="K134" i="8" s="1"/>
  <c r="L135" i="8"/>
  <c r="M135" i="8" s="1"/>
  <c r="F137" i="8"/>
  <c r="G137" i="8" s="1"/>
  <c r="P137" i="8"/>
  <c r="Q137" i="8" s="1"/>
  <c r="J138" i="8"/>
  <c r="K138" i="8" s="1"/>
  <c r="L139" i="8"/>
  <c r="M139" i="8" s="1"/>
  <c r="D140" i="8"/>
  <c r="E140" i="8" s="1"/>
  <c r="L140" i="8"/>
  <c r="M140" i="8" s="1"/>
  <c r="D141" i="8"/>
  <c r="E141" i="8" s="1"/>
  <c r="N141" i="8"/>
  <c r="O141" i="8" s="1"/>
  <c r="F142" i="8"/>
  <c r="G142" i="8" s="1"/>
  <c r="N142" i="8"/>
  <c r="O142" i="8" s="1"/>
  <c r="F143" i="8"/>
  <c r="G143" i="8" s="1"/>
  <c r="H155" i="8"/>
  <c r="I155" i="8" s="1"/>
  <c r="H163" i="8"/>
  <c r="I163" i="8" s="1"/>
  <c r="L171" i="8"/>
  <c r="M171" i="8" s="1"/>
  <c r="L138" i="8"/>
  <c r="M138" i="8" s="1"/>
  <c r="P142" i="8"/>
  <c r="Q142" i="8" s="1"/>
  <c r="J143" i="8"/>
  <c r="L137" i="8"/>
  <c r="M137" i="8" s="1"/>
  <c r="D138" i="8"/>
  <c r="E138" i="8" s="1"/>
  <c r="N138" i="8"/>
  <c r="O138" i="8" s="1"/>
  <c r="J142" i="8"/>
  <c r="L143" i="8"/>
  <c r="M143" i="8" s="1"/>
  <c r="F65" i="8"/>
  <c r="G65" i="8" s="1"/>
  <c r="N67" i="8"/>
  <c r="O67" i="8" s="1"/>
  <c r="H67" i="8"/>
  <c r="I67" i="8" s="1"/>
  <c r="L67" i="8"/>
  <c r="M67" i="8" s="1"/>
  <c r="F69" i="8"/>
  <c r="G69" i="8" s="1"/>
  <c r="N71" i="8"/>
  <c r="O71" i="8" s="1"/>
  <c r="H71" i="8"/>
  <c r="I71" i="8" s="1"/>
  <c r="L71" i="8"/>
  <c r="M71" i="8" s="1"/>
  <c r="F73" i="8"/>
  <c r="G73" i="8" s="1"/>
  <c r="N75" i="8"/>
  <c r="O75" i="8" s="1"/>
  <c r="H75" i="8"/>
  <c r="I75" i="8" s="1"/>
  <c r="L75" i="8"/>
  <c r="M75" i="8" s="1"/>
  <c r="F77" i="8"/>
  <c r="G77" i="8" s="1"/>
  <c r="N79" i="8"/>
  <c r="O79" i="8" s="1"/>
  <c r="H79" i="8"/>
  <c r="I79" i="8" s="1"/>
  <c r="L79" i="8"/>
  <c r="M79" i="8" s="1"/>
  <c r="F81" i="8"/>
  <c r="G81" i="8" s="1"/>
  <c r="N83" i="8"/>
  <c r="O83" i="8" s="1"/>
  <c r="H83" i="8"/>
  <c r="I83" i="8" s="1"/>
  <c r="L83" i="8"/>
  <c r="M83" i="8" s="1"/>
  <c r="F85" i="8"/>
  <c r="G85" i="8" s="1"/>
  <c r="N87" i="8"/>
  <c r="O87" i="8" s="1"/>
  <c r="H87" i="8"/>
  <c r="I87" i="8" s="1"/>
  <c r="L87" i="8"/>
  <c r="M87" i="8" s="1"/>
  <c r="F89" i="8"/>
  <c r="G89" i="8" s="1"/>
  <c r="N91" i="8"/>
  <c r="O91" i="8" s="1"/>
  <c r="H91" i="8"/>
  <c r="I91" i="8" s="1"/>
  <c r="L91" i="8"/>
  <c r="M91" i="8" s="1"/>
  <c r="F93" i="8"/>
  <c r="G93" i="8" s="1"/>
  <c r="N95" i="8"/>
  <c r="O95" i="8" s="1"/>
  <c r="H95" i="8"/>
  <c r="I95" i="8" s="1"/>
  <c r="L95" i="8"/>
  <c r="M95" i="8" s="1"/>
  <c r="F97" i="8"/>
  <c r="G97" i="8" s="1"/>
  <c r="N99" i="8"/>
  <c r="O99" i="8" s="1"/>
  <c r="H99" i="8"/>
  <c r="I99" i="8" s="1"/>
  <c r="L99" i="8"/>
  <c r="M99" i="8" s="1"/>
  <c r="F101" i="8"/>
  <c r="G101" i="8" s="1"/>
  <c r="N103" i="8"/>
  <c r="O103" i="8" s="1"/>
  <c r="H103" i="8"/>
  <c r="I103" i="8" s="1"/>
  <c r="L103" i="8"/>
  <c r="M103" i="8" s="1"/>
  <c r="F105" i="8"/>
  <c r="G105" i="8" s="1"/>
  <c r="N107" i="8"/>
  <c r="O107" i="8" s="1"/>
  <c r="H107" i="8"/>
  <c r="I107" i="8" s="1"/>
  <c r="L107" i="8"/>
  <c r="M107" i="8" s="1"/>
  <c r="F109" i="8"/>
  <c r="G109" i="8" s="1"/>
  <c r="N111" i="8"/>
  <c r="O111" i="8" s="1"/>
  <c r="H111" i="8"/>
  <c r="I111" i="8" s="1"/>
  <c r="L111" i="8"/>
  <c r="M111" i="8" s="1"/>
  <c r="F113" i="8"/>
  <c r="G113" i="8" s="1"/>
  <c r="N115" i="8"/>
  <c r="O115" i="8" s="1"/>
  <c r="H115" i="8"/>
  <c r="I115" i="8" s="1"/>
  <c r="L115" i="8"/>
  <c r="M115" i="8" s="1"/>
  <c r="F117" i="8"/>
  <c r="G117" i="8" s="1"/>
  <c r="N119" i="8"/>
  <c r="O119" i="8" s="1"/>
  <c r="H119" i="8"/>
  <c r="I119" i="8" s="1"/>
  <c r="L119" i="8"/>
  <c r="M119" i="8" s="1"/>
  <c r="F121" i="8"/>
  <c r="G121" i="8" s="1"/>
  <c r="N123" i="8"/>
  <c r="O123" i="8" s="1"/>
  <c r="H123" i="8"/>
  <c r="I123" i="8" s="1"/>
  <c r="L123" i="8"/>
  <c r="M123" i="8" s="1"/>
  <c r="F125" i="8"/>
  <c r="G125" i="8" s="1"/>
  <c r="N127" i="8"/>
  <c r="O127" i="8" s="1"/>
  <c r="H127" i="8"/>
  <c r="I127" i="8" s="1"/>
  <c r="L127" i="8"/>
  <c r="M127" i="8" s="1"/>
  <c r="D128" i="8"/>
  <c r="E128" i="8" s="1"/>
  <c r="M131" i="8"/>
  <c r="I141" i="8"/>
  <c r="K142" i="8"/>
  <c r="L162" i="8"/>
  <c r="M162" i="8" s="1"/>
  <c r="P162" i="8"/>
  <c r="Q162" i="8" s="1"/>
  <c r="F162" i="8"/>
  <c r="G162" i="8" s="1"/>
  <c r="J162" i="8"/>
  <c r="K162" i="8" s="1"/>
  <c r="H162" i="8"/>
  <c r="I162" i="8" s="1"/>
  <c r="N162" i="8"/>
  <c r="O162" i="8" s="1"/>
  <c r="D162" i="8"/>
  <c r="E162" i="8" s="1"/>
  <c r="I164" i="8"/>
  <c r="K165" i="8"/>
  <c r="E166" i="8"/>
  <c r="M177" i="8"/>
  <c r="N33" i="8"/>
  <c r="O33" i="8" s="1"/>
  <c r="J33" i="8"/>
  <c r="K33" i="8" s="1"/>
  <c r="F33" i="8"/>
  <c r="G33" i="8" s="1"/>
  <c r="N37" i="8"/>
  <c r="O37" i="8" s="1"/>
  <c r="J37" i="8"/>
  <c r="K37" i="8" s="1"/>
  <c r="F37" i="8"/>
  <c r="G37" i="8" s="1"/>
  <c r="N41" i="8"/>
  <c r="O41" i="8" s="1"/>
  <c r="J41" i="8"/>
  <c r="K41" i="8" s="1"/>
  <c r="F41" i="8"/>
  <c r="G41" i="8" s="1"/>
  <c r="N45" i="8"/>
  <c r="O45" i="8" s="1"/>
  <c r="J45" i="8"/>
  <c r="K45" i="8" s="1"/>
  <c r="F45" i="8"/>
  <c r="G45" i="8" s="1"/>
  <c r="N49" i="8"/>
  <c r="O49" i="8" s="1"/>
  <c r="J49" i="8"/>
  <c r="K49" i="8" s="1"/>
  <c r="F49" i="8"/>
  <c r="G49" i="8" s="1"/>
  <c r="N53" i="8"/>
  <c r="O53" i="8" s="1"/>
  <c r="J53" i="8"/>
  <c r="K53" i="8" s="1"/>
  <c r="F53" i="8"/>
  <c r="G53" i="8" s="1"/>
  <c r="N57" i="8"/>
  <c r="O57" i="8" s="1"/>
  <c r="J57" i="8"/>
  <c r="K57" i="8" s="1"/>
  <c r="F57" i="8"/>
  <c r="G57" i="8" s="1"/>
  <c r="N61" i="8"/>
  <c r="O61" i="8" s="1"/>
  <c r="J61" i="8"/>
  <c r="K61" i="8" s="1"/>
  <c r="F61" i="8"/>
  <c r="G61" i="8" s="1"/>
  <c r="Q63" i="8"/>
  <c r="N65" i="8"/>
  <c r="O65" i="8" s="1"/>
  <c r="H65" i="8"/>
  <c r="I65" i="8" s="1"/>
  <c r="L65" i="8"/>
  <c r="M65" i="8" s="1"/>
  <c r="E66" i="8"/>
  <c r="N69" i="8"/>
  <c r="O69" i="8" s="1"/>
  <c r="H69" i="8"/>
  <c r="I69" i="8" s="1"/>
  <c r="L69" i="8"/>
  <c r="M69" i="8" s="1"/>
  <c r="E70" i="8"/>
  <c r="Q71" i="8"/>
  <c r="N73" i="8"/>
  <c r="O73" i="8" s="1"/>
  <c r="H73" i="8"/>
  <c r="I73" i="8" s="1"/>
  <c r="L73" i="8"/>
  <c r="M73" i="8" s="1"/>
  <c r="N77" i="8"/>
  <c r="O77" i="8" s="1"/>
  <c r="H77" i="8"/>
  <c r="I77" i="8" s="1"/>
  <c r="L77" i="8"/>
  <c r="M77" i="8" s="1"/>
  <c r="Q79" i="8"/>
  <c r="N81" i="8"/>
  <c r="O81" i="8" s="1"/>
  <c r="H81" i="8"/>
  <c r="I81" i="8" s="1"/>
  <c r="L81" i="8"/>
  <c r="M81" i="8" s="1"/>
  <c r="E82" i="8"/>
  <c r="Q83" i="8"/>
  <c r="N85" i="8"/>
  <c r="O85" i="8" s="1"/>
  <c r="H85" i="8"/>
  <c r="I85" i="8" s="1"/>
  <c r="L85" i="8"/>
  <c r="M85" i="8" s="1"/>
  <c r="E86" i="8"/>
  <c r="Q87" i="8"/>
  <c r="N89" i="8"/>
  <c r="O89" i="8" s="1"/>
  <c r="H89" i="8"/>
  <c r="I89" i="8" s="1"/>
  <c r="L89" i="8"/>
  <c r="M89" i="8" s="1"/>
  <c r="N93" i="8"/>
  <c r="O93" i="8" s="1"/>
  <c r="H93" i="8"/>
  <c r="I93" i="8" s="1"/>
  <c r="L93" i="8"/>
  <c r="M93" i="8" s="1"/>
  <c r="Q95" i="8"/>
  <c r="N97" i="8"/>
  <c r="O97" i="8" s="1"/>
  <c r="H97" i="8"/>
  <c r="I97" i="8" s="1"/>
  <c r="L97" i="8"/>
  <c r="M97" i="8" s="1"/>
  <c r="E98" i="8"/>
  <c r="Q99" i="8"/>
  <c r="N101" i="8"/>
  <c r="O101" i="8" s="1"/>
  <c r="H101" i="8"/>
  <c r="I101" i="8" s="1"/>
  <c r="L101" i="8"/>
  <c r="M101" i="8" s="1"/>
  <c r="Q103" i="8"/>
  <c r="N105" i="8"/>
  <c r="O105" i="8" s="1"/>
  <c r="H105" i="8"/>
  <c r="I105" i="8" s="1"/>
  <c r="L105" i="8"/>
  <c r="M105" i="8" s="1"/>
  <c r="N109" i="8"/>
  <c r="O109" i="8" s="1"/>
  <c r="H109" i="8"/>
  <c r="I109" i="8" s="1"/>
  <c r="L109" i="8"/>
  <c r="M109" i="8" s="1"/>
  <c r="Q111" i="8"/>
  <c r="N113" i="8"/>
  <c r="O113" i="8" s="1"/>
  <c r="H113" i="8"/>
  <c r="I113" i="8" s="1"/>
  <c r="L113" i="8"/>
  <c r="M113" i="8" s="1"/>
  <c r="E114" i="8"/>
  <c r="Q115" i="8"/>
  <c r="N117" i="8"/>
  <c r="O117" i="8" s="1"/>
  <c r="H117" i="8"/>
  <c r="I117" i="8" s="1"/>
  <c r="L117" i="8"/>
  <c r="M117" i="8" s="1"/>
  <c r="Q119" i="8"/>
  <c r="N121" i="8"/>
  <c r="O121" i="8" s="1"/>
  <c r="H121" i="8"/>
  <c r="I121" i="8" s="1"/>
  <c r="L121" i="8"/>
  <c r="M121" i="8" s="1"/>
  <c r="Q123" i="8"/>
  <c r="N125" i="8"/>
  <c r="O125" i="8" s="1"/>
  <c r="H125" i="8"/>
  <c r="I125" i="8" s="1"/>
  <c r="L125" i="8"/>
  <c r="M125" i="8" s="1"/>
  <c r="Q127" i="8"/>
  <c r="L145" i="8"/>
  <c r="M145" i="8" s="1"/>
  <c r="P145" i="8"/>
  <c r="Q145" i="8" s="1"/>
  <c r="F145" i="8"/>
  <c r="G145" i="8" s="1"/>
  <c r="H145" i="8"/>
  <c r="I145" i="8" s="1"/>
  <c r="N145" i="8"/>
  <c r="O145" i="8" s="1"/>
  <c r="J145" i="8"/>
  <c r="K145" i="8" s="1"/>
  <c r="E151" i="8"/>
  <c r="L152" i="8"/>
  <c r="M152" i="8" s="1"/>
  <c r="P152" i="8"/>
  <c r="Q152" i="8" s="1"/>
  <c r="F152" i="8"/>
  <c r="G152" i="8" s="1"/>
  <c r="D152" i="8"/>
  <c r="E152" i="8" s="1"/>
  <c r="J152" i="8"/>
  <c r="K152" i="8" s="1"/>
  <c r="H152" i="8"/>
  <c r="I152" i="8" s="1"/>
  <c r="E154" i="8"/>
  <c r="L156" i="8"/>
  <c r="M156" i="8" s="1"/>
  <c r="P156" i="8"/>
  <c r="Q156" i="8" s="1"/>
  <c r="F156" i="8"/>
  <c r="G156" i="8" s="1"/>
  <c r="D156" i="8"/>
  <c r="E156" i="8" s="1"/>
  <c r="N156" i="8"/>
  <c r="O156" i="8" s="1"/>
  <c r="J156" i="8"/>
  <c r="K156" i="8" s="1"/>
  <c r="H156" i="8"/>
  <c r="I156" i="8" s="1"/>
  <c r="L161" i="8"/>
  <c r="M161" i="8" s="1"/>
  <c r="P161" i="8"/>
  <c r="Q161" i="8" s="1"/>
  <c r="F161" i="8"/>
  <c r="G161" i="8" s="1"/>
  <c r="H161" i="8"/>
  <c r="I161" i="8" s="1"/>
  <c r="D161" i="8"/>
  <c r="E161" i="8" s="1"/>
  <c r="N161" i="8"/>
  <c r="O161" i="8" s="1"/>
  <c r="J161" i="8"/>
  <c r="K161" i="8" s="1"/>
  <c r="N30" i="8"/>
  <c r="O30" i="8" s="1"/>
  <c r="J30" i="8"/>
  <c r="K30" i="8" s="1"/>
  <c r="F30" i="8"/>
  <c r="G30" i="8" s="1"/>
  <c r="D33" i="8"/>
  <c r="E33" i="8" s="1"/>
  <c r="L33" i="8"/>
  <c r="M33" i="8" s="1"/>
  <c r="N34" i="8"/>
  <c r="O34" i="8" s="1"/>
  <c r="J34" i="8"/>
  <c r="K34" i="8" s="1"/>
  <c r="F34" i="8"/>
  <c r="G34" i="8" s="1"/>
  <c r="D37" i="8"/>
  <c r="E37" i="8" s="1"/>
  <c r="L37" i="8"/>
  <c r="M37" i="8" s="1"/>
  <c r="N38" i="8"/>
  <c r="O38" i="8" s="1"/>
  <c r="J38" i="8"/>
  <c r="K38" i="8" s="1"/>
  <c r="F38" i="8"/>
  <c r="G38" i="8" s="1"/>
  <c r="D41" i="8"/>
  <c r="E41" i="8" s="1"/>
  <c r="L41" i="8"/>
  <c r="M41" i="8" s="1"/>
  <c r="N42" i="8"/>
  <c r="O42" i="8" s="1"/>
  <c r="J42" i="8"/>
  <c r="K42" i="8" s="1"/>
  <c r="F42" i="8"/>
  <c r="G42" i="8" s="1"/>
  <c r="D45" i="8"/>
  <c r="E45" i="8" s="1"/>
  <c r="L45" i="8"/>
  <c r="M45" i="8" s="1"/>
  <c r="N46" i="8"/>
  <c r="O46" i="8" s="1"/>
  <c r="J46" i="8"/>
  <c r="K46" i="8" s="1"/>
  <c r="F46" i="8"/>
  <c r="G46" i="8" s="1"/>
  <c r="D49" i="8"/>
  <c r="E49" i="8" s="1"/>
  <c r="L49" i="8"/>
  <c r="M49" i="8" s="1"/>
  <c r="N50" i="8"/>
  <c r="O50" i="8" s="1"/>
  <c r="J50" i="8"/>
  <c r="K50" i="8" s="1"/>
  <c r="F50" i="8"/>
  <c r="G50" i="8" s="1"/>
  <c r="D53" i="8"/>
  <c r="E53" i="8" s="1"/>
  <c r="L53" i="8"/>
  <c r="M53" i="8" s="1"/>
  <c r="N54" i="8"/>
  <c r="O54" i="8" s="1"/>
  <c r="J54" i="8"/>
  <c r="K54" i="8" s="1"/>
  <c r="F54" i="8"/>
  <c r="G54" i="8" s="1"/>
  <c r="D57" i="8"/>
  <c r="E57" i="8" s="1"/>
  <c r="L57" i="8"/>
  <c r="M57" i="8" s="1"/>
  <c r="N58" i="8"/>
  <c r="O58" i="8" s="1"/>
  <c r="J58" i="8"/>
  <c r="K58" i="8" s="1"/>
  <c r="F58" i="8"/>
  <c r="G58" i="8" s="1"/>
  <c r="D61" i="8"/>
  <c r="E61" i="8" s="1"/>
  <c r="L61" i="8"/>
  <c r="M61" i="8" s="1"/>
  <c r="N62" i="8"/>
  <c r="O62" i="8" s="1"/>
  <c r="J62" i="8"/>
  <c r="K62" i="8" s="1"/>
  <c r="F62" i="8"/>
  <c r="G62" i="8" s="1"/>
  <c r="N64" i="8"/>
  <c r="O64" i="8" s="1"/>
  <c r="H64" i="8"/>
  <c r="I64" i="8" s="1"/>
  <c r="L64" i="8"/>
  <c r="M64" i="8" s="1"/>
  <c r="D65" i="8"/>
  <c r="E65" i="8" s="1"/>
  <c r="Q66" i="8"/>
  <c r="N68" i="8"/>
  <c r="O68" i="8" s="1"/>
  <c r="H68" i="8"/>
  <c r="I68" i="8" s="1"/>
  <c r="L68" i="8"/>
  <c r="M68" i="8" s="1"/>
  <c r="D69" i="8"/>
  <c r="E69" i="8" s="1"/>
  <c r="N72" i="8"/>
  <c r="O72" i="8" s="1"/>
  <c r="H72" i="8"/>
  <c r="I72" i="8" s="1"/>
  <c r="L72" i="8"/>
  <c r="M72" i="8" s="1"/>
  <c r="D73" i="8"/>
  <c r="E73" i="8" s="1"/>
  <c r="Q74" i="8"/>
  <c r="N76" i="8"/>
  <c r="O76" i="8" s="1"/>
  <c r="H76" i="8"/>
  <c r="I76" i="8" s="1"/>
  <c r="L76" i="8"/>
  <c r="M76" i="8" s="1"/>
  <c r="D77" i="8"/>
  <c r="E77" i="8" s="1"/>
  <c r="Q78" i="8"/>
  <c r="N80" i="8"/>
  <c r="O80" i="8" s="1"/>
  <c r="H80" i="8"/>
  <c r="I80" i="8" s="1"/>
  <c r="L80" i="8"/>
  <c r="M80" i="8" s="1"/>
  <c r="D81" i="8"/>
  <c r="E81" i="8" s="1"/>
  <c r="N84" i="8"/>
  <c r="O84" i="8" s="1"/>
  <c r="H84" i="8"/>
  <c r="I84" i="8" s="1"/>
  <c r="L84" i="8"/>
  <c r="M84" i="8" s="1"/>
  <c r="D85" i="8"/>
  <c r="E85" i="8" s="1"/>
  <c r="N88" i="8"/>
  <c r="O88" i="8" s="1"/>
  <c r="H88" i="8"/>
  <c r="I88" i="8" s="1"/>
  <c r="L88" i="8"/>
  <c r="M88" i="8" s="1"/>
  <c r="D89" i="8"/>
  <c r="E89" i="8" s="1"/>
  <c r="Q90" i="8"/>
  <c r="N92" i="8"/>
  <c r="O92" i="8" s="1"/>
  <c r="H92" i="8"/>
  <c r="I92" i="8" s="1"/>
  <c r="L92" i="8"/>
  <c r="M92" i="8" s="1"/>
  <c r="D93" i="8"/>
  <c r="E93" i="8" s="1"/>
  <c r="Q94" i="8"/>
  <c r="N96" i="8"/>
  <c r="O96" i="8" s="1"/>
  <c r="H96" i="8"/>
  <c r="I96" i="8" s="1"/>
  <c r="L96" i="8"/>
  <c r="M96" i="8" s="1"/>
  <c r="D97" i="8"/>
  <c r="E97" i="8" s="1"/>
  <c r="N100" i="8"/>
  <c r="O100" i="8" s="1"/>
  <c r="H100" i="8"/>
  <c r="I100" i="8" s="1"/>
  <c r="L100" i="8"/>
  <c r="M100" i="8" s="1"/>
  <c r="D101" i="8"/>
  <c r="E101" i="8" s="1"/>
  <c r="N104" i="8"/>
  <c r="O104" i="8" s="1"/>
  <c r="H104" i="8"/>
  <c r="I104" i="8" s="1"/>
  <c r="L104" i="8"/>
  <c r="M104" i="8" s="1"/>
  <c r="D105" i="8"/>
  <c r="E105" i="8" s="1"/>
  <c r="Q106" i="8"/>
  <c r="N108" i="8"/>
  <c r="O108" i="8" s="1"/>
  <c r="H108" i="8"/>
  <c r="I108" i="8" s="1"/>
  <c r="L108" i="8"/>
  <c r="M108" i="8" s="1"/>
  <c r="D109" i="8"/>
  <c r="E109" i="8" s="1"/>
  <c r="Q110" i="8"/>
  <c r="N112" i="8"/>
  <c r="O112" i="8" s="1"/>
  <c r="H112" i="8"/>
  <c r="I112" i="8" s="1"/>
  <c r="L112" i="8"/>
  <c r="M112" i="8" s="1"/>
  <c r="D113" i="8"/>
  <c r="E113" i="8" s="1"/>
  <c r="N116" i="8"/>
  <c r="O116" i="8" s="1"/>
  <c r="H116" i="8"/>
  <c r="I116" i="8" s="1"/>
  <c r="L116" i="8"/>
  <c r="M116" i="8" s="1"/>
  <c r="D117" i="8"/>
  <c r="E117" i="8" s="1"/>
  <c r="Q118" i="8"/>
  <c r="N120" i="8"/>
  <c r="O120" i="8" s="1"/>
  <c r="H120" i="8"/>
  <c r="I120" i="8" s="1"/>
  <c r="L120" i="8"/>
  <c r="M120" i="8" s="1"/>
  <c r="D121" i="8"/>
  <c r="E121" i="8" s="1"/>
  <c r="Q122" i="8"/>
  <c r="N124" i="8"/>
  <c r="O124" i="8" s="1"/>
  <c r="H124" i="8"/>
  <c r="I124" i="8" s="1"/>
  <c r="L124" i="8"/>
  <c r="M124" i="8" s="1"/>
  <c r="D125" i="8"/>
  <c r="E125" i="8" s="1"/>
  <c r="Q126" i="8"/>
  <c r="N128" i="8"/>
  <c r="O128" i="8" s="1"/>
  <c r="H128" i="8"/>
  <c r="I128" i="8" s="1"/>
  <c r="L128" i="8"/>
  <c r="M128" i="8" s="1"/>
  <c r="E130" i="8"/>
  <c r="E135" i="8"/>
  <c r="D145" i="8"/>
  <c r="E145" i="8" s="1"/>
  <c r="E147" i="8"/>
  <c r="N152" i="8"/>
  <c r="O152" i="8" s="1"/>
  <c r="D30" i="8"/>
  <c r="E30" i="8" s="1"/>
  <c r="L30" i="8"/>
  <c r="M30" i="8" s="1"/>
  <c r="N31" i="8"/>
  <c r="O31" i="8" s="1"/>
  <c r="J31" i="8"/>
  <c r="K31" i="8" s="1"/>
  <c r="F31" i="8"/>
  <c r="G31" i="8" s="1"/>
  <c r="D34" i="8"/>
  <c r="E34" i="8" s="1"/>
  <c r="L34" i="8"/>
  <c r="M34" i="8" s="1"/>
  <c r="N35" i="8"/>
  <c r="O35" i="8" s="1"/>
  <c r="J35" i="8"/>
  <c r="K35" i="8" s="1"/>
  <c r="F35" i="8"/>
  <c r="G35" i="8" s="1"/>
  <c r="D38" i="8"/>
  <c r="E38" i="8" s="1"/>
  <c r="L38" i="8"/>
  <c r="M38" i="8" s="1"/>
  <c r="N39" i="8"/>
  <c r="O39" i="8" s="1"/>
  <c r="J39" i="8"/>
  <c r="K39" i="8" s="1"/>
  <c r="F39" i="8"/>
  <c r="G39" i="8" s="1"/>
  <c r="D42" i="8"/>
  <c r="E42" i="8" s="1"/>
  <c r="L42" i="8"/>
  <c r="M42" i="8" s="1"/>
  <c r="J43" i="8"/>
  <c r="K43" i="8" s="1"/>
  <c r="F43" i="8"/>
  <c r="G43" i="8" s="1"/>
  <c r="N43" i="8"/>
  <c r="O43" i="8" s="1"/>
  <c r="D46" i="8"/>
  <c r="E46" i="8" s="1"/>
  <c r="L46" i="8"/>
  <c r="M46" i="8" s="1"/>
  <c r="N47" i="8"/>
  <c r="O47" i="8" s="1"/>
  <c r="J47" i="8"/>
  <c r="K47" i="8" s="1"/>
  <c r="F47" i="8"/>
  <c r="G47" i="8" s="1"/>
  <c r="D50" i="8"/>
  <c r="E50" i="8" s="1"/>
  <c r="L50" i="8"/>
  <c r="M50" i="8" s="1"/>
  <c r="N51" i="8"/>
  <c r="O51" i="8" s="1"/>
  <c r="J51" i="8"/>
  <c r="K51" i="8" s="1"/>
  <c r="F51" i="8"/>
  <c r="G51" i="8" s="1"/>
  <c r="D54" i="8"/>
  <c r="E54" i="8" s="1"/>
  <c r="L54" i="8"/>
  <c r="M54" i="8" s="1"/>
  <c r="N55" i="8"/>
  <c r="O55" i="8" s="1"/>
  <c r="J55" i="8"/>
  <c r="K55" i="8" s="1"/>
  <c r="F55" i="8"/>
  <c r="G55" i="8" s="1"/>
  <c r="D58" i="8"/>
  <c r="E58" i="8" s="1"/>
  <c r="L58" i="8"/>
  <c r="M58" i="8" s="1"/>
  <c r="N59" i="8"/>
  <c r="O59" i="8" s="1"/>
  <c r="J59" i="8"/>
  <c r="K59" i="8" s="1"/>
  <c r="F59" i="8"/>
  <c r="G59" i="8" s="1"/>
  <c r="D62" i="8"/>
  <c r="E62" i="8" s="1"/>
  <c r="L62" i="8"/>
  <c r="M62" i="8" s="1"/>
  <c r="N63" i="8"/>
  <c r="O63" i="8" s="1"/>
  <c r="H63" i="8"/>
  <c r="I63" i="8" s="1"/>
  <c r="L63" i="8"/>
  <c r="M63" i="8" s="1"/>
  <c r="D31" i="8"/>
  <c r="E31" i="8" s="1"/>
  <c r="L31" i="8"/>
  <c r="M31" i="8" s="1"/>
  <c r="N32" i="8"/>
  <c r="O32" i="8" s="1"/>
  <c r="J32" i="8"/>
  <c r="K32" i="8" s="1"/>
  <c r="F32" i="8"/>
  <c r="G32" i="8" s="1"/>
  <c r="H33" i="8"/>
  <c r="I33" i="8" s="1"/>
  <c r="P33" i="8"/>
  <c r="Q33" i="8" s="1"/>
  <c r="D35" i="8"/>
  <c r="E35" i="8" s="1"/>
  <c r="L35" i="8"/>
  <c r="M35" i="8" s="1"/>
  <c r="N36" i="8"/>
  <c r="O36" i="8" s="1"/>
  <c r="J36" i="8"/>
  <c r="K36" i="8" s="1"/>
  <c r="F36" i="8"/>
  <c r="G36" i="8" s="1"/>
  <c r="H37" i="8"/>
  <c r="I37" i="8" s="1"/>
  <c r="P37" i="8"/>
  <c r="Q37" i="8" s="1"/>
  <c r="D39" i="8"/>
  <c r="E39" i="8" s="1"/>
  <c r="L39" i="8"/>
  <c r="M39" i="8" s="1"/>
  <c r="N40" i="8"/>
  <c r="O40" i="8" s="1"/>
  <c r="J40" i="8"/>
  <c r="K40" i="8" s="1"/>
  <c r="F40" i="8"/>
  <c r="G40" i="8" s="1"/>
  <c r="H41" i="8"/>
  <c r="I41" i="8" s="1"/>
  <c r="P41" i="8"/>
  <c r="Q41" i="8" s="1"/>
  <c r="D43" i="8"/>
  <c r="E43" i="8" s="1"/>
  <c r="L43" i="8"/>
  <c r="M43" i="8" s="1"/>
  <c r="N44" i="8"/>
  <c r="O44" i="8" s="1"/>
  <c r="J44" i="8"/>
  <c r="K44" i="8" s="1"/>
  <c r="F44" i="8"/>
  <c r="G44" i="8" s="1"/>
  <c r="H45" i="8"/>
  <c r="I45" i="8" s="1"/>
  <c r="P45" i="8"/>
  <c r="Q45" i="8" s="1"/>
  <c r="D47" i="8"/>
  <c r="E47" i="8" s="1"/>
  <c r="L47" i="8"/>
  <c r="M47" i="8" s="1"/>
  <c r="N48" i="8"/>
  <c r="O48" i="8" s="1"/>
  <c r="J48" i="8"/>
  <c r="K48" i="8" s="1"/>
  <c r="F48" i="8"/>
  <c r="G48" i="8" s="1"/>
  <c r="H49" i="8"/>
  <c r="I49" i="8" s="1"/>
  <c r="P49" i="8"/>
  <c r="Q49" i="8" s="1"/>
  <c r="D51" i="8"/>
  <c r="E51" i="8" s="1"/>
  <c r="L51" i="8"/>
  <c r="M51" i="8" s="1"/>
  <c r="N52" i="8"/>
  <c r="O52" i="8" s="1"/>
  <c r="J52" i="8"/>
  <c r="K52" i="8" s="1"/>
  <c r="F52" i="8"/>
  <c r="G52" i="8" s="1"/>
  <c r="H53" i="8"/>
  <c r="I53" i="8" s="1"/>
  <c r="P53" i="8"/>
  <c r="Q53" i="8" s="1"/>
  <c r="D55" i="8"/>
  <c r="E55" i="8" s="1"/>
  <c r="L55" i="8"/>
  <c r="M55" i="8" s="1"/>
  <c r="N56" i="8"/>
  <c r="O56" i="8" s="1"/>
  <c r="J56" i="8"/>
  <c r="K56" i="8" s="1"/>
  <c r="F56" i="8"/>
  <c r="G56" i="8" s="1"/>
  <c r="H57" i="8"/>
  <c r="I57" i="8" s="1"/>
  <c r="P57" i="8"/>
  <c r="Q57" i="8" s="1"/>
  <c r="D59" i="8"/>
  <c r="E59" i="8" s="1"/>
  <c r="L59" i="8"/>
  <c r="M59" i="8" s="1"/>
  <c r="N60" i="8"/>
  <c r="O60" i="8" s="1"/>
  <c r="J60" i="8"/>
  <c r="K60" i="8" s="1"/>
  <c r="F60" i="8"/>
  <c r="G60" i="8" s="1"/>
  <c r="H61" i="8"/>
  <c r="I61" i="8" s="1"/>
  <c r="P61" i="8"/>
  <c r="Q61" i="8" s="1"/>
  <c r="D63" i="8"/>
  <c r="E63" i="8" s="1"/>
  <c r="F64" i="8"/>
  <c r="G64" i="8" s="1"/>
  <c r="P64" i="8"/>
  <c r="Q64" i="8" s="1"/>
  <c r="J65" i="8"/>
  <c r="K65" i="8" s="1"/>
  <c r="N66" i="8"/>
  <c r="O66" i="8" s="1"/>
  <c r="H66" i="8"/>
  <c r="I66" i="8" s="1"/>
  <c r="L66" i="8"/>
  <c r="M66" i="8" s="1"/>
  <c r="D67" i="8"/>
  <c r="E67" i="8" s="1"/>
  <c r="F68" i="8"/>
  <c r="G68" i="8" s="1"/>
  <c r="P68" i="8"/>
  <c r="Q68" i="8" s="1"/>
  <c r="J69" i="8"/>
  <c r="K69" i="8" s="1"/>
  <c r="N70" i="8"/>
  <c r="O70" i="8" s="1"/>
  <c r="H70" i="8"/>
  <c r="I70" i="8" s="1"/>
  <c r="L70" i="8"/>
  <c r="M70" i="8" s="1"/>
  <c r="D71" i="8"/>
  <c r="E71" i="8" s="1"/>
  <c r="F72" i="8"/>
  <c r="G72" i="8" s="1"/>
  <c r="P72" i="8"/>
  <c r="Q72" i="8" s="1"/>
  <c r="J73" i="8"/>
  <c r="K73" i="8" s="1"/>
  <c r="N74" i="8"/>
  <c r="O74" i="8" s="1"/>
  <c r="H74" i="8"/>
  <c r="I74" i="8" s="1"/>
  <c r="L74" i="8"/>
  <c r="M74" i="8" s="1"/>
  <c r="D75" i="8"/>
  <c r="E75" i="8" s="1"/>
  <c r="F76" i="8"/>
  <c r="G76" i="8" s="1"/>
  <c r="P76" i="8"/>
  <c r="Q76" i="8" s="1"/>
  <c r="J77" i="8"/>
  <c r="K77" i="8" s="1"/>
  <c r="N78" i="8"/>
  <c r="O78" i="8" s="1"/>
  <c r="H78" i="8"/>
  <c r="I78" i="8" s="1"/>
  <c r="L78" i="8"/>
  <c r="M78" i="8" s="1"/>
  <c r="D79" i="8"/>
  <c r="E79" i="8" s="1"/>
  <c r="F80" i="8"/>
  <c r="G80" i="8" s="1"/>
  <c r="P80" i="8"/>
  <c r="Q80" i="8" s="1"/>
  <c r="J81" i="8"/>
  <c r="K81" i="8" s="1"/>
  <c r="N82" i="8"/>
  <c r="O82" i="8" s="1"/>
  <c r="H82" i="8"/>
  <c r="I82" i="8" s="1"/>
  <c r="L82" i="8"/>
  <c r="M82" i="8" s="1"/>
  <c r="D83" i="8"/>
  <c r="E83" i="8" s="1"/>
  <c r="F84" i="8"/>
  <c r="G84" i="8" s="1"/>
  <c r="P84" i="8"/>
  <c r="Q84" i="8" s="1"/>
  <c r="J85" i="8"/>
  <c r="K85" i="8" s="1"/>
  <c r="N86" i="8"/>
  <c r="O86" i="8" s="1"/>
  <c r="H86" i="8"/>
  <c r="I86" i="8" s="1"/>
  <c r="L86" i="8"/>
  <c r="M86" i="8" s="1"/>
  <c r="D87" i="8"/>
  <c r="E87" i="8" s="1"/>
  <c r="F88" i="8"/>
  <c r="G88" i="8" s="1"/>
  <c r="P88" i="8"/>
  <c r="Q88" i="8" s="1"/>
  <c r="J89" i="8"/>
  <c r="K89" i="8" s="1"/>
  <c r="N90" i="8"/>
  <c r="O90" i="8" s="1"/>
  <c r="H90" i="8"/>
  <c r="I90" i="8" s="1"/>
  <c r="L90" i="8"/>
  <c r="M90" i="8" s="1"/>
  <c r="D91" i="8"/>
  <c r="E91" i="8" s="1"/>
  <c r="F92" i="8"/>
  <c r="G92" i="8" s="1"/>
  <c r="P92" i="8"/>
  <c r="Q92" i="8" s="1"/>
  <c r="J93" i="8"/>
  <c r="K93" i="8" s="1"/>
  <c r="N94" i="8"/>
  <c r="O94" i="8" s="1"/>
  <c r="H94" i="8"/>
  <c r="I94" i="8" s="1"/>
  <c r="L94" i="8"/>
  <c r="M94" i="8" s="1"/>
  <c r="D95" i="8"/>
  <c r="E95" i="8" s="1"/>
  <c r="F96" i="8"/>
  <c r="G96" i="8" s="1"/>
  <c r="P96" i="8"/>
  <c r="Q96" i="8" s="1"/>
  <c r="J97" i="8"/>
  <c r="K97" i="8" s="1"/>
  <c r="N98" i="8"/>
  <c r="O98" i="8" s="1"/>
  <c r="H98" i="8"/>
  <c r="I98" i="8" s="1"/>
  <c r="L98" i="8"/>
  <c r="M98" i="8" s="1"/>
  <c r="D99" i="8"/>
  <c r="E99" i="8" s="1"/>
  <c r="F100" i="8"/>
  <c r="G100" i="8" s="1"/>
  <c r="P100" i="8"/>
  <c r="Q100" i="8" s="1"/>
  <c r="J101" i="8"/>
  <c r="K101" i="8" s="1"/>
  <c r="N102" i="8"/>
  <c r="O102" i="8" s="1"/>
  <c r="H102" i="8"/>
  <c r="I102" i="8" s="1"/>
  <c r="L102" i="8"/>
  <c r="M102" i="8" s="1"/>
  <c r="D103" i="8"/>
  <c r="E103" i="8" s="1"/>
  <c r="F104" i="8"/>
  <c r="G104" i="8" s="1"/>
  <c r="P104" i="8"/>
  <c r="Q104" i="8" s="1"/>
  <c r="J105" i="8"/>
  <c r="K105" i="8" s="1"/>
  <c r="N106" i="8"/>
  <c r="O106" i="8" s="1"/>
  <c r="H106" i="8"/>
  <c r="I106" i="8" s="1"/>
  <c r="L106" i="8"/>
  <c r="M106" i="8" s="1"/>
  <c r="D107" i="8"/>
  <c r="E107" i="8" s="1"/>
  <c r="F108" i="8"/>
  <c r="G108" i="8" s="1"/>
  <c r="P108" i="8"/>
  <c r="Q108" i="8" s="1"/>
  <c r="J109" i="8"/>
  <c r="K109" i="8" s="1"/>
  <c r="N110" i="8"/>
  <c r="O110" i="8" s="1"/>
  <c r="H110" i="8"/>
  <c r="I110" i="8" s="1"/>
  <c r="L110" i="8"/>
  <c r="M110" i="8" s="1"/>
  <c r="D111" i="8"/>
  <c r="E111" i="8" s="1"/>
  <c r="F112" i="8"/>
  <c r="G112" i="8" s="1"/>
  <c r="P112" i="8"/>
  <c r="Q112" i="8" s="1"/>
  <c r="J113" i="8"/>
  <c r="K113" i="8" s="1"/>
  <c r="N114" i="8"/>
  <c r="O114" i="8" s="1"/>
  <c r="H114" i="8"/>
  <c r="I114" i="8" s="1"/>
  <c r="L114" i="8"/>
  <c r="M114" i="8" s="1"/>
  <c r="D115" i="8"/>
  <c r="E115" i="8" s="1"/>
  <c r="F116" i="8"/>
  <c r="G116" i="8" s="1"/>
  <c r="P116" i="8"/>
  <c r="Q116" i="8" s="1"/>
  <c r="J117" i="8"/>
  <c r="K117" i="8" s="1"/>
  <c r="N118" i="8"/>
  <c r="O118" i="8" s="1"/>
  <c r="H118" i="8"/>
  <c r="I118" i="8" s="1"/>
  <c r="L118" i="8"/>
  <c r="M118" i="8" s="1"/>
  <c r="D119" i="8"/>
  <c r="E119" i="8" s="1"/>
  <c r="F120" i="8"/>
  <c r="G120" i="8" s="1"/>
  <c r="P120" i="8"/>
  <c r="Q120" i="8" s="1"/>
  <c r="J121" i="8"/>
  <c r="K121" i="8" s="1"/>
  <c r="N122" i="8"/>
  <c r="O122" i="8" s="1"/>
  <c r="H122" i="8"/>
  <c r="I122" i="8" s="1"/>
  <c r="L122" i="8"/>
  <c r="M122" i="8" s="1"/>
  <c r="D123" i="8"/>
  <c r="E123" i="8" s="1"/>
  <c r="F124" i="8"/>
  <c r="G124" i="8" s="1"/>
  <c r="P124" i="8"/>
  <c r="Q124" i="8" s="1"/>
  <c r="J125" i="8"/>
  <c r="K125" i="8" s="1"/>
  <c r="N126" i="8"/>
  <c r="O126" i="8" s="1"/>
  <c r="H126" i="8"/>
  <c r="I126" i="8" s="1"/>
  <c r="L126" i="8"/>
  <c r="M126" i="8" s="1"/>
  <c r="D127" i="8"/>
  <c r="E127" i="8" s="1"/>
  <c r="F128" i="8"/>
  <c r="G128" i="8" s="1"/>
  <c r="E131" i="8"/>
  <c r="E134" i="8"/>
  <c r="I135" i="8"/>
  <c r="K148" i="8"/>
  <c r="L150" i="8"/>
  <c r="M150" i="8" s="1"/>
  <c r="P150" i="8"/>
  <c r="Q150" i="8" s="1"/>
  <c r="F150" i="8"/>
  <c r="G150" i="8" s="1"/>
  <c r="J150" i="8"/>
  <c r="K150" i="8" s="1"/>
  <c r="H150" i="8"/>
  <c r="I150" i="8" s="1"/>
  <c r="D150" i="8"/>
  <c r="E150" i="8" s="1"/>
  <c r="L154" i="8"/>
  <c r="M154" i="8" s="1"/>
  <c r="P154" i="8"/>
  <c r="Q154" i="8" s="1"/>
  <c r="F154" i="8"/>
  <c r="G154" i="8" s="1"/>
  <c r="J154" i="8"/>
  <c r="K154" i="8" s="1"/>
  <c r="N154" i="8"/>
  <c r="O154" i="8" s="1"/>
  <c r="H154" i="8"/>
  <c r="I154" i="8" s="1"/>
  <c r="I176" i="8"/>
  <c r="K183" i="8"/>
  <c r="P192" i="8"/>
  <c r="Q192" i="8" s="1"/>
  <c r="L192" i="8"/>
  <c r="M192" i="8" s="1"/>
  <c r="H192" i="8"/>
  <c r="I192" i="8" s="1"/>
  <c r="D192" i="8"/>
  <c r="E192" i="8" s="1"/>
  <c r="N192" i="8"/>
  <c r="O192" i="8" s="1"/>
  <c r="J192" i="8"/>
  <c r="K192" i="8" s="1"/>
  <c r="F192" i="8"/>
  <c r="G192" i="8" s="1"/>
  <c r="L157" i="8"/>
  <c r="M157" i="8" s="1"/>
  <c r="P157" i="8"/>
  <c r="Q157" i="8" s="1"/>
  <c r="F157" i="8"/>
  <c r="G157" i="8" s="1"/>
  <c r="H157" i="8"/>
  <c r="I157" i="8" s="1"/>
  <c r="D157" i="8"/>
  <c r="E157" i="8" s="1"/>
  <c r="E167" i="8"/>
  <c r="Q175" i="8"/>
  <c r="K155" i="8"/>
  <c r="L158" i="8"/>
  <c r="M158" i="8" s="1"/>
  <c r="P158" i="8"/>
  <c r="Q158" i="8" s="1"/>
  <c r="F158" i="8"/>
  <c r="G158" i="8" s="1"/>
  <c r="J158" i="8"/>
  <c r="K158" i="8" s="1"/>
  <c r="H158" i="8"/>
  <c r="I158" i="8" s="1"/>
  <c r="K187" i="8"/>
  <c r="P193" i="8"/>
  <c r="Q193" i="8" s="1"/>
  <c r="L193" i="8"/>
  <c r="M193" i="8" s="1"/>
  <c r="H193" i="8"/>
  <c r="I193" i="8" s="1"/>
  <c r="D193" i="8"/>
  <c r="E193" i="8" s="1"/>
  <c r="J193" i="8"/>
  <c r="K193" i="8" s="1"/>
  <c r="F193" i="8"/>
  <c r="G193" i="8" s="1"/>
  <c r="N193" i="8"/>
  <c r="O193" i="8" s="1"/>
  <c r="K198" i="8"/>
  <c r="M132" i="8"/>
  <c r="M134" i="8"/>
  <c r="O144" i="8"/>
  <c r="L146" i="8"/>
  <c r="M146" i="8" s="1"/>
  <c r="P146" i="8"/>
  <c r="Q146" i="8" s="1"/>
  <c r="F146" i="8"/>
  <c r="G146" i="8" s="1"/>
  <c r="J146" i="8"/>
  <c r="K146" i="8" s="1"/>
  <c r="L148" i="8"/>
  <c r="M148" i="8" s="1"/>
  <c r="P148" i="8"/>
  <c r="Q148" i="8" s="1"/>
  <c r="F148" i="8"/>
  <c r="G148" i="8" s="1"/>
  <c r="D148" i="8"/>
  <c r="E148" i="8" s="1"/>
  <c r="L153" i="8"/>
  <c r="M153" i="8" s="1"/>
  <c r="P153" i="8"/>
  <c r="Q153" i="8" s="1"/>
  <c r="F153" i="8"/>
  <c r="G153" i="8" s="1"/>
  <c r="H153" i="8"/>
  <c r="I153" i="8" s="1"/>
  <c r="J157" i="8"/>
  <c r="K157" i="8" s="1"/>
  <c r="D158" i="8"/>
  <c r="E158" i="8" s="1"/>
  <c r="K160" i="8"/>
  <c r="N169" i="8"/>
  <c r="O169" i="8" s="1"/>
  <c r="J169" i="8"/>
  <c r="K169" i="8" s="1"/>
  <c r="F169" i="8"/>
  <c r="G169" i="8" s="1"/>
  <c r="P169" i="8"/>
  <c r="Q169" i="8" s="1"/>
  <c r="H169" i="8"/>
  <c r="I169" i="8" s="1"/>
  <c r="D169" i="8"/>
  <c r="E169" i="8" s="1"/>
  <c r="Q171" i="8"/>
  <c r="I173" i="8"/>
  <c r="K186" i="8"/>
  <c r="P194" i="8"/>
  <c r="Q194" i="8" s="1"/>
  <c r="L194" i="8"/>
  <c r="M194" i="8" s="1"/>
  <c r="H194" i="8"/>
  <c r="I194" i="8" s="1"/>
  <c r="D194" i="8"/>
  <c r="E194" i="8" s="1"/>
  <c r="N194" i="8"/>
  <c r="O194" i="8" s="1"/>
  <c r="J194" i="8"/>
  <c r="K194" i="8" s="1"/>
  <c r="P197" i="8"/>
  <c r="Q197" i="8" s="1"/>
  <c r="L197" i="8"/>
  <c r="M197" i="8" s="1"/>
  <c r="H197" i="8"/>
  <c r="I197" i="8" s="1"/>
  <c r="D197" i="8"/>
  <c r="E197" i="8" s="1"/>
  <c r="J197" i="8"/>
  <c r="K197" i="8" s="1"/>
  <c r="F197" i="8"/>
  <c r="G197" i="8" s="1"/>
  <c r="N197" i="8"/>
  <c r="O197" i="8" s="1"/>
  <c r="P199" i="8"/>
  <c r="Q199" i="8" s="1"/>
  <c r="L199" i="8"/>
  <c r="M199" i="8" s="1"/>
  <c r="H199" i="8"/>
  <c r="I199" i="8" s="1"/>
  <c r="D199" i="8"/>
  <c r="E199" i="8" s="1"/>
  <c r="J199" i="8"/>
  <c r="K199" i="8" s="1"/>
  <c r="F199" i="8"/>
  <c r="G199" i="8" s="1"/>
  <c r="N199" i="8"/>
  <c r="O199" i="8" s="1"/>
  <c r="K129" i="8"/>
  <c r="O132" i="8"/>
  <c r="O134" i="8"/>
  <c r="G136" i="8"/>
  <c r="K141" i="8"/>
  <c r="K143" i="8"/>
  <c r="L144" i="8"/>
  <c r="M144" i="8" s="1"/>
  <c r="P144" i="8"/>
  <c r="Q144" i="8" s="1"/>
  <c r="F144" i="8"/>
  <c r="G144" i="8" s="1"/>
  <c r="D144" i="8"/>
  <c r="E144" i="8" s="1"/>
  <c r="D146" i="8"/>
  <c r="E146" i="8" s="1"/>
  <c r="H148" i="8"/>
  <c r="I148" i="8" s="1"/>
  <c r="L149" i="8"/>
  <c r="M149" i="8" s="1"/>
  <c r="P149" i="8"/>
  <c r="Q149" i="8" s="1"/>
  <c r="F149" i="8"/>
  <c r="G149" i="8" s="1"/>
  <c r="H149" i="8"/>
  <c r="I149" i="8" s="1"/>
  <c r="D153" i="8"/>
  <c r="E153" i="8" s="1"/>
  <c r="E155" i="8"/>
  <c r="N157" i="8"/>
  <c r="O157" i="8" s="1"/>
  <c r="N158" i="8"/>
  <c r="O158" i="8" s="1"/>
  <c r="L165" i="8"/>
  <c r="M165" i="8" s="1"/>
  <c r="P165" i="8"/>
  <c r="Q165" i="8" s="1"/>
  <c r="F165" i="8"/>
  <c r="G165" i="8" s="1"/>
  <c r="H165" i="8"/>
  <c r="I165" i="8" s="1"/>
  <c r="D165" i="8"/>
  <c r="E165" i="8" s="1"/>
  <c r="L166" i="8"/>
  <c r="M166" i="8" s="1"/>
  <c r="P166" i="8"/>
  <c r="Q166" i="8" s="1"/>
  <c r="F166" i="8"/>
  <c r="G166" i="8" s="1"/>
  <c r="J166" i="8"/>
  <c r="K166" i="8" s="1"/>
  <c r="H166" i="8"/>
  <c r="I166" i="8" s="1"/>
  <c r="I168" i="8"/>
  <c r="L169" i="8"/>
  <c r="M169" i="8" s="1"/>
  <c r="M174" i="8"/>
  <c r="E175" i="8"/>
  <c r="O189" i="8"/>
  <c r="O191" i="8"/>
  <c r="F194" i="8"/>
  <c r="G194" i="8" s="1"/>
  <c r="K159" i="8"/>
  <c r="L160" i="8"/>
  <c r="M160" i="8" s="1"/>
  <c r="P160" i="8"/>
  <c r="Q160" i="8" s="1"/>
  <c r="F160" i="8"/>
  <c r="G160" i="8" s="1"/>
  <c r="N160" i="8"/>
  <c r="O160" i="8" s="1"/>
  <c r="K163" i="8"/>
  <c r="L164" i="8"/>
  <c r="M164" i="8" s="1"/>
  <c r="P164" i="8"/>
  <c r="Q164" i="8" s="1"/>
  <c r="F164" i="8"/>
  <c r="G164" i="8" s="1"/>
  <c r="N164" i="8"/>
  <c r="O164" i="8" s="1"/>
  <c r="L168" i="8"/>
  <c r="M168" i="8" s="1"/>
  <c r="P168" i="8"/>
  <c r="Q168" i="8" s="1"/>
  <c r="F168" i="8"/>
  <c r="G168" i="8" s="1"/>
  <c r="N168" i="8"/>
  <c r="O168" i="8" s="1"/>
  <c r="Q178" i="8"/>
  <c r="G184" i="8"/>
  <c r="K190" i="8"/>
  <c r="G196" i="8"/>
  <c r="Q143" i="8"/>
  <c r="H143" i="8"/>
  <c r="I143" i="8" s="1"/>
  <c r="N143" i="8"/>
  <c r="O143" i="8" s="1"/>
  <c r="L147" i="8"/>
  <c r="M147" i="8" s="1"/>
  <c r="P147" i="8"/>
  <c r="Q147" i="8" s="1"/>
  <c r="F147" i="8"/>
  <c r="G147" i="8" s="1"/>
  <c r="N147" i="8"/>
  <c r="O147" i="8" s="1"/>
  <c r="L151" i="8"/>
  <c r="M151" i="8" s="1"/>
  <c r="P151" i="8"/>
  <c r="Q151" i="8" s="1"/>
  <c r="F151" i="8"/>
  <c r="G151" i="8" s="1"/>
  <c r="N151" i="8"/>
  <c r="O151" i="8" s="1"/>
  <c r="L155" i="8"/>
  <c r="M155" i="8" s="1"/>
  <c r="P155" i="8"/>
  <c r="Q155" i="8" s="1"/>
  <c r="F155" i="8"/>
  <c r="G155" i="8" s="1"/>
  <c r="N155" i="8"/>
  <c r="O155" i="8" s="1"/>
  <c r="L159" i="8"/>
  <c r="M159" i="8" s="1"/>
  <c r="P159" i="8"/>
  <c r="Q159" i="8" s="1"/>
  <c r="F159" i="8"/>
  <c r="G159" i="8" s="1"/>
  <c r="N159" i="8"/>
  <c r="O159" i="8" s="1"/>
  <c r="D160" i="8"/>
  <c r="E160" i="8" s="1"/>
  <c r="L163" i="8"/>
  <c r="M163" i="8" s="1"/>
  <c r="P163" i="8"/>
  <c r="Q163" i="8" s="1"/>
  <c r="F163" i="8"/>
  <c r="G163" i="8" s="1"/>
  <c r="N163" i="8"/>
  <c r="O163" i="8" s="1"/>
  <c r="D164" i="8"/>
  <c r="E164" i="8" s="1"/>
  <c r="L167" i="8"/>
  <c r="M167" i="8" s="1"/>
  <c r="P167" i="8"/>
  <c r="Q167" i="8" s="1"/>
  <c r="F167" i="8"/>
  <c r="G167" i="8" s="1"/>
  <c r="N167" i="8"/>
  <c r="O167" i="8" s="1"/>
  <c r="D168" i="8"/>
  <c r="E168" i="8" s="1"/>
  <c r="E172" i="8"/>
  <c r="N177" i="8"/>
  <c r="O177" i="8" s="1"/>
  <c r="J177" i="8"/>
  <c r="K177" i="8" s="1"/>
  <c r="F177" i="8"/>
  <c r="G177" i="8" s="1"/>
  <c r="P177" i="8"/>
  <c r="Q177" i="8" s="1"/>
  <c r="D177" i="8"/>
  <c r="E177" i="8" s="1"/>
  <c r="H177" i="8"/>
  <c r="I177" i="8" s="1"/>
  <c r="M179" i="8"/>
  <c r="G188" i="8"/>
  <c r="P191" i="8"/>
  <c r="Q191" i="8" s="1"/>
  <c r="L191" i="8"/>
  <c r="M191" i="8" s="1"/>
  <c r="H191" i="8"/>
  <c r="I191" i="8" s="1"/>
  <c r="D191" i="8"/>
  <c r="E191" i="8" s="1"/>
  <c r="J191" i="8"/>
  <c r="K191" i="8" s="1"/>
  <c r="F191" i="8"/>
  <c r="G191" i="8" s="1"/>
  <c r="P195" i="8"/>
  <c r="Q195" i="8" s="1"/>
  <c r="L195" i="8"/>
  <c r="M195" i="8" s="1"/>
  <c r="H195" i="8"/>
  <c r="I195" i="8" s="1"/>
  <c r="D195" i="8"/>
  <c r="E195" i="8" s="1"/>
  <c r="J195" i="8"/>
  <c r="K195" i="8" s="1"/>
  <c r="F195" i="8"/>
  <c r="G195" i="8" s="1"/>
  <c r="N195" i="8"/>
  <c r="O195" i="8" s="1"/>
  <c r="P200" i="8"/>
  <c r="Q200" i="8" s="1"/>
  <c r="L200" i="8"/>
  <c r="M200" i="8" s="1"/>
  <c r="H200" i="8"/>
  <c r="I200" i="8" s="1"/>
  <c r="D200" i="8"/>
  <c r="E200" i="8" s="1"/>
  <c r="N200" i="8"/>
  <c r="O200" i="8" s="1"/>
  <c r="J200" i="8"/>
  <c r="K200" i="8" s="1"/>
  <c r="F200" i="8"/>
  <c r="G200" i="8" s="1"/>
  <c r="N173" i="8"/>
  <c r="O173" i="8" s="1"/>
  <c r="J173" i="8"/>
  <c r="K173" i="8" s="1"/>
  <c r="F173" i="8"/>
  <c r="G173" i="8" s="1"/>
  <c r="P173" i="8"/>
  <c r="Q173" i="8" s="1"/>
  <c r="D173" i="8"/>
  <c r="E173" i="8" s="1"/>
  <c r="M175" i="8"/>
  <c r="N176" i="8"/>
  <c r="O176" i="8" s="1"/>
  <c r="J176" i="8"/>
  <c r="K176" i="8" s="1"/>
  <c r="F176" i="8"/>
  <c r="G176" i="8" s="1"/>
  <c r="L176" i="8"/>
  <c r="M176" i="8" s="1"/>
  <c r="P176" i="8"/>
  <c r="Q176" i="8" s="1"/>
  <c r="P182" i="8"/>
  <c r="Q182" i="8" s="1"/>
  <c r="L182" i="8"/>
  <c r="M182" i="8" s="1"/>
  <c r="H182" i="8"/>
  <c r="I182" i="8" s="1"/>
  <c r="D182" i="8"/>
  <c r="E182" i="8" s="1"/>
  <c r="N182" i="8"/>
  <c r="O182" i="8" s="1"/>
  <c r="F182" i="8"/>
  <c r="G182" i="8" s="1"/>
  <c r="P186" i="8"/>
  <c r="Q186" i="8" s="1"/>
  <c r="L186" i="8"/>
  <c r="M186" i="8" s="1"/>
  <c r="H186" i="8"/>
  <c r="I186" i="8" s="1"/>
  <c r="D186" i="8"/>
  <c r="E186" i="8" s="1"/>
  <c r="N186" i="8"/>
  <c r="O186" i="8" s="1"/>
  <c r="F186" i="8"/>
  <c r="G186" i="8" s="1"/>
  <c r="P190" i="8"/>
  <c r="Q190" i="8" s="1"/>
  <c r="L190" i="8"/>
  <c r="M190" i="8" s="1"/>
  <c r="H190" i="8"/>
  <c r="I190" i="8" s="1"/>
  <c r="D190" i="8"/>
  <c r="E190" i="8" s="1"/>
  <c r="N190" i="8"/>
  <c r="O190" i="8" s="1"/>
  <c r="P198" i="8"/>
  <c r="Q198" i="8" s="1"/>
  <c r="L198" i="8"/>
  <c r="M198" i="8" s="1"/>
  <c r="H198" i="8"/>
  <c r="I198" i="8" s="1"/>
  <c r="D198" i="8"/>
  <c r="E198" i="8" s="1"/>
  <c r="N198" i="8"/>
  <c r="O198" i="8" s="1"/>
  <c r="N172" i="8"/>
  <c r="O172" i="8" s="1"/>
  <c r="J172" i="8"/>
  <c r="K172" i="8" s="1"/>
  <c r="F172" i="8"/>
  <c r="G172" i="8" s="1"/>
  <c r="L172" i="8"/>
  <c r="M172" i="8" s="1"/>
  <c r="P172" i="8"/>
  <c r="Q172" i="8" s="1"/>
  <c r="D176" i="8"/>
  <c r="E176" i="8" s="1"/>
  <c r="G181" i="8"/>
  <c r="P183" i="8"/>
  <c r="Q183" i="8" s="1"/>
  <c r="L183" i="8"/>
  <c r="M183" i="8" s="1"/>
  <c r="H183" i="8"/>
  <c r="I183" i="8" s="1"/>
  <c r="D183" i="8"/>
  <c r="E183" i="8" s="1"/>
  <c r="N183" i="8"/>
  <c r="O183" i="8" s="1"/>
  <c r="F183" i="8"/>
  <c r="G183" i="8" s="1"/>
  <c r="G185" i="8"/>
  <c r="P187" i="8"/>
  <c r="Q187" i="8" s="1"/>
  <c r="L187" i="8"/>
  <c r="M187" i="8" s="1"/>
  <c r="H187" i="8"/>
  <c r="I187" i="8" s="1"/>
  <c r="D187" i="8"/>
  <c r="E187" i="8" s="1"/>
  <c r="N187" i="8"/>
  <c r="O187" i="8" s="1"/>
  <c r="F187" i="8"/>
  <c r="G187" i="8" s="1"/>
  <c r="G189" i="8"/>
  <c r="F190" i="8"/>
  <c r="G190" i="8" s="1"/>
  <c r="P196" i="8"/>
  <c r="Q196" i="8" s="1"/>
  <c r="L196" i="8"/>
  <c r="M196" i="8" s="1"/>
  <c r="H196" i="8"/>
  <c r="I196" i="8" s="1"/>
  <c r="D196" i="8"/>
  <c r="E196" i="8" s="1"/>
  <c r="N196" i="8"/>
  <c r="O196" i="8" s="1"/>
  <c r="F198" i="8"/>
  <c r="G198" i="8" s="1"/>
  <c r="N170" i="8"/>
  <c r="O170" i="8" s="1"/>
  <c r="J170" i="8"/>
  <c r="K170" i="8" s="1"/>
  <c r="F170" i="8"/>
  <c r="G170" i="8" s="1"/>
  <c r="H170" i="8"/>
  <c r="I170" i="8" s="1"/>
  <c r="N174" i="8"/>
  <c r="O174" i="8" s="1"/>
  <c r="J174" i="8"/>
  <c r="K174" i="8" s="1"/>
  <c r="F174" i="8"/>
  <c r="G174" i="8" s="1"/>
  <c r="H174" i="8"/>
  <c r="I174" i="8" s="1"/>
  <c r="N178" i="8"/>
  <c r="O178" i="8" s="1"/>
  <c r="J178" i="8"/>
  <c r="K178" i="8" s="1"/>
  <c r="F178" i="8"/>
  <c r="G178" i="8" s="1"/>
  <c r="H178" i="8"/>
  <c r="I178" i="8" s="1"/>
  <c r="P180" i="8"/>
  <c r="Q180" i="8" s="1"/>
  <c r="L180" i="8"/>
  <c r="M180" i="8" s="1"/>
  <c r="H180" i="8"/>
  <c r="I180" i="8" s="1"/>
  <c r="D180" i="8"/>
  <c r="E180" i="8" s="1"/>
  <c r="N180" i="8"/>
  <c r="O180" i="8" s="1"/>
  <c r="J180" i="8"/>
  <c r="K180" i="8" s="1"/>
  <c r="P184" i="8"/>
  <c r="Q184" i="8" s="1"/>
  <c r="L184" i="8"/>
  <c r="M184" i="8" s="1"/>
  <c r="H184" i="8"/>
  <c r="I184" i="8" s="1"/>
  <c r="D184" i="8"/>
  <c r="E184" i="8" s="1"/>
  <c r="N184" i="8"/>
  <c r="O184" i="8" s="1"/>
  <c r="J184" i="8"/>
  <c r="K184" i="8" s="1"/>
  <c r="P188" i="8"/>
  <c r="Q188" i="8" s="1"/>
  <c r="L188" i="8"/>
  <c r="M188" i="8" s="1"/>
  <c r="H188" i="8"/>
  <c r="I188" i="8" s="1"/>
  <c r="D188" i="8"/>
  <c r="E188" i="8" s="1"/>
  <c r="N188" i="8"/>
  <c r="O188" i="8" s="1"/>
  <c r="J188" i="8"/>
  <c r="K188" i="8" s="1"/>
  <c r="D170" i="8"/>
  <c r="E170" i="8" s="1"/>
  <c r="N171" i="8"/>
  <c r="O171" i="8" s="1"/>
  <c r="J171" i="8"/>
  <c r="K171" i="8" s="1"/>
  <c r="F171" i="8"/>
  <c r="G171" i="8" s="1"/>
  <c r="H171" i="8"/>
  <c r="I171" i="8" s="1"/>
  <c r="D174" i="8"/>
  <c r="E174" i="8" s="1"/>
  <c r="N175" i="8"/>
  <c r="O175" i="8" s="1"/>
  <c r="J175" i="8"/>
  <c r="K175" i="8" s="1"/>
  <c r="F175" i="8"/>
  <c r="G175" i="8" s="1"/>
  <c r="H175" i="8"/>
  <c r="I175" i="8" s="1"/>
  <c r="D178" i="8"/>
  <c r="E178" i="8" s="1"/>
  <c r="P179" i="8"/>
  <c r="Q179" i="8" s="1"/>
  <c r="N179" i="8"/>
  <c r="O179" i="8" s="1"/>
  <c r="J179" i="8"/>
  <c r="K179" i="8" s="1"/>
  <c r="F179" i="8"/>
  <c r="G179" i="8" s="1"/>
  <c r="H179" i="8"/>
  <c r="I179" i="8" s="1"/>
  <c r="P181" i="8"/>
  <c r="Q181" i="8" s="1"/>
  <c r="L181" i="8"/>
  <c r="M181" i="8" s="1"/>
  <c r="H181" i="8"/>
  <c r="I181" i="8" s="1"/>
  <c r="D181" i="8"/>
  <c r="E181" i="8" s="1"/>
  <c r="N181" i="8"/>
  <c r="O181" i="8" s="1"/>
  <c r="J181" i="8"/>
  <c r="K181" i="8" s="1"/>
  <c r="P185" i="8"/>
  <c r="Q185" i="8" s="1"/>
  <c r="L185" i="8"/>
  <c r="M185" i="8" s="1"/>
  <c r="H185" i="8"/>
  <c r="I185" i="8" s="1"/>
  <c r="D185" i="8"/>
  <c r="E185" i="8" s="1"/>
  <c r="N185" i="8"/>
  <c r="O185" i="8" s="1"/>
  <c r="J185" i="8"/>
  <c r="K185" i="8" s="1"/>
  <c r="P189" i="8"/>
  <c r="Q189" i="8" s="1"/>
  <c r="L189" i="8"/>
  <c r="M189" i="8" s="1"/>
  <c r="H189" i="8"/>
  <c r="I189" i="8" s="1"/>
  <c r="D189" i="8"/>
  <c r="E189" i="8" s="1"/>
  <c r="J189" i="8"/>
  <c r="K189" i="8" s="1"/>
  <c r="E9" i="4"/>
  <c r="E10" i="4" s="1"/>
  <c r="E11" i="4" s="1"/>
  <c r="B49" i="15" l="1"/>
  <c r="A50" i="15"/>
  <c r="G48" i="15"/>
  <c r="H48" i="15"/>
  <c r="F48" i="15"/>
  <c r="D10" i="10"/>
  <c r="D11" i="10" s="1"/>
  <c r="D23" i="10"/>
  <c r="D24" i="10" s="1"/>
  <c r="H43" i="11"/>
  <c r="G43" i="11"/>
  <c r="F43" i="11"/>
  <c r="B44" i="11"/>
  <c r="A45" i="11"/>
  <c r="A72" i="9"/>
  <c r="B10" i="10"/>
  <c r="B11" i="10" s="1"/>
  <c r="B23" i="10"/>
  <c r="B24" i="10" s="1"/>
  <c r="C10" i="10"/>
  <c r="C11" i="10" s="1"/>
  <c r="C23" i="10"/>
  <c r="C24" i="10" s="1"/>
  <c r="E20" i="7"/>
  <c r="E15" i="7" s="1"/>
  <c r="E16" i="7" s="1"/>
  <c r="D20" i="7"/>
  <c r="C20" i="7"/>
  <c r="C15" i="7" s="1"/>
  <c r="C16" i="7" s="1"/>
  <c r="C19" i="7"/>
  <c r="C17" i="7"/>
  <c r="C12" i="7"/>
  <c r="G11" i="7"/>
  <c r="B50" i="15" l="1"/>
  <c r="A51" i="15"/>
  <c r="H49" i="15"/>
  <c r="G49" i="15"/>
  <c r="F49" i="15"/>
  <c r="H44" i="11"/>
  <c r="G44" i="11"/>
  <c r="F44" i="11"/>
  <c r="B45" i="11"/>
  <c r="A46" i="11"/>
  <c r="A73" i="9"/>
  <c r="B132" i="7"/>
  <c r="C132" i="7" s="1"/>
  <c r="F130" i="7"/>
  <c r="G130" i="7" s="1"/>
  <c r="D129" i="7"/>
  <c r="F131" i="7"/>
  <c r="G131" i="7" s="1"/>
  <c r="D130" i="7"/>
  <c r="B129" i="7"/>
  <c r="C129" i="7" s="1"/>
  <c r="F127" i="7"/>
  <c r="G127" i="7" s="1"/>
  <c r="D126" i="7"/>
  <c r="E126" i="7" s="1"/>
  <c r="B125" i="7"/>
  <c r="C125" i="7" s="1"/>
  <c r="F123" i="7"/>
  <c r="G123" i="7" s="1"/>
  <c r="D122" i="7"/>
  <c r="B121" i="7"/>
  <c r="C121" i="7" s="1"/>
  <c r="F119" i="7"/>
  <c r="G119" i="7" s="1"/>
  <c r="D131" i="7"/>
  <c r="F128" i="7"/>
  <c r="G128" i="7" s="1"/>
  <c r="B127" i="7"/>
  <c r="C127" i="7" s="1"/>
  <c r="D125" i="7"/>
  <c r="D123" i="7"/>
  <c r="F121" i="7"/>
  <c r="G121" i="7" s="1"/>
  <c r="B120" i="7"/>
  <c r="C120" i="7" s="1"/>
  <c r="D118" i="7"/>
  <c r="B117" i="7"/>
  <c r="C117" i="7" s="1"/>
  <c r="F115" i="7"/>
  <c r="G115" i="7" s="1"/>
  <c r="D114" i="7"/>
  <c r="E114" i="7" s="1"/>
  <c r="B113" i="7"/>
  <c r="C113" i="7" s="1"/>
  <c r="F111" i="7"/>
  <c r="G111" i="7" s="1"/>
  <c r="D110" i="7"/>
  <c r="B109" i="7"/>
  <c r="C109" i="7" s="1"/>
  <c r="F107" i="7"/>
  <c r="G107" i="7" s="1"/>
  <c r="D106" i="7"/>
  <c r="B105" i="7"/>
  <c r="C105" i="7" s="1"/>
  <c r="F103" i="7"/>
  <c r="G103" i="7" s="1"/>
  <c r="D102" i="7"/>
  <c r="B101" i="7"/>
  <c r="C101" i="7" s="1"/>
  <c r="F99" i="7"/>
  <c r="G99" i="7" s="1"/>
  <c r="D98" i="7"/>
  <c r="B97" i="7"/>
  <c r="C97" i="7" s="1"/>
  <c r="F95" i="7"/>
  <c r="G95" i="7" s="1"/>
  <c r="D94" i="7"/>
  <c r="B93" i="7"/>
  <c r="C93" i="7" s="1"/>
  <c r="F91" i="7"/>
  <c r="G91" i="7" s="1"/>
  <c r="D90" i="7"/>
  <c r="B89" i="7"/>
  <c r="C89" i="7" s="1"/>
  <c r="F87" i="7"/>
  <c r="G87" i="7" s="1"/>
  <c r="D86" i="7"/>
  <c r="B85" i="7"/>
  <c r="C85" i="7" s="1"/>
  <c r="F83" i="7"/>
  <c r="G83" i="7" s="1"/>
  <c r="D82" i="7"/>
  <c r="E82" i="7" s="1"/>
  <c r="B81" i="7"/>
  <c r="C81" i="7" s="1"/>
  <c r="F79" i="7"/>
  <c r="G79" i="7" s="1"/>
  <c r="D78" i="7"/>
  <c r="B77" i="7"/>
  <c r="C77" i="7" s="1"/>
  <c r="F75" i="7"/>
  <c r="G75" i="7" s="1"/>
  <c r="D74" i="7"/>
  <c r="B73" i="7"/>
  <c r="C73" i="7" s="1"/>
  <c r="F71" i="7"/>
  <c r="G71" i="7" s="1"/>
  <c r="D70" i="7"/>
  <c r="B69" i="7"/>
  <c r="C69" i="7" s="1"/>
  <c r="F67" i="7"/>
  <c r="G67" i="7" s="1"/>
  <c r="D66" i="7"/>
  <c r="B131" i="7"/>
  <c r="C131" i="7" s="1"/>
  <c r="D128" i="7"/>
  <c r="F126" i="7"/>
  <c r="G126" i="7" s="1"/>
  <c r="F124" i="7"/>
  <c r="G124" i="7" s="1"/>
  <c r="B123" i="7"/>
  <c r="C123" i="7" s="1"/>
  <c r="D121" i="7"/>
  <c r="D119" i="7"/>
  <c r="B118" i="7"/>
  <c r="C118" i="7" s="1"/>
  <c r="F116" i="7"/>
  <c r="G116" i="7" s="1"/>
  <c r="D115" i="7"/>
  <c r="B114" i="7"/>
  <c r="C114" i="7" s="1"/>
  <c r="F112" i="7"/>
  <c r="G112" i="7" s="1"/>
  <c r="D111" i="7"/>
  <c r="B110" i="7"/>
  <c r="C110" i="7" s="1"/>
  <c r="F108" i="7"/>
  <c r="G108" i="7" s="1"/>
  <c r="D107" i="7"/>
  <c r="B106" i="7"/>
  <c r="C106" i="7" s="1"/>
  <c r="F104" i="7"/>
  <c r="G104" i="7" s="1"/>
  <c r="D103" i="7"/>
  <c r="B102" i="7"/>
  <c r="C102" i="7" s="1"/>
  <c r="F100" i="7"/>
  <c r="G100" i="7" s="1"/>
  <c r="D99" i="7"/>
  <c r="B98" i="7"/>
  <c r="C98" i="7" s="1"/>
  <c r="F96" i="7"/>
  <c r="G96" i="7" s="1"/>
  <c r="F132" i="7"/>
  <c r="G132" i="7" s="1"/>
  <c r="B130" i="7"/>
  <c r="C130" i="7" s="1"/>
  <c r="B128" i="7"/>
  <c r="C128" i="7" s="1"/>
  <c r="B126" i="7"/>
  <c r="C126" i="7" s="1"/>
  <c r="D124" i="7"/>
  <c r="F122" i="7"/>
  <c r="G122" i="7" s="1"/>
  <c r="F120" i="7"/>
  <c r="G120" i="7" s="1"/>
  <c r="B119" i="7"/>
  <c r="C119" i="7" s="1"/>
  <c r="F117" i="7"/>
  <c r="G117" i="7" s="1"/>
  <c r="D116" i="7"/>
  <c r="B115" i="7"/>
  <c r="C115" i="7" s="1"/>
  <c r="F113" i="7"/>
  <c r="G113" i="7" s="1"/>
  <c r="D112" i="7"/>
  <c r="B111" i="7"/>
  <c r="C111" i="7" s="1"/>
  <c r="F109" i="7"/>
  <c r="G109" i="7" s="1"/>
  <c r="D108" i="7"/>
  <c r="B107" i="7"/>
  <c r="C107" i="7" s="1"/>
  <c r="F105" i="7"/>
  <c r="G105" i="7" s="1"/>
  <c r="D104" i="7"/>
  <c r="B103" i="7"/>
  <c r="C103" i="7" s="1"/>
  <c r="F101" i="7"/>
  <c r="G101" i="7" s="1"/>
  <c r="D100" i="7"/>
  <c r="B99" i="7"/>
  <c r="C99" i="7" s="1"/>
  <c r="F97" i="7"/>
  <c r="G97" i="7" s="1"/>
  <c r="D96" i="7"/>
  <c r="B95" i="7"/>
  <c r="C95" i="7" s="1"/>
  <c r="F93" i="7"/>
  <c r="G93" i="7" s="1"/>
  <c r="D92" i="7"/>
  <c r="E92" i="7" s="1"/>
  <c r="B91" i="7"/>
  <c r="C91" i="7" s="1"/>
  <c r="F89" i="7"/>
  <c r="G89" i="7" s="1"/>
  <c r="D88" i="7"/>
  <c r="B87" i="7"/>
  <c r="C87" i="7" s="1"/>
  <c r="F85" i="7"/>
  <c r="G85" i="7" s="1"/>
  <c r="D84" i="7"/>
  <c r="B83" i="7"/>
  <c r="C83" i="7" s="1"/>
  <c r="F81" i="7"/>
  <c r="G81" i="7" s="1"/>
  <c r="D80" i="7"/>
  <c r="B79" i="7"/>
  <c r="C79" i="7" s="1"/>
  <c r="F77" i="7"/>
  <c r="G77" i="7" s="1"/>
  <c r="D76" i="7"/>
  <c r="B75" i="7"/>
  <c r="C75" i="7" s="1"/>
  <c r="F73" i="7"/>
  <c r="G73" i="7" s="1"/>
  <c r="D72" i="7"/>
  <c r="B71" i="7"/>
  <c r="C71" i="7" s="1"/>
  <c r="F69" i="7"/>
  <c r="G69" i="7" s="1"/>
  <c r="D68" i="7"/>
  <c r="B67" i="7"/>
  <c r="C67" i="7" s="1"/>
  <c r="F65" i="7"/>
  <c r="G65" i="7" s="1"/>
  <c r="F55" i="7"/>
  <c r="G55" i="7" s="1"/>
  <c r="F39" i="7"/>
  <c r="G39" i="7" s="1"/>
  <c r="F35" i="7"/>
  <c r="G35" i="7" s="1"/>
  <c r="B33" i="7"/>
  <c r="C33" i="7" s="1"/>
  <c r="F90" i="7"/>
  <c r="G90" i="7" s="1"/>
  <c r="F82" i="7"/>
  <c r="G82" i="7" s="1"/>
  <c r="F74" i="7"/>
  <c r="G74" i="7" s="1"/>
  <c r="F66" i="7"/>
  <c r="G66" i="7" s="1"/>
  <c r="D63" i="7"/>
  <c r="F60" i="7"/>
  <c r="G60" i="7" s="1"/>
  <c r="B58" i="7"/>
  <c r="C58" i="7" s="1"/>
  <c r="D55" i="7"/>
  <c r="E55" i="7" s="1"/>
  <c r="D51" i="7"/>
  <c r="F48" i="7"/>
  <c r="G48" i="7" s="1"/>
  <c r="F44" i="7"/>
  <c r="G44" i="7" s="1"/>
  <c r="B42" i="7"/>
  <c r="C42" i="7" s="1"/>
  <c r="D39" i="7"/>
  <c r="D35" i="7"/>
  <c r="D132" i="7"/>
  <c r="B124" i="7"/>
  <c r="C124" i="7" s="1"/>
  <c r="D117" i="7"/>
  <c r="B112" i="7"/>
  <c r="C112" i="7" s="1"/>
  <c r="F106" i="7"/>
  <c r="G106" i="7" s="1"/>
  <c r="D101" i="7"/>
  <c r="B96" i="7"/>
  <c r="C96" i="7" s="1"/>
  <c r="B88" i="7"/>
  <c r="C88" i="7" s="1"/>
  <c r="D85" i="7"/>
  <c r="B80" i="7"/>
  <c r="C80" i="7" s="1"/>
  <c r="D77" i="7"/>
  <c r="D69" i="7"/>
  <c r="F64" i="7"/>
  <c r="G64" i="7" s="1"/>
  <c r="D59" i="7"/>
  <c r="F56" i="7"/>
  <c r="G56" i="7" s="1"/>
  <c r="F52" i="7"/>
  <c r="G52" i="7" s="1"/>
  <c r="B50" i="7"/>
  <c r="C50" i="7" s="1"/>
  <c r="D47" i="7"/>
  <c r="E47" i="7" s="1"/>
  <c r="D43" i="7"/>
  <c r="F40" i="7"/>
  <c r="G40" i="7" s="1"/>
  <c r="B38" i="7"/>
  <c r="C38" i="7" s="1"/>
  <c r="B34" i="7"/>
  <c r="C34" i="7" s="1"/>
  <c r="F129" i="7"/>
  <c r="G129" i="7" s="1"/>
  <c r="B122" i="7"/>
  <c r="C122" i="7" s="1"/>
  <c r="B116" i="7"/>
  <c r="C116" i="7" s="1"/>
  <c r="F110" i="7"/>
  <c r="G110" i="7" s="1"/>
  <c r="D105" i="7"/>
  <c r="B100" i="7"/>
  <c r="C100" i="7" s="1"/>
  <c r="D95" i="7"/>
  <c r="F92" i="7"/>
  <c r="G92" i="7" s="1"/>
  <c r="B90" i="7"/>
  <c r="C90" i="7" s="1"/>
  <c r="D87" i="7"/>
  <c r="F84" i="7"/>
  <c r="G84" i="7" s="1"/>
  <c r="B82" i="7"/>
  <c r="C82" i="7" s="1"/>
  <c r="D79" i="7"/>
  <c r="F76" i="7"/>
  <c r="G76" i="7" s="1"/>
  <c r="B74" i="7"/>
  <c r="C74" i="7" s="1"/>
  <c r="D71" i="7"/>
  <c r="F68" i="7"/>
  <c r="G68" i="7" s="1"/>
  <c r="B66" i="7"/>
  <c r="C66" i="7" s="1"/>
  <c r="D64" i="7"/>
  <c r="B63" i="7"/>
  <c r="C63" i="7" s="1"/>
  <c r="F61" i="7"/>
  <c r="G61" i="7" s="1"/>
  <c r="D60" i="7"/>
  <c r="B59" i="7"/>
  <c r="C59" i="7" s="1"/>
  <c r="F57" i="7"/>
  <c r="G57" i="7" s="1"/>
  <c r="D56" i="7"/>
  <c r="B55" i="7"/>
  <c r="C55" i="7" s="1"/>
  <c r="F53" i="7"/>
  <c r="G53" i="7" s="1"/>
  <c r="D52" i="7"/>
  <c r="E52" i="7" s="1"/>
  <c r="B51" i="7"/>
  <c r="C51" i="7" s="1"/>
  <c r="F49" i="7"/>
  <c r="G49" i="7" s="1"/>
  <c r="D48" i="7"/>
  <c r="B47" i="7"/>
  <c r="C47" i="7" s="1"/>
  <c r="F45" i="7"/>
  <c r="G45" i="7" s="1"/>
  <c r="D44" i="7"/>
  <c r="B43" i="7"/>
  <c r="C43" i="7" s="1"/>
  <c r="F41" i="7"/>
  <c r="G41" i="7" s="1"/>
  <c r="D40" i="7"/>
  <c r="B39" i="7"/>
  <c r="C39" i="7" s="1"/>
  <c r="F37" i="7"/>
  <c r="G37" i="7" s="1"/>
  <c r="D36" i="7"/>
  <c r="B35" i="7"/>
  <c r="C35" i="7" s="1"/>
  <c r="F33" i="7"/>
  <c r="G33" i="7" s="1"/>
  <c r="D127" i="7"/>
  <c r="D120" i="7"/>
  <c r="E120" i="7" s="1"/>
  <c r="F114" i="7"/>
  <c r="G114" i="7" s="1"/>
  <c r="D109" i="7"/>
  <c r="B104" i="7"/>
  <c r="C104" i="7" s="1"/>
  <c r="F98" i="7"/>
  <c r="G98" i="7" s="1"/>
  <c r="F94" i="7"/>
  <c r="G94" i="7" s="1"/>
  <c r="B92" i="7"/>
  <c r="C92" i="7" s="1"/>
  <c r="D89" i="7"/>
  <c r="F86" i="7"/>
  <c r="G86" i="7" s="1"/>
  <c r="B84" i="7"/>
  <c r="C84" i="7" s="1"/>
  <c r="D81" i="7"/>
  <c r="F78" i="7"/>
  <c r="G78" i="7" s="1"/>
  <c r="B76" i="7"/>
  <c r="C76" i="7" s="1"/>
  <c r="D73" i="7"/>
  <c r="F70" i="7"/>
  <c r="G70" i="7" s="1"/>
  <c r="B68" i="7"/>
  <c r="C68" i="7" s="1"/>
  <c r="D65" i="7"/>
  <c r="E65" i="7" s="1"/>
  <c r="B64" i="7"/>
  <c r="C64" i="7" s="1"/>
  <c r="F62" i="7"/>
  <c r="G62" i="7" s="1"/>
  <c r="D61" i="7"/>
  <c r="B60" i="7"/>
  <c r="C60" i="7" s="1"/>
  <c r="F58" i="7"/>
  <c r="G58" i="7" s="1"/>
  <c r="D57" i="7"/>
  <c r="B56" i="7"/>
  <c r="C56" i="7" s="1"/>
  <c r="F54" i="7"/>
  <c r="G54" i="7" s="1"/>
  <c r="D53" i="7"/>
  <c r="B52" i="7"/>
  <c r="C52" i="7" s="1"/>
  <c r="F50" i="7"/>
  <c r="G50" i="7" s="1"/>
  <c r="D49" i="7"/>
  <c r="B48" i="7"/>
  <c r="C48" i="7" s="1"/>
  <c r="F46" i="7"/>
  <c r="G46" i="7" s="1"/>
  <c r="D45" i="7"/>
  <c r="B44" i="7"/>
  <c r="C44" i="7" s="1"/>
  <c r="F42" i="7"/>
  <c r="G42" i="7" s="1"/>
  <c r="D41" i="7"/>
  <c r="B40" i="7"/>
  <c r="C40" i="7" s="1"/>
  <c r="F38" i="7"/>
  <c r="G38" i="7" s="1"/>
  <c r="D37" i="7"/>
  <c r="B36" i="7"/>
  <c r="C36" i="7" s="1"/>
  <c r="F34" i="7"/>
  <c r="G34" i="7" s="1"/>
  <c r="D33" i="7"/>
  <c r="E33" i="7" s="1"/>
  <c r="F125" i="7"/>
  <c r="G125" i="7" s="1"/>
  <c r="F118" i="7"/>
  <c r="G118" i="7" s="1"/>
  <c r="D113" i="7"/>
  <c r="B108" i="7"/>
  <c r="C108" i="7" s="1"/>
  <c r="F102" i="7"/>
  <c r="G102" i="7" s="1"/>
  <c r="D97" i="7"/>
  <c r="B94" i="7"/>
  <c r="C94" i="7" s="1"/>
  <c r="D91" i="7"/>
  <c r="E91" i="7" s="1"/>
  <c r="F88" i="7"/>
  <c r="G88" i="7" s="1"/>
  <c r="B86" i="7"/>
  <c r="C86" i="7" s="1"/>
  <c r="D83" i="7"/>
  <c r="F80" i="7"/>
  <c r="G80" i="7" s="1"/>
  <c r="B78" i="7"/>
  <c r="C78" i="7" s="1"/>
  <c r="D75" i="7"/>
  <c r="F72" i="7"/>
  <c r="G72" i="7" s="1"/>
  <c r="B70" i="7"/>
  <c r="C70" i="7" s="1"/>
  <c r="D67" i="7"/>
  <c r="B65" i="7"/>
  <c r="C65" i="7" s="1"/>
  <c r="F63" i="7"/>
  <c r="G63" i="7" s="1"/>
  <c r="D62" i="7"/>
  <c r="B61" i="7"/>
  <c r="C61" i="7" s="1"/>
  <c r="F59" i="7"/>
  <c r="G59" i="7" s="1"/>
  <c r="D58" i="7"/>
  <c r="B57" i="7"/>
  <c r="C57" i="7" s="1"/>
  <c r="D54" i="7"/>
  <c r="B53" i="7"/>
  <c r="C53" i="7" s="1"/>
  <c r="F51" i="7"/>
  <c r="G51" i="7" s="1"/>
  <c r="D50" i="7"/>
  <c r="B49" i="7"/>
  <c r="C49" i="7" s="1"/>
  <c r="F47" i="7"/>
  <c r="G47" i="7" s="1"/>
  <c r="D46" i="7"/>
  <c r="B45" i="7"/>
  <c r="C45" i="7" s="1"/>
  <c r="F43" i="7"/>
  <c r="G43" i="7" s="1"/>
  <c r="D42" i="7"/>
  <c r="B41" i="7"/>
  <c r="C41" i="7" s="1"/>
  <c r="D38" i="7"/>
  <c r="E38" i="7" s="1"/>
  <c r="B37" i="7"/>
  <c r="C37" i="7" s="1"/>
  <c r="D34" i="7"/>
  <c r="D93" i="7"/>
  <c r="B72" i="7"/>
  <c r="C72" i="7" s="1"/>
  <c r="B62" i="7"/>
  <c r="C62" i="7" s="1"/>
  <c r="B54" i="7"/>
  <c r="C54" i="7" s="1"/>
  <c r="B46" i="7"/>
  <c r="C46" i="7" s="1"/>
  <c r="F36" i="7"/>
  <c r="G36" i="7" s="1"/>
  <c r="C23" i="7"/>
  <c r="C24" i="7" s="1"/>
  <c r="E23" i="7"/>
  <c r="E24" i="7" s="1"/>
  <c r="D23" i="7"/>
  <c r="D27" i="7"/>
  <c r="C27" i="7"/>
  <c r="D15" i="7"/>
  <c r="D16" i="7" s="1"/>
  <c r="E27" i="7"/>
  <c r="E29" i="7" s="1"/>
  <c r="B51" i="15" l="1"/>
  <c r="A52" i="15"/>
  <c r="G50" i="15"/>
  <c r="H50" i="15"/>
  <c r="F50" i="15"/>
  <c r="B46" i="11"/>
  <c r="A47" i="11"/>
  <c r="H45" i="11"/>
  <c r="G45" i="11"/>
  <c r="F45" i="11"/>
  <c r="D24" i="7"/>
  <c r="E50" i="7"/>
  <c r="E62" i="7"/>
  <c r="E49" i="7"/>
  <c r="E36" i="7"/>
  <c r="E71" i="7"/>
  <c r="E59" i="7"/>
  <c r="E101" i="7"/>
  <c r="E76" i="7"/>
  <c r="E108" i="7"/>
  <c r="E107" i="7"/>
  <c r="E66" i="7"/>
  <c r="E98" i="7"/>
  <c r="E93" i="7"/>
  <c r="E46" i="7"/>
  <c r="E58" i="7"/>
  <c r="E83" i="7"/>
  <c r="E113" i="7"/>
  <c r="E45" i="7"/>
  <c r="E61" i="7"/>
  <c r="E89" i="7"/>
  <c r="E127" i="7"/>
  <c r="E48" i="7"/>
  <c r="E64" i="7"/>
  <c r="E95" i="7"/>
  <c r="E85" i="7"/>
  <c r="E132" i="7"/>
  <c r="E72" i="7"/>
  <c r="E88" i="7"/>
  <c r="E104" i="7"/>
  <c r="E103" i="7"/>
  <c r="E119" i="7"/>
  <c r="E78" i="7"/>
  <c r="E94" i="7"/>
  <c r="E110" i="7"/>
  <c r="E122" i="7"/>
  <c r="E129" i="7"/>
  <c r="E34" i="7"/>
  <c r="E42" i="7"/>
  <c r="E75" i="7"/>
  <c r="E97" i="7"/>
  <c r="E41" i="7"/>
  <c r="E57" i="7"/>
  <c r="E81" i="7"/>
  <c r="E109" i="7"/>
  <c r="E44" i="7"/>
  <c r="E60" i="7"/>
  <c r="E87" i="7"/>
  <c r="E69" i="7"/>
  <c r="E35" i="7"/>
  <c r="E68" i="7"/>
  <c r="E84" i="7"/>
  <c r="E100" i="7"/>
  <c r="E116" i="7"/>
  <c r="E99" i="7"/>
  <c r="E115" i="7"/>
  <c r="E121" i="7"/>
  <c r="E128" i="7"/>
  <c r="E74" i="7"/>
  <c r="E90" i="7"/>
  <c r="E106" i="7"/>
  <c r="E123" i="7"/>
  <c r="E131" i="7"/>
  <c r="E54" i="7"/>
  <c r="E67" i="7"/>
  <c r="E37" i="7"/>
  <c r="E53" i="7"/>
  <c r="E73" i="7"/>
  <c r="E40" i="7"/>
  <c r="E56" i="7"/>
  <c r="E79" i="7"/>
  <c r="E105" i="7"/>
  <c r="E43" i="7"/>
  <c r="E77" i="7"/>
  <c r="E117" i="7"/>
  <c r="E39" i="7"/>
  <c r="E51" i="7"/>
  <c r="E63" i="7"/>
  <c r="E80" i="7"/>
  <c r="E96" i="7"/>
  <c r="E112" i="7"/>
  <c r="E124" i="7"/>
  <c r="E111" i="7"/>
  <c r="E70" i="7"/>
  <c r="E86" i="7"/>
  <c r="E102" i="7"/>
  <c r="E118" i="7"/>
  <c r="E125" i="7"/>
  <c r="E130" i="7"/>
  <c r="C29" i="7"/>
  <c r="D29" i="7"/>
  <c r="B52" i="15" l="1"/>
  <c r="A53" i="15"/>
  <c r="H51" i="15"/>
  <c r="F51" i="15"/>
  <c r="G51" i="15"/>
  <c r="B47" i="11"/>
  <c r="A48" i="11"/>
  <c r="H46" i="11"/>
  <c r="G46" i="11"/>
  <c r="F46" i="11"/>
  <c r="D4" i="6"/>
  <c r="D5" i="6"/>
  <c r="D3" i="6"/>
  <c r="B190" i="5"/>
  <c r="D9" i="5"/>
  <c r="D10" i="5" s="1"/>
  <c r="D11" i="5" s="1"/>
  <c r="E190" i="5" s="1"/>
  <c r="F190" i="5" s="1"/>
  <c r="C12" i="5"/>
  <c r="C14" i="5" s="1"/>
  <c r="C16" i="5" s="1"/>
  <c r="C10" i="5"/>
  <c r="C11" i="5" s="1"/>
  <c r="B189" i="5"/>
  <c r="B188" i="5"/>
  <c r="B187" i="5"/>
  <c r="B186" i="5"/>
  <c r="B185" i="5"/>
  <c r="B184" i="5"/>
  <c r="C184" i="5" s="1"/>
  <c r="D184" i="5" s="1"/>
  <c r="B183" i="5"/>
  <c r="B182" i="5"/>
  <c r="E182" i="5" s="1"/>
  <c r="F182" i="5" s="1"/>
  <c r="B181" i="5"/>
  <c r="B180" i="5"/>
  <c r="B179" i="5"/>
  <c r="B178" i="5"/>
  <c r="E178" i="5" s="1"/>
  <c r="F178" i="5" s="1"/>
  <c r="B177" i="5"/>
  <c r="B176" i="5"/>
  <c r="B175" i="5"/>
  <c r="C175" i="5" s="1"/>
  <c r="D175" i="5" s="1"/>
  <c r="B174" i="5"/>
  <c r="E174" i="5" s="1"/>
  <c r="F174" i="5" s="1"/>
  <c r="B173" i="5"/>
  <c r="B172" i="5"/>
  <c r="C172" i="5" s="1"/>
  <c r="D172" i="5" s="1"/>
  <c r="B171" i="5"/>
  <c r="B170" i="5"/>
  <c r="E170" i="5" s="1"/>
  <c r="F170" i="5" s="1"/>
  <c r="B169" i="5"/>
  <c r="B168" i="5"/>
  <c r="E168" i="5" s="1"/>
  <c r="F168" i="5" s="1"/>
  <c r="B167" i="5"/>
  <c r="B166" i="5"/>
  <c r="E166" i="5" s="1"/>
  <c r="F166" i="5" s="1"/>
  <c r="B165" i="5"/>
  <c r="B164" i="5"/>
  <c r="C164" i="5" s="1"/>
  <c r="D164" i="5" s="1"/>
  <c r="B163" i="5"/>
  <c r="B162" i="5"/>
  <c r="C162" i="5" s="1"/>
  <c r="D162" i="5" s="1"/>
  <c r="B161" i="5"/>
  <c r="B160" i="5"/>
  <c r="C160" i="5" s="1"/>
  <c r="D160" i="5" s="1"/>
  <c r="B159" i="5"/>
  <c r="B158" i="5"/>
  <c r="C158" i="5" s="1"/>
  <c r="D158" i="5" s="1"/>
  <c r="B157" i="5"/>
  <c r="B156" i="5"/>
  <c r="C156" i="5" s="1"/>
  <c r="D156" i="5" s="1"/>
  <c r="B155" i="5"/>
  <c r="B154" i="5"/>
  <c r="C154" i="5" s="1"/>
  <c r="D154" i="5" s="1"/>
  <c r="B153" i="5"/>
  <c r="B152" i="5"/>
  <c r="C152" i="5" s="1"/>
  <c r="D152" i="5" s="1"/>
  <c r="B151" i="5"/>
  <c r="B150" i="5"/>
  <c r="C150" i="5" s="1"/>
  <c r="D150" i="5" s="1"/>
  <c r="B149" i="5"/>
  <c r="B148" i="5"/>
  <c r="C148" i="5" s="1"/>
  <c r="D148" i="5" s="1"/>
  <c r="B147" i="5"/>
  <c r="B146" i="5"/>
  <c r="C146" i="5" s="1"/>
  <c r="D146" i="5" s="1"/>
  <c r="B145" i="5"/>
  <c r="B144" i="5"/>
  <c r="C144" i="5" s="1"/>
  <c r="D144" i="5" s="1"/>
  <c r="B143" i="5"/>
  <c r="B142" i="5"/>
  <c r="C142" i="5" s="1"/>
  <c r="D142" i="5" s="1"/>
  <c r="B141" i="5"/>
  <c r="B140" i="5"/>
  <c r="C140" i="5" s="1"/>
  <c r="D140" i="5" s="1"/>
  <c r="B139" i="5"/>
  <c r="B138" i="5"/>
  <c r="C138" i="5" s="1"/>
  <c r="D138" i="5" s="1"/>
  <c r="B137" i="5"/>
  <c r="B136" i="5"/>
  <c r="C136" i="5" s="1"/>
  <c r="D136" i="5" s="1"/>
  <c r="B135" i="5"/>
  <c r="B134" i="5"/>
  <c r="C134" i="5" s="1"/>
  <c r="D134" i="5" s="1"/>
  <c r="B133" i="5"/>
  <c r="B132" i="5"/>
  <c r="C132" i="5" s="1"/>
  <c r="D132" i="5" s="1"/>
  <c r="B131" i="5"/>
  <c r="B130" i="5"/>
  <c r="C130" i="5" s="1"/>
  <c r="D130" i="5" s="1"/>
  <c r="B129" i="5"/>
  <c r="B128" i="5"/>
  <c r="C128" i="5" s="1"/>
  <c r="D128" i="5" s="1"/>
  <c r="B127" i="5"/>
  <c r="B126" i="5"/>
  <c r="C126" i="5" s="1"/>
  <c r="D126" i="5" s="1"/>
  <c r="B125" i="5"/>
  <c r="B124" i="5"/>
  <c r="C124" i="5" s="1"/>
  <c r="D124" i="5" s="1"/>
  <c r="B123" i="5"/>
  <c r="B122" i="5"/>
  <c r="C122" i="5" s="1"/>
  <c r="D122" i="5" s="1"/>
  <c r="B121" i="5"/>
  <c r="B120" i="5"/>
  <c r="C120" i="5" s="1"/>
  <c r="D120" i="5" s="1"/>
  <c r="B119" i="5"/>
  <c r="B118" i="5"/>
  <c r="E118" i="5" s="1"/>
  <c r="F118" i="5" s="1"/>
  <c r="B117" i="5"/>
  <c r="B116" i="5"/>
  <c r="E116" i="5" s="1"/>
  <c r="F116" i="5" s="1"/>
  <c r="B115" i="5"/>
  <c r="B114" i="5"/>
  <c r="E114" i="5" s="1"/>
  <c r="F114" i="5" s="1"/>
  <c r="B113" i="5"/>
  <c r="B112" i="5"/>
  <c r="B111" i="5"/>
  <c r="C111" i="5"/>
  <c r="D111" i="5" s="1"/>
  <c r="B110" i="5"/>
  <c r="E110" i="5" s="1"/>
  <c r="F110" i="5" s="1"/>
  <c r="C110" i="5"/>
  <c r="D110" i="5" s="1"/>
  <c r="B109" i="5"/>
  <c r="C109" i="5" s="1"/>
  <c r="D109" i="5" s="1"/>
  <c r="B108" i="5"/>
  <c r="B107" i="5"/>
  <c r="E107" i="5" s="1"/>
  <c r="F107" i="5" s="1"/>
  <c r="B106" i="5"/>
  <c r="E106" i="5" s="1"/>
  <c r="F106" i="5" s="1"/>
  <c r="B105" i="5"/>
  <c r="C105" i="5" s="1"/>
  <c r="D105" i="5" s="1"/>
  <c r="B104" i="5"/>
  <c r="B103" i="5"/>
  <c r="C103" i="5" s="1"/>
  <c r="D103" i="5" s="1"/>
  <c r="B102" i="5"/>
  <c r="E102" i="5" s="1"/>
  <c r="F102" i="5" s="1"/>
  <c r="C102" i="5"/>
  <c r="D102" i="5" s="1"/>
  <c r="B101" i="5"/>
  <c r="C101" i="5" s="1"/>
  <c r="D101" i="5" s="1"/>
  <c r="B100" i="5"/>
  <c r="B99" i="5"/>
  <c r="C99" i="5" s="1"/>
  <c r="D99" i="5" s="1"/>
  <c r="B98" i="5"/>
  <c r="E98" i="5" s="1"/>
  <c r="F98" i="5" s="1"/>
  <c r="B97" i="5"/>
  <c r="C97" i="5" s="1"/>
  <c r="D97" i="5" s="1"/>
  <c r="B96" i="5"/>
  <c r="B95" i="5"/>
  <c r="C95" i="5"/>
  <c r="D95" i="5" s="1"/>
  <c r="B94" i="5"/>
  <c r="C94" i="5"/>
  <c r="D94" i="5" s="1"/>
  <c r="B93" i="5"/>
  <c r="C93" i="5" s="1"/>
  <c r="D93" i="5" s="1"/>
  <c r="B92" i="5"/>
  <c r="B91" i="5"/>
  <c r="E91" i="5" s="1"/>
  <c r="F91" i="5" s="1"/>
  <c r="B90" i="5"/>
  <c r="C90" i="5" s="1"/>
  <c r="D90" i="5" s="1"/>
  <c r="B89" i="5"/>
  <c r="C89" i="5" s="1"/>
  <c r="D89" i="5" s="1"/>
  <c r="B88" i="5"/>
  <c r="B87" i="5"/>
  <c r="C87" i="5"/>
  <c r="D87" i="5" s="1"/>
  <c r="B86" i="5"/>
  <c r="C86" i="5" s="1"/>
  <c r="D86" i="5" s="1"/>
  <c r="E86" i="5"/>
  <c r="F86" i="5" s="1"/>
  <c r="B85" i="5"/>
  <c r="C85" i="5" s="1"/>
  <c r="D85" i="5" s="1"/>
  <c r="B84" i="5"/>
  <c r="B83" i="5"/>
  <c r="C83" i="5" s="1"/>
  <c r="D83" i="5" s="1"/>
  <c r="B82" i="5"/>
  <c r="E82" i="5" s="1"/>
  <c r="F82" i="5" s="1"/>
  <c r="B81" i="5"/>
  <c r="C81" i="5" s="1"/>
  <c r="D81" i="5" s="1"/>
  <c r="B80" i="5"/>
  <c r="B79" i="5"/>
  <c r="C79" i="5"/>
  <c r="D79" i="5" s="1"/>
  <c r="B78" i="5"/>
  <c r="C78" i="5" s="1"/>
  <c r="D78" i="5" s="1"/>
  <c r="B77" i="5"/>
  <c r="C77" i="5" s="1"/>
  <c r="D77" i="5" s="1"/>
  <c r="B76" i="5"/>
  <c r="B75" i="5"/>
  <c r="E75" i="5" s="1"/>
  <c r="F75" i="5" s="1"/>
  <c r="B74" i="5"/>
  <c r="C74" i="5" s="1"/>
  <c r="D74" i="5" s="1"/>
  <c r="B73" i="5"/>
  <c r="C73" i="5" s="1"/>
  <c r="D73" i="5" s="1"/>
  <c r="B72" i="5"/>
  <c r="B71" i="5"/>
  <c r="C71" i="5" s="1"/>
  <c r="D71" i="5" s="1"/>
  <c r="B70" i="5"/>
  <c r="C70" i="5" s="1"/>
  <c r="D70" i="5" s="1"/>
  <c r="B69" i="5"/>
  <c r="C69" i="5" s="1"/>
  <c r="D69" i="5" s="1"/>
  <c r="B68" i="5"/>
  <c r="B67" i="5"/>
  <c r="C67" i="5" s="1"/>
  <c r="D67" i="5" s="1"/>
  <c r="B66" i="5"/>
  <c r="E66" i="5" s="1"/>
  <c r="F66" i="5" s="1"/>
  <c r="B65" i="5"/>
  <c r="C65" i="5" s="1"/>
  <c r="D65" i="5" s="1"/>
  <c r="B64" i="5"/>
  <c r="B63" i="5"/>
  <c r="C63" i="5" s="1"/>
  <c r="D63" i="5" s="1"/>
  <c r="B62" i="5"/>
  <c r="C62" i="5" s="1"/>
  <c r="D62" i="5" s="1"/>
  <c r="B61" i="5"/>
  <c r="C61" i="5" s="1"/>
  <c r="D61" i="5" s="1"/>
  <c r="B60" i="5"/>
  <c r="B59" i="5"/>
  <c r="E59" i="5" s="1"/>
  <c r="F59" i="5" s="1"/>
  <c r="B58" i="5"/>
  <c r="C58" i="5" s="1"/>
  <c r="D58" i="5" s="1"/>
  <c r="B57" i="5"/>
  <c r="C57" i="5" s="1"/>
  <c r="D57" i="5" s="1"/>
  <c r="B56" i="5"/>
  <c r="B55" i="5"/>
  <c r="C55" i="5"/>
  <c r="D55" i="5" s="1"/>
  <c r="B54" i="5"/>
  <c r="C54" i="5" s="1"/>
  <c r="D54" i="5" s="1"/>
  <c r="E54" i="5"/>
  <c r="F54" i="5" s="1"/>
  <c r="B53" i="5"/>
  <c r="C53" i="5" s="1"/>
  <c r="D53" i="5" s="1"/>
  <c r="B52" i="5"/>
  <c r="B51" i="5"/>
  <c r="C51" i="5" s="1"/>
  <c r="D51" i="5" s="1"/>
  <c r="B50" i="5"/>
  <c r="E50" i="5" s="1"/>
  <c r="F50" i="5" s="1"/>
  <c r="B49" i="5"/>
  <c r="C49" i="5" s="1"/>
  <c r="D49" i="5" s="1"/>
  <c r="B48" i="5"/>
  <c r="B47" i="5"/>
  <c r="C47" i="5" s="1"/>
  <c r="D47" i="5" s="1"/>
  <c r="B46" i="5"/>
  <c r="C46" i="5" s="1"/>
  <c r="D46" i="5" s="1"/>
  <c r="B45" i="5"/>
  <c r="C45" i="5" s="1"/>
  <c r="D45" i="5" s="1"/>
  <c r="B44" i="5"/>
  <c r="B43" i="5"/>
  <c r="E43" i="5" s="1"/>
  <c r="F43" i="5" s="1"/>
  <c r="B42" i="5"/>
  <c r="C42" i="5" s="1"/>
  <c r="D42" i="5" s="1"/>
  <c r="B41" i="5"/>
  <c r="C41" i="5" s="1"/>
  <c r="D41" i="5" s="1"/>
  <c r="B40" i="5"/>
  <c r="B39" i="5"/>
  <c r="C39" i="5" s="1"/>
  <c r="D39" i="5" s="1"/>
  <c r="B38" i="5"/>
  <c r="C38" i="5" s="1"/>
  <c r="D38" i="5" s="1"/>
  <c r="B37" i="5"/>
  <c r="C37" i="5" s="1"/>
  <c r="D37" i="5" s="1"/>
  <c r="B36" i="5"/>
  <c r="B35" i="5"/>
  <c r="C35" i="5" s="1"/>
  <c r="D35" i="5" s="1"/>
  <c r="B34" i="5"/>
  <c r="E34" i="5" s="1"/>
  <c r="F34" i="5" s="1"/>
  <c r="B33" i="5"/>
  <c r="C33" i="5" s="1"/>
  <c r="D33" i="5" s="1"/>
  <c r="B32" i="5"/>
  <c r="B31" i="5"/>
  <c r="C31" i="5" s="1"/>
  <c r="D31" i="5" s="1"/>
  <c r="B30" i="5"/>
  <c r="C30" i="5" s="1"/>
  <c r="D30" i="5" s="1"/>
  <c r="B29" i="5"/>
  <c r="C29" i="5" s="1"/>
  <c r="D29" i="5" s="1"/>
  <c r="B28" i="5"/>
  <c r="B27" i="5"/>
  <c r="E27" i="5" s="1"/>
  <c r="F27" i="5" s="1"/>
  <c r="B26" i="5"/>
  <c r="C26" i="5" s="1"/>
  <c r="D26" i="5" s="1"/>
  <c r="B25" i="5"/>
  <c r="C25" i="5" s="1"/>
  <c r="D25" i="5" s="1"/>
  <c r="B24" i="5"/>
  <c r="B23" i="5"/>
  <c r="C23" i="5" s="1"/>
  <c r="D23" i="5" s="1"/>
  <c r="B22" i="5"/>
  <c r="E22" i="5" s="1"/>
  <c r="F22" i="5" s="1"/>
  <c r="B21" i="5"/>
  <c r="C21" i="5" s="1"/>
  <c r="D21" i="5" s="1"/>
  <c r="B20" i="5"/>
  <c r="B200" i="3"/>
  <c r="C200" i="3" s="1"/>
  <c r="C24" i="3"/>
  <c r="C20" i="3"/>
  <c r="C26" i="3"/>
  <c r="I120" i="3" s="1"/>
  <c r="I110" i="4" s="1"/>
  <c r="C22" i="3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P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P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P177" i="3" s="1"/>
  <c r="Q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P169" i="3" s="1"/>
  <c r="Q169" i="3" s="1"/>
  <c r="B168" i="3"/>
  <c r="C168" i="3" s="1"/>
  <c r="B167" i="3"/>
  <c r="C167" i="3" s="1"/>
  <c r="J167" i="3" s="1"/>
  <c r="B166" i="3"/>
  <c r="C166" i="3" s="1"/>
  <c r="J166" i="3" s="1"/>
  <c r="B165" i="3"/>
  <c r="C165" i="3" s="1"/>
  <c r="J165" i="3" s="1"/>
  <c r="B164" i="3"/>
  <c r="C164" i="3" s="1"/>
  <c r="B163" i="3"/>
  <c r="C163" i="3" s="1"/>
  <c r="J163" i="3" s="1"/>
  <c r="B162" i="3"/>
  <c r="C162" i="3" s="1"/>
  <c r="J162" i="3" s="1"/>
  <c r="K162" i="3" s="1"/>
  <c r="G152" i="5" s="1"/>
  <c r="B161" i="3"/>
  <c r="C161" i="3" s="1"/>
  <c r="J161" i="3" s="1"/>
  <c r="B160" i="3"/>
  <c r="C160" i="3" s="1"/>
  <c r="B159" i="3"/>
  <c r="C159" i="3" s="1"/>
  <c r="J159" i="3" s="1"/>
  <c r="B158" i="3"/>
  <c r="C158" i="3" s="1"/>
  <c r="J158" i="3" s="1"/>
  <c r="B157" i="3"/>
  <c r="C157" i="3" s="1"/>
  <c r="J157" i="3" s="1"/>
  <c r="B156" i="3"/>
  <c r="C156" i="3" s="1"/>
  <c r="B155" i="3"/>
  <c r="C155" i="3" s="1"/>
  <c r="J155" i="3" s="1"/>
  <c r="K155" i="3" s="1"/>
  <c r="G145" i="5" s="1"/>
  <c r="B154" i="3"/>
  <c r="C154" i="3" s="1"/>
  <c r="J154" i="3" s="1"/>
  <c r="B153" i="3"/>
  <c r="C153" i="3" s="1"/>
  <c r="J153" i="3" s="1"/>
  <c r="B152" i="3"/>
  <c r="C152" i="3" s="1"/>
  <c r="B151" i="3"/>
  <c r="C151" i="3" s="1"/>
  <c r="J151" i="3" s="1"/>
  <c r="B150" i="3"/>
  <c r="C150" i="3" s="1"/>
  <c r="J150" i="3" s="1"/>
  <c r="B149" i="3"/>
  <c r="C149" i="3" s="1"/>
  <c r="B148" i="3"/>
  <c r="C148" i="3" s="1"/>
  <c r="B147" i="3"/>
  <c r="C147" i="3" s="1"/>
  <c r="P147" i="3" s="1"/>
  <c r="Q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H139" i="3" s="1"/>
  <c r="I139" i="3" s="1"/>
  <c r="I129" i="4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H131" i="3" s="1"/>
  <c r="I131" i="3" s="1"/>
  <c r="I121" i="4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P123" i="3" s="1"/>
  <c r="Q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H115" i="3" s="1"/>
  <c r="I115" i="3" s="1"/>
  <c r="I105" i="4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H107" i="3" s="1"/>
  <c r="I107" i="3" s="1"/>
  <c r="I97" i="4" s="1"/>
  <c r="B106" i="3"/>
  <c r="C106" i="3" s="1"/>
  <c r="B105" i="3"/>
  <c r="C105" i="3" s="1"/>
  <c r="B104" i="3"/>
  <c r="C104" i="3" s="1"/>
  <c r="H104" i="3" s="1"/>
  <c r="B103" i="3"/>
  <c r="C103" i="3" s="1"/>
  <c r="B102" i="3"/>
  <c r="C102" i="3" s="1"/>
  <c r="B101" i="3"/>
  <c r="C101" i="3" s="1"/>
  <c r="B100" i="3"/>
  <c r="C100" i="3" s="1"/>
  <c r="B99" i="3"/>
  <c r="C99" i="3" s="1"/>
  <c r="H99" i="3" s="1"/>
  <c r="I99" i="3" s="1"/>
  <c r="I89" i="4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P91" i="3" s="1"/>
  <c r="Q91" i="3" s="1"/>
  <c r="B90" i="3"/>
  <c r="C90" i="3" s="1"/>
  <c r="B89" i="3"/>
  <c r="C89" i="3" s="1"/>
  <c r="B88" i="3"/>
  <c r="C88" i="3" s="1"/>
  <c r="H88" i="3" s="1"/>
  <c r="B87" i="3"/>
  <c r="C87" i="3" s="1"/>
  <c r="B86" i="3"/>
  <c r="C86" i="3" s="1"/>
  <c r="B85" i="3"/>
  <c r="C85" i="3" s="1"/>
  <c r="B84" i="3"/>
  <c r="C84" i="3" s="1"/>
  <c r="B83" i="3"/>
  <c r="C83" i="3" s="1"/>
  <c r="H83" i="3" s="1"/>
  <c r="I83" i="3" s="1"/>
  <c r="I73" i="4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L75" i="3" s="1"/>
  <c r="M75" i="3" s="1"/>
  <c r="B74" i="3"/>
  <c r="C74" i="3" s="1"/>
  <c r="B73" i="3"/>
  <c r="C73" i="3" s="1"/>
  <c r="B72" i="3"/>
  <c r="C72" i="3" s="1"/>
  <c r="H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H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H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H44" i="3" s="1"/>
  <c r="B43" i="3"/>
  <c r="C43" i="3" s="1"/>
  <c r="B42" i="3"/>
  <c r="C42" i="3" s="1"/>
  <c r="B41" i="3"/>
  <c r="C41" i="3" s="1"/>
  <c r="B40" i="3"/>
  <c r="C40" i="3" s="1"/>
  <c r="H40" i="3" s="1"/>
  <c r="B39" i="3"/>
  <c r="C39" i="3" s="1"/>
  <c r="B38" i="3"/>
  <c r="C38" i="3" s="1"/>
  <c r="B37" i="3"/>
  <c r="C37" i="3" s="1"/>
  <c r="B36" i="3"/>
  <c r="C36" i="3" s="1"/>
  <c r="H36" i="3" s="1"/>
  <c r="B35" i="3"/>
  <c r="C35" i="3" s="1"/>
  <c r="B34" i="3"/>
  <c r="C34" i="3" s="1"/>
  <c r="B33" i="3"/>
  <c r="C33" i="3" s="1"/>
  <c r="B32" i="3"/>
  <c r="C32" i="3" s="1"/>
  <c r="H32" i="3" s="1"/>
  <c r="B31" i="3"/>
  <c r="C31" i="3" s="1"/>
  <c r="H31" i="3" s="1"/>
  <c r="B30" i="3"/>
  <c r="C30" i="3" s="1"/>
  <c r="H39" i="3"/>
  <c r="H47" i="3"/>
  <c r="H48" i="3"/>
  <c r="H55" i="3"/>
  <c r="H56" i="3"/>
  <c r="H63" i="3"/>
  <c r="H64" i="3"/>
  <c r="I64" i="3" s="1"/>
  <c r="I54" i="4" s="1"/>
  <c r="H68" i="3"/>
  <c r="H69" i="3"/>
  <c r="H71" i="3"/>
  <c r="H73" i="3"/>
  <c r="H76" i="3"/>
  <c r="I76" i="3" s="1"/>
  <c r="I66" i="4" s="1"/>
  <c r="H77" i="3"/>
  <c r="H80" i="3"/>
  <c r="H84" i="3"/>
  <c r="H85" i="3"/>
  <c r="H87" i="3"/>
  <c r="H89" i="3"/>
  <c r="H91" i="3"/>
  <c r="I91" i="3" s="1"/>
  <c r="I81" i="4" s="1"/>
  <c r="H92" i="3"/>
  <c r="H93" i="3"/>
  <c r="H96" i="3"/>
  <c r="H100" i="3"/>
  <c r="H101" i="3"/>
  <c r="H103" i="3"/>
  <c r="H105" i="3"/>
  <c r="I105" i="3" s="1"/>
  <c r="I95" i="4" s="1"/>
  <c r="H108" i="3"/>
  <c r="H109" i="3"/>
  <c r="H112" i="3"/>
  <c r="H116" i="3"/>
  <c r="H117" i="3"/>
  <c r="H119" i="3"/>
  <c r="I119" i="3" s="1"/>
  <c r="I109" i="4" s="1"/>
  <c r="H120" i="3"/>
  <c r="H121" i="3"/>
  <c r="H124" i="3"/>
  <c r="H125" i="3"/>
  <c r="H127" i="3"/>
  <c r="I127" i="3" s="1"/>
  <c r="I117" i="4" s="1"/>
  <c r="H128" i="3"/>
  <c r="H129" i="3"/>
  <c r="H132" i="3"/>
  <c r="H133" i="3"/>
  <c r="H135" i="3"/>
  <c r="H136" i="3"/>
  <c r="H137" i="3"/>
  <c r="I137" i="3" s="1"/>
  <c r="I127" i="4" s="1"/>
  <c r="H140" i="3"/>
  <c r="H141" i="3"/>
  <c r="H143" i="3"/>
  <c r="H144" i="3"/>
  <c r="H145" i="3"/>
  <c r="H148" i="3"/>
  <c r="I148" i="3" s="1"/>
  <c r="I138" i="4" s="1"/>
  <c r="H149" i="3"/>
  <c r="H150" i="3"/>
  <c r="H151" i="3"/>
  <c r="H152" i="3"/>
  <c r="H153" i="3"/>
  <c r="H154" i="3"/>
  <c r="H156" i="3"/>
  <c r="I156" i="3" s="1"/>
  <c r="I146" i="4" s="1"/>
  <c r="H157" i="3"/>
  <c r="H158" i="3"/>
  <c r="H159" i="3"/>
  <c r="H160" i="3"/>
  <c r="H161" i="3"/>
  <c r="H163" i="3"/>
  <c r="H165" i="3"/>
  <c r="H166" i="3"/>
  <c r="H167" i="3"/>
  <c r="H168" i="3"/>
  <c r="H170" i="3"/>
  <c r="H171" i="3"/>
  <c r="I171" i="3" s="1"/>
  <c r="I161" i="4" s="1"/>
  <c r="H172" i="3"/>
  <c r="H173" i="3"/>
  <c r="H174" i="3"/>
  <c r="H175" i="3"/>
  <c r="H176" i="3"/>
  <c r="H178" i="3"/>
  <c r="H179" i="3"/>
  <c r="I179" i="3" s="1"/>
  <c r="I169" i="4" s="1"/>
  <c r="H180" i="3"/>
  <c r="H181" i="3"/>
  <c r="H182" i="3"/>
  <c r="H183" i="3"/>
  <c r="H184" i="3"/>
  <c r="H186" i="3"/>
  <c r="H187" i="3"/>
  <c r="I187" i="3" s="1"/>
  <c r="I177" i="4" s="1"/>
  <c r="H188" i="3"/>
  <c r="H189" i="3"/>
  <c r="H190" i="3"/>
  <c r="H191" i="3"/>
  <c r="H192" i="3"/>
  <c r="H194" i="3"/>
  <c r="H195" i="3"/>
  <c r="I195" i="3" s="1"/>
  <c r="I185" i="4" s="1"/>
  <c r="H196" i="3"/>
  <c r="H197" i="3"/>
  <c r="H198" i="3"/>
  <c r="H199" i="3"/>
  <c r="H200" i="3"/>
  <c r="H30" i="3"/>
  <c r="B21" i="4"/>
  <c r="G21" i="4" s="1"/>
  <c r="B22" i="4"/>
  <c r="G22" i="4" s="1"/>
  <c r="B23" i="4"/>
  <c r="G23" i="4" s="1"/>
  <c r="B24" i="4"/>
  <c r="G24" i="4" s="1"/>
  <c r="B25" i="4"/>
  <c r="G25" i="4" s="1"/>
  <c r="B26" i="4"/>
  <c r="G26" i="4" s="1"/>
  <c r="B27" i="4"/>
  <c r="G27" i="4" s="1"/>
  <c r="B28" i="4"/>
  <c r="G28" i="4" s="1"/>
  <c r="B29" i="4"/>
  <c r="G29" i="4" s="1"/>
  <c r="B30" i="4"/>
  <c r="G30" i="4" s="1"/>
  <c r="B31" i="4"/>
  <c r="G31" i="4" s="1"/>
  <c r="B32" i="4"/>
  <c r="G32" i="4" s="1"/>
  <c r="B33" i="4"/>
  <c r="G33" i="4" s="1"/>
  <c r="B34" i="4"/>
  <c r="G34" i="4" s="1"/>
  <c r="B35" i="4"/>
  <c r="G35" i="4" s="1"/>
  <c r="B36" i="4"/>
  <c r="G36" i="4" s="1"/>
  <c r="B37" i="4"/>
  <c r="G37" i="4" s="1"/>
  <c r="B38" i="4"/>
  <c r="G38" i="4" s="1"/>
  <c r="B39" i="4"/>
  <c r="G39" i="4" s="1"/>
  <c r="B40" i="4"/>
  <c r="G40" i="4" s="1"/>
  <c r="B41" i="4"/>
  <c r="B42" i="4"/>
  <c r="G42" i="4" s="1"/>
  <c r="B43" i="4"/>
  <c r="G43" i="4" s="1"/>
  <c r="B44" i="4"/>
  <c r="G44" i="4" s="1"/>
  <c r="B45" i="4"/>
  <c r="G45" i="4" s="1"/>
  <c r="B46" i="4"/>
  <c r="G46" i="4" s="1"/>
  <c r="B47" i="4"/>
  <c r="G47" i="4" s="1"/>
  <c r="B48" i="4"/>
  <c r="G48" i="4" s="1"/>
  <c r="B49" i="4"/>
  <c r="G49" i="4" s="1"/>
  <c r="B50" i="4"/>
  <c r="G50" i="4" s="1"/>
  <c r="B51" i="4"/>
  <c r="G51" i="4" s="1"/>
  <c r="B52" i="4"/>
  <c r="G52" i="4" s="1"/>
  <c r="B53" i="4"/>
  <c r="G53" i="4" s="1"/>
  <c r="B54" i="4"/>
  <c r="G54" i="4" s="1"/>
  <c r="B55" i="4"/>
  <c r="G55" i="4" s="1"/>
  <c r="B56" i="4"/>
  <c r="G56" i="4" s="1"/>
  <c r="B57" i="4"/>
  <c r="G57" i="4" s="1"/>
  <c r="B58" i="4"/>
  <c r="G58" i="4" s="1"/>
  <c r="B59" i="4"/>
  <c r="G59" i="4" s="1"/>
  <c r="B60" i="4"/>
  <c r="G60" i="4" s="1"/>
  <c r="B61" i="4"/>
  <c r="G61" i="4" s="1"/>
  <c r="B62" i="4"/>
  <c r="G62" i="4" s="1"/>
  <c r="B63" i="4"/>
  <c r="G63" i="4" s="1"/>
  <c r="B64" i="4"/>
  <c r="G64" i="4" s="1"/>
  <c r="B65" i="4"/>
  <c r="B66" i="4"/>
  <c r="G66" i="4" s="1"/>
  <c r="B67" i="4"/>
  <c r="G67" i="4" s="1"/>
  <c r="B68" i="4"/>
  <c r="G68" i="4" s="1"/>
  <c r="B69" i="4"/>
  <c r="G69" i="4" s="1"/>
  <c r="B70" i="4"/>
  <c r="G70" i="4" s="1"/>
  <c r="B71" i="4"/>
  <c r="G71" i="4" s="1"/>
  <c r="B72" i="4"/>
  <c r="G72" i="4" s="1"/>
  <c r="B73" i="4"/>
  <c r="G73" i="4" s="1"/>
  <c r="B74" i="4"/>
  <c r="G74" i="4" s="1"/>
  <c r="B75" i="4"/>
  <c r="G75" i="4" s="1"/>
  <c r="B76" i="4"/>
  <c r="G76" i="4" s="1"/>
  <c r="B77" i="4"/>
  <c r="G77" i="4" s="1"/>
  <c r="B78" i="4"/>
  <c r="G78" i="4" s="1"/>
  <c r="B79" i="4"/>
  <c r="G79" i="4" s="1"/>
  <c r="B80" i="4"/>
  <c r="G80" i="4" s="1"/>
  <c r="B81" i="4"/>
  <c r="G81" i="4" s="1"/>
  <c r="B82" i="4"/>
  <c r="G82" i="4" s="1"/>
  <c r="B83" i="4"/>
  <c r="G83" i="4" s="1"/>
  <c r="B84" i="4"/>
  <c r="G84" i="4" s="1"/>
  <c r="B85" i="4"/>
  <c r="G85" i="4" s="1"/>
  <c r="B86" i="4"/>
  <c r="G86" i="4" s="1"/>
  <c r="B87" i="4"/>
  <c r="G87" i="4" s="1"/>
  <c r="B88" i="4"/>
  <c r="G88" i="4" s="1"/>
  <c r="B89" i="4"/>
  <c r="G89" i="4" s="1"/>
  <c r="B90" i="4"/>
  <c r="G90" i="4" s="1"/>
  <c r="B91" i="4"/>
  <c r="G91" i="4" s="1"/>
  <c r="B92" i="4"/>
  <c r="G92" i="4" s="1"/>
  <c r="B93" i="4"/>
  <c r="G93" i="4" s="1"/>
  <c r="B94" i="4"/>
  <c r="G94" i="4" s="1"/>
  <c r="B95" i="4"/>
  <c r="G95" i="4" s="1"/>
  <c r="B96" i="4"/>
  <c r="G96" i="4" s="1"/>
  <c r="B97" i="4"/>
  <c r="G97" i="4" s="1"/>
  <c r="B98" i="4"/>
  <c r="G98" i="4" s="1"/>
  <c r="B99" i="4"/>
  <c r="G99" i="4" s="1"/>
  <c r="B100" i="4"/>
  <c r="G100" i="4" s="1"/>
  <c r="B101" i="4"/>
  <c r="G101" i="4" s="1"/>
  <c r="B102" i="4"/>
  <c r="G102" i="4" s="1"/>
  <c r="B103" i="4"/>
  <c r="G103" i="4" s="1"/>
  <c r="B104" i="4"/>
  <c r="G104" i="4" s="1"/>
  <c r="B105" i="4"/>
  <c r="B106" i="4"/>
  <c r="G106" i="4" s="1"/>
  <c r="B107" i="4"/>
  <c r="G107" i="4" s="1"/>
  <c r="B108" i="4"/>
  <c r="G108" i="4" s="1"/>
  <c r="B109" i="4"/>
  <c r="G109" i="4" s="1"/>
  <c r="B110" i="4"/>
  <c r="G110" i="4" s="1"/>
  <c r="B111" i="4"/>
  <c r="G111" i="4" s="1"/>
  <c r="B112" i="4"/>
  <c r="G112" i="4" s="1"/>
  <c r="B113" i="4"/>
  <c r="G113" i="4" s="1"/>
  <c r="B114" i="4"/>
  <c r="G114" i="4" s="1"/>
  <c r="B115" i="4"/>
  <c r="G115" i="4" s="1"/>
  <c r="B116" i="4"/>
  <c r="G116" i="4" s="1"/>
  <c r="B117" i="4"/>
  <c r="G117" i="4" s="1"/>
  <c r="B118" i="4"/>
  <c r="G118" i="4" s="1"/>
  <c r="B119" i="4"/>
  <c r="G119" i="4" s="1"/>
  <c r="B120" i="4"/>
  <c r="G120" i="4" s="1"/>
  <c r="B121" i="4"/>
  <c r="G121" i="4" s="1"/>
  <c r="B122" i="4"/>
  <c r="G122" i="4" s="1"/>
  <c r="B123" i="4"/>
  <c r="G123" i="4" s="1"/>
  <c r="B124" i="4"/>
  <c r="G124" i="4" s="1"/>
  <c r="B125" i="4"/>
  <c r="G125" i="4" s="1"/>
  <c r="B126" i="4"/>
  <c r="G126" i="4" s="1"/>
  <c r="B127" i="4"/>
  <c r="G127" i="4" s="1"/>
  <c r="B128" i="4"/>
  <c r="G128" i="4" s="1"/>
  <c r="B129" i="4"/>
  <c r="B130" i="4"/>
  <c r="G130" i="4" s="1"/>
  <c r="B131" i="4"/>
  <c r="G131" i="4" s="1"/>
  <c r="B132" i="4"/>
  <c r="G132" i="4" s="1"/>
  <c r="B133" i="4"/>
  <c r="G133" i="4" s="1"/>
  <c r="B134" i="4"/>
  <c r="G134" i="4" s="1"/>
  <c r="B135" i="4"/>
  <c r="G135" i="4" s="1"/>
  <c r="B136" i="4"/>
  <c r="G136" i="4" s="1"/>
  <c r="B137" i="4"/>
  <c r="G137" i="4" s="1"/>
  <c r="B138" i="4"/>
  <c r="G138" i="4" s="1"/>
  <c r="B139" i="4"/>
  <c r="G139" i="4" s="1"/>
  <c r="B140" i="4"/>
  <c r="G140" i="4" s="1"/>
  <c r="B141" i="4"/>
  <c r="G141" i="4" s="1"/>
  <c r="B142" i="4"/>
  <c r="G142" i="4" s="1"/>
  <c r="B143" i="4"/>
  <c r="G143" i="4" s="1"/>
  <c r="B144" i="4"/>
  <c r="G144" i="4" s="1"/>
  <c r="B145" i="4"/>
  <c r="G145" i="4" s="1"/>
  <c r="B146" i="4"/>
  <c r="G146" i="4" s="1"/>
  <c r="B147" i="4"/>
  <c r="G147" i="4" s="1"/>
  <c r="B148" i="4"/>
  <c r="G148" i="4" s="1"/>
  <c r="B149" i="4"/>
  <c r="G149" i="4" s="1"/>
  <c r="B150" i="4"/>
  <c r="G150" i="4" s="1"/>
  <c r="B151" i="4"/>
  <c r="G151" i="4" s="1"/>
  <c r="B152" i="4"/>
  <c r="G152" i="4" s="1"/>
  <c r="B153" i="4"/>
  <c r="G153" i="4" s="1"/>
  <c r="B154" i="4"/>
  <c r="G154" i="4" s="1"/>
  <c r="B155" i="4"/>
  <c r="G155" i="4" s="1"/>
  <c r="B156" i="4"/>
  <c r="G156" i="4" s="1"/>
  <c r="B157" i="4"/>
  <c r="G157" i="4" s="1"/>
  <c r="B158" i="4"/>
  <c r="G158" i="4" s="1"/>
  <c r="B159" i="4"/>
  <c r="G159" i="4" s="1"/>
  <c r="B160" i="4"/>
  <c r="G160" i="4" s="1"/>
  <c r="B161" i="4"/>
  <c r="G161" i="4" s="1"/>
  <c r="B162" i="4"/>
  <c r="G162" i="4" s="1"/>
  <c r="B163" i="4"/>
  <c r="G163" i="4" s="1"/>
  <c r="B164" i="4"/>
  <c r="G164" i="4" s="1"/>
  <c r="B165" i="4"/>
  <c r="B166" i="4"/>
  <c r="G166" i="4" s="1"/>
  <c r="B167" i="4"/>
  <c r="G167" i="4" s="1"/>
  <c r="B168" i="4"/>
  <c r="G168" i="4" s="1"/>
  <c r="B169" i="4"/>
  <c r="B170" i="4"/>
  <c r="G170" i="4" s="1"/>
  <c r="B171" i="4"/>
  <c r="G171" i="4" s="1"/>
  <c r="B172" i="4"/>
  <c r="G172" i="4" s="1"/>
  <c r="B173" i="4"/>
  <c r="G173" i="4" s="1"/>
  <c r="B174" i="4"/>
  <c r="G174" i="4" s="1"/>
  <c r="B175" i="4"/>
  <c r="G175" i="4" s="1"/>
  <c r="B176" i="4"/>
  <c r="G176" i="4" s="1"/>
  <c r="B177" i="4"/>
  <c r="G177" i="4" s="1"/>
  <c r="B178" i="4"/>
  <c r="G178" i="4" s="1"/>
  <c r="B179" i="4"/>
  <c r="G179" i="4" s="1"/>
  <c r="B180" i="4"/>
  <c r="G180" i="4" s="1"/>
  <c r="B181" i="4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8" i="4"/>
  <c r="G188" i="4" s="1"/>
  <c r="B189" i="4"/>
  <c r="G189" i="4" s="1"/>
  <c r="B190" i="4"/>
  <c r="G190" i="4" s="1"/>
  <c r="B20" i="4"/>
  <c r="G20" i="4" s="1"/>
  <c r="C12" i="4"/>
  <c r="C14" i="4" s="1"/>
  <c r="C16" i="4" s="1"/>
  <c r="D9" i="4"/>
  <c r="D10" i="4" s="1"/>
  <c r="D11" i="4" s="1"/>
  <c r="C10" i="4"/>
  <c r="C11" i="4" s="1"/>
  <c r="P200" i="3"/>
  <c r="D26" i="3"/>
  <c r="N200" i="3"/>
  <c r="D25" i="3"/>
  <c r="C21" i="3"/>
  <c r="L200" i="3"/>
  <c r="D24" i="3"/>
  <c r="F200" i="3"/>
  <c r="G200" i="3" s="1"/>
  <c r="C25" i="3"/>
  <c r="P199" i="3"/>
  <c r="Q199" i="3" s="1"/>
  <c r="N199" i="3"/>
  <c r="L199" i="3"/>
  <c r="F199" i="3"/>
  <c r="G199" i="3" s="1"/>
  <c r="P198" i="3"/>
  <c r="N198" i="3"/>
  <c r="L198" i="3"/>
  <c r="F198" i="3"/>
  <c r="G198" i="3" s="1"/>
  <c r="P197" i="3"/>
  <c r="N197" i="3"/>
  <c r="O197" i="3"/>
  <c r="L197" i="3"/>
  <c r="F197" i="3"/>
  <c r="G197" i="3" s="1"/>
  <c r="P196" i="3"/>
  <c r="N196" i="3"/>
  <c r="L196" i="3"/>
  <c r="F196" i="3"/>
  <c r="G196" i="3" s="1"/>
  <c r="P195" i="3"/>
  <c r="Q195" i="3"/>
  <c r="N195" i="3"/>
  <c r="L195" i="3"/>
  <c r="F195" i="3"/>
  <c r="G195" i="3" s="1"/>
  <c r="P194" i="3"/>
  <c r="Q194" i="3" s="1"/>
  <c r="N194" i="3"/>
  <c r="L194" i="3"/>
  <c r="F194" i="3"/>
  <c r="G194" i="3"/>
  <c r="P192" i="3"/>
  <c r="N192" i="3"/>
  <c r="L192" i="3"/>
  <c r="M192" i="3" s="1"/>
  <c r="F192" i="3"/>
  <c r="G192" i="3"/>
  <c r="P191" i="3"/>
  <c r="N191" i="3"/>
  <c r="L191" i="3"/>
  <c r="M191" i="3" s="1"/>
  <c r="F191" i="3"/>
  <c r="G191" i="3" s="1"/>
  <c r="P190" i="3"/>
  <c r="N190" i="3"/>
  <c r="L190" i="3"/>
  <c r="M190" i="3" s="1"/>
  <c r="F190" i="3"/>
  <c r="G190" i="3"/>
  <c r="P189" i="3"/>
  <c r="N189" i="3"/>
  <c r="L189" i="3"/>
  <c r="M189" i="3" s="1"/>
  <c r="F189" i="3"/>
  <c r="G189" i="3" s="1"/>
  <c r="P188" i="3"/>
  <c r="N188" i="3"/>
  <c r="L188" i="3"/>
  <c r="M188" i="3" s="1"/>
  <c r="F188" i="3"/>
  <c r="G188" i="3"/>
  <c r="P187" i="3"/>
  <c r="N187" i="3"/>
  <c r="L187" i="3"/>
  <c r="M187" i="3" s="1"/>
  <c r="F187" i="3"/>
  <c r="G187" i="3" s="1"/>
  <c r="P186" i="3"/>
  <c r="N186" i="3"/>
  <c r="L186" i="3"/>
  <c r="M186" i="3" s="1"/>
  <c r="F186" i="3"/>
  <c r="G186" i="3"/>
  <c r="P184" i="3"/>
  <c r="N184" i="3"/>
  <c r="L184" i="3"/>
  <c r="M184" i="3" s="1"/>
  <c r="F184" i="3"/>
  <c r="G184" i="3"/>
  <c r="P183" i="3"/>
  <c r="N183" i="3"/>
  <c r="L183" i="3"/>
  <c r="M183" i="3" s="1"/>
  <c r="F183" i="3"/>
  <c r="G183" i="3" s="1"/>
  <c r="P182" i="3"/>
  <c r="Q182" i="3" s="1"/>
  <c r="N182" i="3"/>
  <c r="L182" i="3"/>
  <c r="M182" i="3" s="1"/>
  <c r="F182" i="3"/>
  <c r="G182" i="3"/>
  <c r="P181" i="3"/>
  <c r="Q181" i="3" s="1"/>
  <c r="N181" i="3"/>
  <c r="L181" i="3"/>
  <c r="M181" i="3" s="1"/>
  <c r="F181" i="3"/>
  <c r="G181" i="3" s="1"/>
  <c r="P180" i="3"/>
  <c r="Q180" i="3" s="1"/>
  <c r="N180" i="3"/>
  <c r="L180" i="3"/>
  <c r="M180" i="3" s="1"/>
  <c r="F180" i="3"/>
  <c r="G180" i="3"/>
  <c r="P179" i="3"/>
  <c r="Q179" i="3" s="1"/>
  <c r="N179" i="3"/>
  <c r="L179" i="3"/>
  <c r="M179" i="3" s="1"/>
  <c r="F179" i="3"/>
  <c r="G179" i="3" s="1"/>
  <c r="P178" i="3"/>
  <c r="Q178" i="3" s="1"/>
  <c r="N178" i="3"/>
  <c r="L178" i="3"/>
  <c r="M178" i="3" s="1"/>
  <c r="F178" i="3"/>
  <c r="G178" i="3"/>
  <c r="P176" i="3"/>
  <c r="Q176" i="3" s="1"/>
  <c r="N176" i="3"/>
  <c r="L176" i="3"/>
  <c r="M176" i="3" s="1"/>
  <c r="F176" i="3"/>
  <c r="G176" i="3"/>
  <c r="P175" i="3"/>
  <c r="Q175" i="3" s="1"/>
  <c r="N175" i="3"/>
  <c r="L175" i="3"/>
  <c r="M175" i="3" s="1"/>
  <c r="F175" i="3"/>
  <c r="G175" i="3" s="1"/>
  <c r="P174" i="3"/>
  <c r="Q174" i="3" s="1"/>
  <c r="N174" i="3"/>
  <c r="L174" i="3"/>
  <c r="M174" i="3" s="1"/>
  <c r="F174" i="3"/>
  <c r="G174" i="3"/>
  <c r="P173" i="3"/>
  <c r="Q173" i="3" s="1"/>
  <c r="N173" i="3"/>
  <c r="L173" i="3"/>
  <c r="M173" i="3" s="1"/>
  <c r="F173" i="3"/>
  <c r="G173" i="3" s="1"/>
  <c r="P172" i="3"/>
  <c r="Q172" i="3" s="1"/>
  <c r="N172" i="3"/>
  <c r="L172" i="3"/>
  <c r="M172" i="3" s="1"/>
  <c r="F172" i="3"/>
  <c r="G172" i="3"/>
  <c r="P171" i="3"/>
  <c r="Q171" i="3" s="1"/>
  <c r="N171" i="3"/>
  <c r="L171" i="3"/>
  <c r="M171" i="3" s="1"/>
  <c r="F171" i="3"/>
  <c r="G171" i="3" s="1"/>
  <c r="P170" i="3"/>
  <c r="Q170" i="3" s="1"/>
  <c r="N170" i="3"/>
  <c r="L170" i="3"/>
  <c r="M170" i="3" s="1"/>
  <c r="F170" i="3"/>
  <c r="G170" i="3"/>
  <c r="P168" i="3"/>
  <c r="Q168" i="3" s="1"/>
  <c r="N168" i="3"/>
  <c r="L168" i="3"/>
  <c r="M168" i="3" s="1"/>
  <c r="F168" i="3"/>
  <c r="G168" i="3"/>
  <c r="P167" i="3"/>
  <c r="Q167" i="3" s="1"/>
  <c r="N167" i="3"/>
  <c r="L167" i="3"/>
  <c r="M167" i="3" s="1"/>
  <c r="F167" i="3"/>
  <c r="G167" i="3" s="1"/>
  <c r="P166" i="3"/>
  <c r="Q166" i="3" s="1"/>
  <c r="N166" i="3"/>
  <c r="L166" i="3"/>
  <c r="M166" i="3"/>
  <c r="F166" i="3"/>
  <c r="G166" i="3" s="1"/>
  <c r="P165" i="3"/>
  <c r="Q165" i="3" s="1"/>
  <c r="N165" i="3"/>
  <c r="L165" i="3"/>
  <c r="M165" i="3" s="1"/>
  <c r="F165" i="3"/>
  <c r="G165" i="3" s="1"/>
  <c r="P163" i="3"/>
  <c r="Q163" i="3" s="1"/>
  <c r="N163" i="3"/>
  <c r="L163" i="3"/>
  <c r="M163" i="3"/>
  <c r="F163" i="3"/>
  <c r="G163" i="3" s="1"/>
  <c r="L162" i="3"/>
  <c r="M162" i="3" s="1"/>
  <c r="P161" i="3"/>
  <c r="Q161" i="3" s="1"/>
  <c r="N161" i="3"/>
  <c r="L161" i="3"/>
  <c r="M161" i="3"/>
  <c r="F161" i="3"/>
  <c r="G161" i="3" s="1"/>
  <c r="P160" i="3"/>
  <c r="Q160" i="3" s="1"/>
  <c r="N160" i="3"/>
  <c r="L160" i="3"/>
  <c r="M160" i="3" s="1"/>
  <c r="F160" i="3"/>
  <c r="G160" i="3" s="1"/>
  <c r="P159" i="3"/>
  <c r="Q159" i="3" s="1"/>
  <c r="N159" i="3"/>
  <c r="L159" i="3"/>
  <c r="M159" i="3"/>
  <c r="F159" i="3"/>
  <c r="G159" i="3" s="1"/>
  <c r="P158" i="3"/>
  <c r="Q158" i="3" s="1"/>
  <c r="N158" i="3"/>
  <c r="L158" i="3"/>
  <c r="M158" i="3" s="1"/>
  <c r="F158" i="3"/>
  <c r="G158" i="3" s="1"/>
  <c r="P157" i="3"/>
  <c r="Q157" i="3" s="1"/>
  <c r="N157" i="3"/>
  <c r="L157" i="3"/>
  <c r="M157" i="3"/>
  <c r="F157" i="3"/>
  <c r="G157" i="3" s="1"/>
  <c r="P156" i="3"/>
  <c r="Q156" i="3" s="1"/>
  <c r="N156" i="3"/>
  <c r="L156" i="3"/>
  <c r="M156" i="3" s="1"/>
  <c r="F156" i="3"/>
  <c r="G156" i="3" s="1"/>
  <c r="P154" i="3"/>
  <c r="Q154" i="3" s="1"/>
  <c r="N154" i="3"/>
  <c r="L154" i="3"/>
  <c r="M154" i="3" s="1"/>
  <c r="F154" i="3"/>
  <c r="G154" i="3" s="1"/>
  <c r="P153" i="3"/>
  <c r="Q153" i="3" s="1"/>
  <c r="N153" i="3"/>
  <c r="L153" i="3"/>
  <c r="M153" i="3"/>
  <c r="F153" i="3"/>
  <c r="G153" i="3" s="1"/>
  <c r="P152" i="3"/>
  <c r="Q152" i="3" s="1"/>
  <c r="N152" i="3"/>
  <c r="L152" i="3"/>
  <c r="M152" i="3" s="1"/>
  <c r="F152" i="3"/>
  <c r="G152" i="3" s="1"/>
  <c r="P151" i="3"/>
  <c r="Q151" i="3" s="1"/>
  <c r="N151" i="3"/>
  <c r="L151" i="3"/>
  <c r="M151" i="3"/>
  <c r="F151" i="3"/>
  <c r="G151" i="3" s="1"/>
  <c r="P150" i="3"/>
  <c r="Q150" i="3" s="1"/>
  <c r="N150" i="3"/>
  <c r="L150" i="3"/>
  <c r="M150" i="3" s="1"/>
  <c r="F150" i="3"/>
  <c r="G150" i="3" s="1"/>
  <c r="P149" i="3"/>
  <c r="Q149" i="3" s="1"/>
  <c r="N149" i="3"/>
  <c r="L149" i="3"/>
  <c r="M149" i="3"/>
  <c r="F149" i="3"/>
  <c r="G149" i="3" s="1"/>
  <c r="P148" i="3"/>
  <c r="Q148" i="3" s="1"/>
  <c r="N148" i="3"/>
  <c r="L148" i="3"/>
  <c r="M148" i="3" s="1"/>
  <c r="F148" i="3"/>
  <c r="G148" i="3" s="1"/>
  <c r="P146" i="3"/>
  <c r="Q146" i="3" s="1"/>
  <c r="N146" i="3"/>
  <c r="L146" i="3"/>
  <c r="M146" i="3" s="1"/>
  <c r="F146" i="3"/>
  <c r="G146" i="3" s="1"/>
  <c r="P145" i="3"/>
  <c r="Q145" i="3" s="1"/>
  <c r="N145" i="3"/>
  <c r="L145" i="3"/>
  <c r="M145" i="3"/>
  <c r="F145" i="3"/>
  <c r="G145" i="3" s="1"/>
  <c r="P144" i="3"/>
  <c r="Q144" i="3" s="1"/>
  <c r="N144" i="3"/>
  <c r="L144" i="3"/>
  <c r="M144" i="3" s="1"/>
  <c r="F144" i="3"/>
  <c r="G144" i="3" s="1"/>
  <c r="P143" i="3"/>
  <c r="Q143" i="3" s="1"/>
  <c r="N143" i="3"/>
  <c r="L143" i="3"/>
  <c r="M143" i="3"/>
  <c r="F143" i="3"/>
  <c r="G143" i="3" s="1"/>
  <c r="P142" i="3"/>
  <c r="Q142" i="3" s="1"/>
  <c r="N142" i="3"/>
  <c r="L142" i="3"/>
  <c r="M142" i="3" s="1"/>
  <c r="F142" i="3"/>
  <c r="G142" i="3" s="1"/>
  <c r="P141" i="3"/>
  <c r="Q141" i="3" s="1"/>
  <c r="N141" i="3"/>
  <c r="O141" i="3" s="1"/>
  <c r="L141" i="3"/>
  <c r="M141" i="3"/>
  <c r="F141" i="3"/>
  <c r="G141" i="3" s="1"/>
  <c r="P140" i="3"/>
  <c r="Q140" i="3" s="1"/>
  <c r="N140" i="3"/>
  <c r="L140" i="3"/>
  <c r="M140" i="3" s="1"/>
  <c r="F140" i="3"/>
  <c r="G140" i="3" s="1"/>
  <c r="P138" i="3"/>
  <c r="Q138" i="3" s="1"/>
  <c r="N138" i="3"/>
  <c r="L138" i="3"/>
  <c r="M138" i="3"/>
  <c r="F138" i="3"/>
  <c r="G138" i="3" s="1"/>
  <c r="P137" i="3"/>
  <c r="Q137" i="3" s="1"/>
  <c r="N137" i="3"/>
  <c r="L137" i="3"/>
  <c r="M137" i="3" s="1"/>
  <c r="F137" i="3"/>
  <c r="G137" i="3" s="1"/>
  <c r="P136" i="3"/>
  <c r="Q136" i="3" s="1"/>
  <c r="N136" i="3"/>
  <c r="L136" i="3"/>
  <c r="M136" i="3" s="1"/>
  <c r="F136" i="3"/>
  <c r="G136" i="3" s="1"/>
  <c r="P135" i="3"/>
  <c r="Q135" i="3" s="1"/>
  <c r="N135" i="3"/>
  <c r="L135" i="3"/>
  <c r="M135" i="3" s="1"/>
  <c r="F135" i="3"/>
  <c r="G135" i="3" s="1"/>
  <c r="P134" i="3"/>
  <c r="Q134" i="3" s="1"/>
  <c r="N134" i="3"/>
  <c r="L134" i="3"/>
  <c r="M134" i="3"/>
  <c r="F134" i="3"/>
  <c r="G134" i="3" s="1"/>
  <c r="P133" i="3"/>
  <c r="Q133" i="3" s="1"/>
  <c r="N133" i="3"/>
  <c r="L133" i="3"/>
  <c r="M133" i="3" s="1"/>
  <c r="F133" i="3"/>
  <c r="G133" i="3" s="1"/>
  <c r="P132" i="3"/>
  <c r="Q132" i="3" s="1"/>
  <c r="N132" i="3"/>
  <c r="L132" i="3"/>
  <c r="M132" i="3" s="1"/>
  <c r="F132" i="3"/>
  <c r="G132" i="3" s="1"/>
  <c r="F131" i="3"/>
  <c r="G131" i="3" s="1"/>
  <c r="P130" i="3"/>
  <c r="Q130" i="3" s="1"/>
  <c r="N130" i="3"/>
  <c r="L130" i="3"/>
  <c r="M130" i="3"/>
  <c r="F130" i="3"/>
  <c r="G130" i="3" s="1"/>
  <c r="P129" i="3"/>
  <c r="Q129" i="3" s="1"/>
  <c r="N129" i="3"/>
  <c r="L129" i="3"/>
  <c r="M129" i="3" s="1"/>
  <c r="F129" i="3"/>
  <c r="G129" i="3" s="1"/>
  <c r="P128" i="3"/>
  <c r="Q128" i="3" s="1"/>
  <c r="N128" i="3"/>
  <c r="L128" i="3"/>
  <c r="M128" i="3" s="1"/>
  <c r="F128" i="3"/>
  <c r="G128" i="3" s="1"/>
  <c r="P127" i="3"/>
  <c r="Q127" i="3" s="1"/>
  <c r="N127" i="3"/>
  <c r="O127" i="3" s="1"/>
  <c r="L127" i="3"/>
  <c r="M127" i="3" s="1"/>
  <c r="F127" i="3"/>
  <c r="G127" i="3" s="1"/>
  <c r="P126" i="3"/>
  <c r="Q126" i="3" s="1"/>
  <c r="N126" i="3"/>
  <c r="L126" i="3"/>
  <c r="M126" i="3"/>
  <c r="F126" i="3"/>
  <c r="G126" i="3" s="1"/>
  <c r="P125" i="3"/>
  <c r="Q125" i="3" s="1"/>
  <c r="N125" i="3"/>
  <c r="L125" i="3"/>
  <c r="M125" i="3" s="1"/>
  <c r="F125" i="3"/>
  <c r="G125" i="3" s="1"/>
  <c r="P124" i="3"/>
  <c r="Q124" i="3" s="1"/>
  <c r="N124" i="3"/>
  <c r="L124" i="3"/>
  <c r="M124" i="3" s="1"/>
  <c r="F124" i="3"/>
  <c r="G124" i="3" s="1"/>
  <c r="P122" i="3"/>
  <c r="Q122" i="3" s="1"/>
  <c r="N122" i="3"/>
  <c r="L122" i="3"/>
  <c r="M122" i="3"/>
  <c r="F122" i="3"/>
  <c r="G122" i="3" s="1"/>
  <c r="P121" i="3"/>
  <c r="Q121" i="3" s="1"/>
  <c r="N121" i="3"/>
  <c r="L121" i="3"/>
  <c r="M121" i="3" s="1"/>
  <c r="F121" i="3"/>
  <c r="G121" i="3" s="1"/>
  <c r="P120" i="3"/>
  <c r="Q120" i="3" s="1"/>
  <c r="N120" i="3"/>
  <c r="L120" i="3"/>
  <c r="M120" i="3" s="1"/>
  <c r="F120" i="3"/>
  <c r="G120" i="3" s="1"/>
  <c r="P119" i="3"/>
  <c r="Q119" i="3" s="1"/>
  <c r="N119" i="3"/>
  <c r="L119" i="3"/>
  <c r="M119" i="3" s="1"/>
  <c r="F119" i="3"/>
  <c r="G119" i="3" s="1"/>
  <c r="P118" i="3"/>
  <c r="Q118" i="3" s="1"/>
  <c r="N118" i="3"/>
  <c r="O118" i="3" s="1"/>
  <c r="L118" i="3"/>
  <c r="M118" i="3"/>
  <c r="F118" i="3"/>
  <c r="G118" i="3" s="1"/>
  <c r="P117" i="3"/>
  <c r="Q117" i="3" s="1"/>
  <c r="N117" i="3"/>
  <c r="L117" i="3"/>
  <c r="M117" i="3" s="1"/>
  <c r="F117" i="3"/>
  <c r="G117" i="3" s="1"/>
  <c r="P116" i="3"/>
  <c r="Q116" i="3" s="1"/>
  <c r="N116" i="3"/>
  <c r="L116" i="3"/>
  <c r="M116" i="3" s="1"/>
  <c r="F116" i="3"/>
  <c r="G116" i="3" s="1"/>
  <c r="F115" i="3"/>
  <c r="G115" i="3" s="1"/>
  <c r="P114" i="3"/>
  <c r="Q114" i="3" s="1"/>
  <c r="N114" i="3"/>
  <c r="L114" i="3"/>
  <c r="M114" i="3"/>
  <c r="F114" i="3"/>
  <c r="G114" i="3" s="1"/>
  <c r="P113" i="3"/>
  <c r="Q113" i="3" s="1"/>
  <c r="N113" i="3"/>
  <c r="L113" i="3"/>
  <c r="M113" i="3" s="1"/>
  <c r="F113" i="3"/>
  <c r="G113" i="3" s="1"/>
  <c r="P112" i="3"/>
  <c r="Q112" i="3" s="1"/>
  <c r="N112" i="3"/>
  <c r="L112" i="3"/>
  <c r="M112" i="3" s="1"/>
  <c r="F112" i="3"/>
  <c r="G112" i="3" s="1"/>
  <c r="P111" i="3"/>
  <c r="Q111" i="3" s="1"/>
  <c r="N111" i="3"/>
  <c r="L111" i="3"/>
  <c r="M111" i="3" s="1"/>
  <c r="F111" i="3"/>
  <c r="G111" i="3" s="1"/>
  <c r="P110" i="3"/>
  <c r="Q110" i="3" s="1"/>
  <c r="N110" i="3"/>
  <c r="L110" i="3"/>
  <c r="M110" i="3"/>
  <c r="F110" i="3"/>
  <c r="G110" i="3" s="1"/>
  <c r="P109" i="3"/>
  <c r="Q109" i="3" s="1"/>
  <c r="N109" i="3"/>
  <c r="L109" i="3"/>
  <c r="M109" i="3" s="1"/>
  <c r="F109" i="3"/>
  <c r="G109" i="3" s="1"/>
  <c r="P108" i="3"/>
  <c r="Q108" i="3" s="1"/>
  <c r="N108" i="3"/>
  <c r="L108" i="3"/>
  <c r="M108" i="3" s="1"/>
  <c r="F108" i="3"/>
  <c r="G108" i="3" s="1"/>
  <c r="P106" i="3"/>
  <c r="Q106" i="3" s="1"/>
  <c r="N106" i="3"/>
  <c r="L106" i="3"/>
  <c r="M106" i="3"/>
  <c r="F106" i="3"/>
  <c r="G106" i="3" s="1"/>
  <c r="P105" i="3"/>
  <c r="Q105" i="3" s="1"/>
  <c r="N105" i="3"/>
  <c r="L105" i="3"/>
  <c r="M105" i="3" s="1"/>
  <c r="F105" i="3"/>
  <c r="G105" i="3" s="1"/>
  <c r="P104" i="3"/>
  <c r="Q104" i="3" s="1"/>
  <c r="N104" i="3"/>
  <c r="L104" i="3"/>
  <c r="M104" i="3" s="1"/>
  <c r="F104" i="3"/>
  <c r="G104" i="3" s="1"/>
  <c r="P103" i="3"/>
  <c r="Q103" i="3" s="1"/>
  <c r="N103" i="3"/>
  <c r="L103" i="3"/>
  <c r="M103" i="3" s="1"/>
  <c r="F103" i="3"/>
  <c r="G103" i="3" s="1"/>
  <c r="P102" i="3"/>
  <c r="Q102" i="3" s="1"/>
  <c r="N102" i="3"/>
  <c r="L102" i="3"/>
  <c r="M102" i="3"/>
  <c r="F102" i="3"/>
  <c r="G102" i="3" s="1"/>
  <c r="P101" i="3"/>
  <c r="Q101" i="3" s="1"/>
  <c r="N101" i="3"/>
  <c r="L101" i="3"/>
  <c r="M101" i="3" s="1"/>
  <c r="F101" i="3"/>
  <c r="G101" i="3" s="1"/>
  <c r="P100" i="3"/>
  <c r="Q100" i="3" s="1"/>
  <c r="N100" i="3"/>
  <c r="L100" i="3"/>
  <c r="M100" i="3" s="1"/>
  <c r="F100" i="3"/>
  <c r="G100" i="3" s="1"/>
  <c r="F99" i="3"/>
  <c r="G99" i="3" s="1"/>
  <c r="P98" i="3"/>
  <c r="Q98" i="3" s="1"/>
  <c r="N98" i="3"/>
  <c r="L98" i="3"/>
  <c r="M98" i="3"/>
  <c r="F98" i="3"/>
  <c r="G98" i="3" s="1"/>
  <c r="P97" i="3"/>
  <c r="Q97" i="3" s="1"/>
  <c r="N97" i="3"/>
  <c r="L97" i="3"/>
  <c r="M97" i="3" s="1"/>
  <c r="F97" i="3"/>
  <c r="G97" i="3" s="1"/>
  <c r="P96" i="3"/>
  <c r="Q96" i="3" s="1"/>
  <c r="N96" i="3"/>
  <c r="L96" i="3"/>
  <c r="M96" i="3" s="1"/>
  <c r="F96" i="3"/>
  <c r="G96" i="3" s="1"/>
  <c r="P95" i="3"/>
  <c r="Q95" i="3" s="1"/>
  <c r="N95" i="3"/>
  <c r="O95" i="3" s="1"/>
  <c r="L95" i="3"/>
  <c r="M95" i="3" s="1"/>
  <c r="F95" i="3"/>
  <c r="G95" i="3" s="1"/>
  <c r="P94" i="3"/>
  <c r="Q94" i="3" s="1"/>
  <c r="N94" i="3"/>
  <c r="L94" i="3"/>
  <c r="M94" i="3"/>
  <c r="F94" i="3"/>
  <c r="G94" i="3" s="1"/>
  <c r="P93" i="3"/>
  <c r="Q93" i="3" s="1"/>
  <c r="N93" i="3"/>
  <c r="L93" i="3"/>
  <c r="M93" i="3" s="1"/>
  <c r="F93" i="3"/>
  <c r="G93" i="3" s="1"/>
  <c r="P92" i="3"/>
  <c r="Q92" i="3" s="1"/>
  <c r="N92" i="3"/>
  <c r="L92" i="3"/>
  <c r="M92" i="3" s="1"/>
  <c r="F92" i="3"/>
  <c r="G92" i="3" s="1"/>
  <c r="P90" i="3"/>
  <c r="Q90" i="3" s="1"/>
  <c r="N90" i="3"/>
  <c r="L90" i="3"/>
  <c r="M90" i="3"/>
  <c r="F90" i="3"/>
  <c r="G90" i="3" s="1"/>
  <c r="P89" i="3"/>
  <c r="Q89" i="3" s="1"/>
  <c r="N89" i="3"/>
  <c r="L89" i="3"/>
  <c r="M89" i="3" s="1"/>
  <c r="F89" i="3"/>
  <c r="G89" i="3" s="1"/>
  <c r="P88" i="3"/>
  <c r="Q88" i="3" s="1"/>
  <c r="N88" i="3"/>
  <c r="L88" i="3"/>
  <c r="M88" i="3" s="1"/>
  <c r="F88" i="3"/>
  <c r="G88" i="3" s="1"/>
  <c r="P87" i="3"/>
  <c r="Q87" i="3" s="1"/>
  <c r="N87" i="3"/>
  <c r="L87" i="3"/>
  <c r="M87" i="3" s="1"/>
  <c r="F87" i="3"/>
  <c r="G87" i="3" s="1"/>
  <c r="P86" i="3"/>
  <c r="Q86" i="3" s="1"/>
  <c r="N86" i="3"/>
  <c r="L86" i="3"/>
  <c r="M86" i="3"/>
  <c r="F86" i="3"/>
  <c r="G86" i="3" s="1"/>
  <c r="P85" i="3"/>
  <c r="Q85" i="3" s="1"/>
  <c r="N85" i="3"/>
  <c r="L85" i="3"/>
  <c r="M85" i="3" s="1"/>
  <c r="F85" i="3"/>
  <c r="G85" i="3" s="1"/>
  <c r="P84" i="3"/>
  <c r="Q84" i="3" s="1"/>
  <c r="N84" i="3"/>
  <c r="L84" i="3"/>
  <c r="M84" i="3" s="1"/>
  <c r="F84" i="3"/>
  <c r="G84" i="3" s="1"/>
  <c r="F83" i="3"/>
  <c r="G83" i="3" s="1"/>
  <c r="P82" i="3"/>
  <c r="Q82" i="3" s="1"/>
  <c r="N82" i="3"/>
  <c r="L82" i="3"/>
  <c r="M82" i="3"/>
  <c r="F82" i="3"/>
  <c r="G82" i="3" s="1"/>
  <c r="P81" i="3"/>
  <c r="Q81" i="3" s="1"/>
  <c r="N81" i="3"/>
  <c r="L81" i="3"/>
  <c r="M81" i="3" s="1"/>
  <c r="F81" i="3"/>
  <c r="G81" i="3" s="1"/>
  <c r="P80" i="3"/>
  <c r="Q80" i="3" s="1"/>
  <c r="N80" i="3"/>
  <c r="L80" i="3"/>
  <c r="M80" i="3" s="1"/>
  <c r="F80" i="3"/>
  <c r="G80" i="3" s="1"/>
  <c r="P79" i="3"/>
  <c r="Q79" i="3" s="1"/>
  <c r="N79" i="3"/>
  <c r="L79" i="3"/>
  <c r="M79" i="3" s="1"/>
  <c r="F79" i="3"/>
  <c r="G79" i="3" s="1"/>
  <c r="P78" i="3"/>
  <c r="Q78" i="3" s="1"/>
  <c r="N78" i="3"/>
  <c r="L78" i="3"/>
  <c r="M78" i="3" s="1"/>
  <c r="F78" i="3"/>
  <c r="G78" i="3" s="1"/>
  <c r="P77" i="3"/>
  <c r="Q77" i="3" s="1"/>
  <c r="N77" i="3"/>
  <c r="L77" i="3"/>
  <c r="M77" i="3" s="1"/>
  <c r="F77" i="3"/>
  <c r="G77" i="3" s="1"/>
  <c r="P76" i="3"/>
  <c r="Q76" i="3" s="1"/>
  <c r="N76" i="3"/>
  <c r="L76" i="3"/>
  <c r="M76" i="3" s="1"/>
  <c r="F76" i="3"/>
  <c r="G76" i="3" s="1"/>
  <c r="N75" i="3"/>
  <c r="P74" i="3"/>
  <c r="Q74" i="3"/>
  <c r="N74" i="3"/>
  <c r="L74" i="3"/>
  <c r="M74" i="3" s="1"/>
  <c r="F74" i="3"/>
  <c r="G74" i="3" s="1"/>
  <c r="P73" i="3"/>
  <c r="Q73" i="3" s="1"/>
  <c r="N73" i="3"/>
  <c r="L73" i="3"/>
  <c r="M73" i="3" s="1"/>
  <c r="F73" i="3"/>
  <c r="G73" i="3" s="1"/>
  <c r="P72" i="3"/>
  <c r="Q72" i="3"/>
  <c r="N72" i="3"/>
  <c r="L72" i="3"/>
  <c r="M72" i="3" s="1"/>
  <c r="F72" i="3"/>
  <c r="G72" i="3" s="1"/>
  <c r="P71" i="3"/>
  <c r="Q71" i="3" s="1"/>
  <c r="N71" i="3"/>
  <c r="L71" i="3"/>
  <c r="M71" i="3" s="1"/>
  <c r="F71" i="3"/>
  <c r="G71" i="3" s="1"/>
  <c r="P70" i="3"/>
  <c r="Q70" i="3"/>
  <c r="N70" i="3"/>
  <c r="L70" i="3"/>
  <c r="M70" i="3" s="1"/>
  <c r="F70" i="3"/>
  <c r="G70" i="3" s="1"/>
  <c r="P69" i="3"/>
  <c r="Q69" i="3" s="1"/>
  <c r="N69" i="3"/>
  <c r="L69" i="3"/>
  <c r="M69" i="3" s="1"/>
  <c r="F69" i="3"/>
  <c r="G69" i="3"/>
  <c r="P68" i="3"/>
  <c r="Q68" i="3" s="1"/>
  <c r="N68" i="3"/>
  <c r="O68" i="3" s="1"/>
  <c r="L68" i="3"/>
  <c r="M68" i="3" s="1"/>
  <c r="F68" i="3"/>
  <c r="G68" i="3"/>
  <c r="P66" i="3"/>
  <c r="Q66" i="3" s="1"/>
  <c r="N66" i="3"/>
  <c r="O66" i="3" s="1"/>
  <c r="L66" i="3"/>
  <c r="M66" i="3" s="1"/>
  <c r="F66" i="3"/>
  <c r="G66" i="3"/>
  <c r="P65" i="3"/>
  <c r="Q65" i="3" s="1"/>
  <c r="N65" i="3"/>
  <c r="L65" i="3"/>
  <c r="M65" i="3" s="1"/>
  <c r="F65" i="3"/>
  <c r="G65" i="3"/>
  <c r="P64" i="3"/>
  <c r="Q64" i="3" s="1"/>
  <c r="N64" i="3"/>
  <c r="O64" i="3" s="1"/>
  <c r="L64" i="3"/>
  <c r="M64" i="3" s="1"/>
  <c r="F64" i="3"/>
  <c r="G64" i="3"/>
  <c r="P63" i="3"/>
  <c r="Q63" i="3" s="1"/>
  <c r="N63" i="3"/>
  <c r="O63" i="3" s="1"/>
  <c r="L63" i="3"/>
  <c r="M63" i="3" s="1"/>
  <c r="F63" i="3"/>
  <c r="G63" i="3"/>
  <c r="P62" i="3"/>
  <c r="Q62" i="3" s="1"/>
  <c r="N62" i="3"/>
  <c r="L62" i="3"/>
  <c r="M62" i="3" s="1"/>
  <c r="F62" i="3"/>
  <c r="G62" i="3"/>
  <c r="P61" i="3"/>
  <c r="Q61" i="3" s="1"/>
  <c r="N61" i="3"/>
  <c r="O61" i="3" s="1"/>
  <c r="L61" i="3"/>
  <c r="M61" i="3" s="1"/>
  <c r="F61" i="3"/>
  <c r="G61" i="3"/>
  <c r="P60" i="3"/>
  <c r="Q60" i="3" s="1"/>
  <c r="N60" i="3"/>
  <c r="O60" i="3" s="1"/>
  <c r="L60" i="3"/>
  <c r="M60" i="3" s="1"/>
  <c r="F60" i="3"/>
  <c r="G60" i="3"/>
  <c r="P58" i="3"/>
  <c r="Q58" i="3" s="1"/>
  <c r="N58" i="3"/>
  <c r="O58" i="3" s="1"/>
  <c r="L58" i="3"/>
  <c r="M58" i="3" s="1"/>
  <c r="F58" i="3"/>
  <c r="G58" i="3"/>
  <c r="P57" i="3"/>
  <c r="Q57" i="3" s="1"/>
  <c r="N57" i="3"/>
  <c r="O57" i="3" s="1"/>
  <c r="L57" i="3"/>
  <c r="M57" i="3" s="1"/>
  <c r="F57" i="3"/>
  <c r="G57" i="3"/>
  <c r="P56" i="3"/>
  <c r="Q56" i="3" s="1"/>
  <c r="N56" i="3"/>
  <c r="L56" i="3"/>
  <c r="M56" i="3" s="1"/>
  <c r="F56" i="3"/>
  <c r="G56" i="3" s="1"/>
  <c r="P55" i="3"/>
  <c r="Q55" i="3" s="1"/>
  <c r="N55" i="3"/>
  <c r="L55" i="3"/>
  <c r="M55" i="3" s="1"/>
  <c r="F55" i="3"/>
  <c r="G55" i="3" s="1"/>
  <c r="P54" i="3"/>
  <c r="Q54" i="3" s="1"/>
  <c r="N54" i="3"/>
  <c r="L54" i="3"/>
  <c r="M54" i="3" s="1"/>
  <c r="F54" i="3"/>
  <c r="G54" i="3" s="1"/>
  <c r="P53" i="3"/>
  <c r="Q53" i="3" s="1"/>
  <c r="N53" i="3"/>
  <c r="L53" i="3"/>
  <c r="M53" i="3" s="1"/>
  <c r="F53" i="3"/>
  <c r="G53" i="3" s="1"/>
  <c r="P52" i="3"/>
  <c r="Q52" i="3" s="1"/>
  <c r="N52" i="3"/>
  <c r="L52" i="3"/>
  <c r="M52" i="3" s="1"/>
  <c r="F52" i="3"/>
  <c r="G52" i="3" s="1"/>
  <c r="F51" i="3"/>
  <c r="G51" i="3" s="1"/>
  <c r="P50" i="3"/>
  <c r="Q50" i="3" s="1"/>
  <c r="N50" i="3"/>
  <c r="O50" i="3" s="1"/>
  <c r="L50" i="3"/>
  <c r="M50" i="3" s="1"/>
  <c r="F50" i="3"/>
  <c r="G50" i="3" s="1"/>
  <c r="P49" i="3"/>
  <c r="Q49" i="3" s="1"/>
  <c r="N49" i="3"/>
  <c r="O49" i="3"/>
  <c r="L49" i="3"/>
  <c r="M49" i="3" s="1"/>
  <c r="F49" i="3"/>
  <c r="G49" i="3" s="1"/>
  <c r="P48" i="3"/>
  <c r="Q48" i="3" s="1"/>
  <c r="N48" i="3"/>
  <c r="O48" i="3" s="1"/>
  <c r="L48" i="3"/>
  <c r="M48" i="3" s="1"/>
  <c r="F48" i="3"/>
  <c r="G48" i="3" s="1"/>
  <c r="P47" i="3"/>
  <c r="Q47" i="3" s="1"/>
  <c r="N47" i="3"/>
  <c r="L47" i="3"/>
  <c r="M47" i="3" s="1"/>
  <c r="F47" i="3"/>
  <c r="G47" i="3" s="1"/>
  <c r="P46" i="3"/>
  <c r="Q46" i="3" s="1"/>
  <c r="N46" i="3"/>
  <c r="O46" i="3" s="1"/>
  <c r="L46" i="3"/>
  <c r="M46" i="3" s="1"/>
  <c r="F46" i="3"/>
  <c r="G46" i="3" s="1"/>
  <c r="P45" i="3"/>
  <c r="Q45" i="3" s="1"/>
  <c r="N45" i="3"/>
  <c r="L45" i="3"/>
  <c r="M45" i="3" s="1"/>
  <c r="F45" i="3"/>
  <c r="G45" i="3" s="1"/>
  <c r="P44" i="3"/>
  <c r="Q44" i="3" s="1"/>
  <c r="N44" i="3"/>
  <c r="O44" i="3" s="1"/>
  <c r="L44" i="3"/>
  <c r="M44" i="3" s="1"/>
  <c r="F44" i="3"/>
  <c r="G44" i="3" s="1"/>
  <c r="F43" i="3"/>
  <c r="G43" i="3" s="1"/>
  <c r="P42" i="3"/>
  <c r="Q42" i="3" s="1"/>
  <c r="N42" i="3"/>
  <c r="O42" i="3" s="1"/>
  <c r="L42" i="3"/>
  <c r="M42" i="3" s="1"/>
  <c r="F42" i="3"/>
  <c r="G42" i="3" s="1"/>
  <c r="P41" i="3"/>
  <c r="Q41" i="3" s="1"/>
  <c r="N41" i="3"/>
  <c r="O41" i="3"/>
  <c r="L41" i="3"/>
  <c r="M41" i="3" s="1"/>
  <c r="F41" i="3"/>
  <c r="G41" i="3" s="1"/>
  <c r="P40" i="3"/>
  <c r="Q40" i="3" s="1"/>
  <c r="N40" i="3"/>
  <c r="O40" i="3" s="1"/>
  <c r="L40" i="3"/>
  <c r="M40" i="3" s="1"/>
  <c r="F40" i="3"/>
  <c r="G40" i="3" s="1"/>
  <c r="P39" i="3"/>
  <c r="Q39" i="3" s="1"/>
  <c r="N39" i="3"/>
  <c r="L39" i="3"/>
  <c r="M39" i="3" s="1"/>
  <c r="F39" i="3"/>
  <c r="G39" i="3" s="1"/>
  <c r="P38" i="3"/>
  <c r="Q38" i="3" s="1"/>
  <c r="N38" i="3"/>
  <c r="O38" i="3" s="1"/>
  <c r="L38" i="3"/>
  <c r="M38" i="3" s="1"/>
  <c r="F38" i="3"/>
  <c r="G38" i="3" s="1"/>
  <c r="P37" i="3"/>
  <c r="Q37" i="3" s="1"/>
  <c r="N37" i="3"/>
  <c r="O37" i="3" s="1"/>
  <c r="L37" i="3"/>
  <c r="M37" i="3" s="1"/>
  <c r="F37" i="3"/>
  <c r="G37" i="3" s="1"/>
  <c r="P36" i="3"/>
  <c r="Q36" i="3" s="1"/>
  <c r="N36" i="3"/>
  <c r="O36" i="3" s="1"/>
  <c r="L36" i="3"/>
  <c r="M36" i="3" s="1"/>
  <c r="F36" i="3"/>
  <c r="G36" i="3" s="1"/>
  <c r="F35" i="3"/>
  <c r="G35" i="3" s="1"/>
  <c r="P34" i="3"/>
  <c r="Q34" i="3" s="1"/>
  <c r="N34" i="3"/>
  <c r="O34" i="3" s="1"/>
  <c r="L34" i="3"/>
  <c r="M34" i="3" s="1"/>
  <c r="F34" i="3"/>
  <c r="G34" i="3" s="1"/>
  <c r="P33" i="3"/>
  <c r="Q33" i="3" s="1"/>
  <c r="N33" i="3"/>
  <c r="O33" i="3"/>
  <c r="L33" i="3"/>
  <c r="M33" i="3" s="1"/>
  <c r="F33" i="3"/>
  <c r="G33" i="3" s="1"/>
  <c r="P32" i="3"/>
  <c r="Q32" i="3" s="1"/>
  <c r="N32" i="3"/>
  <c r="O32" i="3" s="1"/>
  <c r="L32" i="3"/>
  <c r="M32" i="3" s="1"/>
  <c r="F32" i="3"/>
  <c r="G32" i="3" s="1"/>
  <c r="P31" i="3"/>
  <c r="Q31" i="3" s="1"/>
  <c r="N31" i="3"/>
  <c r="L31" i="3"/>
  <c r="M31" i="3" s="1"/>
  <c r="F31" i="3"/>
  <c r="G31" i="3" s="1"/>
  <c r="P30" i="3"/>
  <c r="Q30" i="3" s="1"/>
  <c r="N30" i="3"/>
  <c r="O30" i="3" s="1"/>
  <c r="L30" i="3"/>
  <c r="M30" i="3" s="1"/>
  <c r="F30" i="3"/>
  <c r="G30" i="3" s="1"/>
  <c r="C12" i="3"/>
  <c r="C13" i="3" s="1"/>
  <c r="B200" i="2"/>
  <c r="C200" i="2" s="1"/>
  <c r="B199" i="2"/>
  <c r="C199" i="2" s="1"/>
  <c r="H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F193" i="2" s="1"/>
  <c r="B192" i="2"/>
  <c r="C192" i="2" s="1"/>
  <c r="N192" i="2" s="1"/>
  <c r="D26" i="2"/>
  <c r="C22" i="2"/>
  <c r="D24" i="2"/>
  <c r="C20" i="2"/>
  <c r="E54" i="2" s="1"/>
  <c r="B191" i="2"/>
  <c r="C191" i="2" s="1"/>
  <c r="B190" i="2"/>
  <c r="C190" i="2" s="1"/>
  <c r="J190" i="2" s="1"/>
  <c r="B189" i="2"/>
  <c r="C189" i="2" s="1"/>
  <c r="F189" i="2" s="1"/>
  <c r="B188" i="2"/>
  <c r="C188" i="2" s="1"/>
  <c r="N188" i="2" s="1"/>
  <c r="B187" i="2"/>
  <c r="C187" i="2" s="1"/>
  <c r="D187" i="2" s="1"/>
  <c r="B186" i="2"/>
  <c r="C186" i="2" s="1"/>
  <c r="J186" i="2" s="1"/>
  <c r="B185" i="2"/>
  <c r="C185" i="2" s="1"/>
  <c r="N185" i="2" s="1"/>
  <c r="B184" i="2"/>
  <c r="C184" i="2" s="1"/>
  <c r="B183" i="2"/>
  <c r="C183" i="2"/>
  <c r="D183" i="2" s="1"/>
  <c r="B182" i="2"/>
  <c r="C182" i="2" s="1"/>
  <c r="J182" i="2" s="1"/>
  <c r="K182" i="2" s="1"/>
  <c r="B181" i="2"/>
  <c r="C181" i="2"/>
  <c r="H181" i="2" s="1"/>
  <c r="B180" i="2"/>
  <c r="C180" i="2" s="1"/>
  <c r="B179" i="2"/>
  <c r="C179" i="2" s="1"/>
  <c r="D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J171" i="2" s="1"/>
  <c r="B170" i="2"/>
  <c r="C170" i="2"/>
  <c r="H170" i="2" s="1"/>
  <c r="B169" i="2"/>
  <c r="C169" i="2" s="1"/>
  <c r="B168" i="2"/>
  <c r="C168" i="2" s="1"/>
  <c r="H168" i="2" s="1"/>
  <c r="B167" i="2"/>
  <c r="C167" i="2"/>
  <c r="F167" i="2" s="1"/>
  <c r="B166" i="2"/>
  <c r="C166" i="2" s="1"/>
  <c r="D166" i="2" s="1"/>
  <c r="L166" i="2"/>
  <c r="B165" i="2"/>
  <c r="C165" i="2" s="1"/>
  <c r="B164" i="2"/>
  <c r="C164" i="2" s="1"/>
  <c r="B163" i="2"/>
  <c r="C163" i="2" s="1"/>
  <c r="B162" i="2"/>
  <c r="C162" i="2" s="1"/>
  <c r="H162" i="2" s="1"/>
  <c r="B161" i="2"/>
  <c r="C161" i="2" s="1"/>
  <c r="B160" i="2"/>
  <c r="C160" i="2" s="1"/>
  <c r="H160" i="2" s="1"/>
  <c r="B159" i="2"/>
  <c r="C159" i="2" s="1"/>
  <c r="B158" i="2"/>
  <c r="C158" i="2" s="1"/>
  <c r="D158" i="2" s="1"/>
  <c r="B157" i="2"/>
  <c r="C157" i="2" s="1"/>
  <c r="B156" i="2"/>
  <c r="C156" i="2" s="1"/>
  <c r="B155" i="2"/>
  <c r="C155" i="2" s="1"/>
  <c r="B154" i="2"/>
  <c r="C154" i="2" s="1"/>
  <c r="L154" i="2" s="1"/>
  <c r="B153" i="2"/>
  <c r="C153" i="2" s="1"/>
  <c r="D153" i="2" s="1"/>
  <c r="B152" i="2"/>
  <c r="C152" i="2" s="1"/>
  <c r="B151" i="2"/>
  <c r="C151" i="2" s="1"/>
  <c r="B150" i="2"/>
  <c r="C150" i="2" s="1"/>
  <c r="B149" i="2"/>
  <c r="C149" i="2" s="1"/>
  <c r="F149" i="2" s="1"/>
  <c r="B148" i="2"/>
  <c r="C148" i="2" s="1"/>
  <c r="H148" i="2" s="1"/>
  <c r="B147" i="2"/>
  <c r="C147" i="2" s="1"/>
  <c r="N147" i="2" s="1"/>
  <c r="B146" i="2"/>
  <c r="C146" i="2" s="1"/>
  <c r="B145" i="2"/>
  <c r="C145" i="2" s="1"/>
  <c r="J145" i="2" s="1"/>
  <c r="B144" i="2"/>
  <c r="C144" i="2" s="1"/>
  <c r="H144" i="2"/>
  <c r="B143" i="2"/>
  <c r="C143" i="2" s="1"/>
  <c r="B142" i="2"/>
  <c r="C142" i="2" s="1"/>
  <c r="F142" i="2" s="1"/>
  <c r="B141" i="2"/>
  <c r="C141" i="2" s="1"/>
  <c r="N141" i="2" s="1"/>
  <c r="B140" i="2"/>
  <c r="C140" i="2" s="1"/>
  <c r="B139" i="2"/>
  <c r="C139" i="2" s="1"/>
  <c r="B138" i="2"/>
  <c r="C138" i="2" s="1"/>
  <c r="B137" i="2"/>
  <c r="C137" i="2" s="1"/>
  <c r="B136" i="2"/>
  <c r="C136" i="2" s="1"/>
  <c r="F136" i="2" s="1"/>
  <c r="B135" i="2"/>
  <c r="C135" i="2" s="1"/>
  <c r="B134" i="2"/>
  <c r="C134" i="2" s="1"/>
  <c r="L134" i="2" s="1"/>
  <c r="B133" i="2"/>
  <c r="C133" i="2" s="1"/>
  <c r="B132" i="2"/>
  <c r="C132" i="2" s="1"/>
  <c r="J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L126" i="2" s="1"/>
  <c r="B125" i="2"/>
  <c r="C125" i="2" s="1"/>
  <c r="L125" i="2" s="1"/>
  <c r="M125" i="2" s="1"/>
  <c r="B124" i="2"/>
  <c r="C124" i="2" s="1"/>
  <c r="B123" i="2"/>
  <c r="C123" i="2" s="1"/>
  <c r="B122" i="2"/>
  <c r="C122" i="2" s="1"/>
  <c r="B121" i="2"/>
  <c r="C121" i="2" s="1"/>
  <c r="B120" i="2"/>
  <c r="C120" i="2" s="1"/>
  <c r="N120" i="2" s="1"/>
  <c r="O120" i="2" s="1"/>
  <c r="B119" i="2"/>
  <c r="C119" i="2" s="1"/>
  <c r="B118" i="2"/>
  <c r="C118" i="2" s="1"/>
  <c r="L118" i="2" s="1"/>
  <c r="B117" i="2"/>
  <c r="C117" i="2" s="1"/>
  <c r="B116" i="2"/>
  <c r="C116" i="2" s="1"/>
  <c r="D116" i="2" s="1"/>
  <c r="B115" i="2"/>
  <c r="C115" i="2" s="1"/>
  <c r="B114" i="2"/>
  <c r="C114" i="2" s="1"/>
  <c r="F114" i="2" s="1"/>
  <c r="B113" i="2"/>
  <c r="C113" i="2" s="1"/>
  <c r="B112" i="2"/>
  <c r="C112" i="2" s="1"/>
  <c r="B111" i="2"/>
  <c r="C111" i="2" s="1"/>
  <c r="B110" i="2"/>
  <c r="C110" i="2" s="1"/>
  <c r="J110" i="2" s="1"/>
  <c r="B109" i="2"/>
  <c r="C109" i="2" s="1"/>
  <c r="B108" i="2"/>
  <c r="C108" i="2" s="1"/>
  <c r="B107" i="2"/>
  <c r="C107" i="2" s="1"/>
  <c r="H107" i="2" s="1"/>
  <c r="B106" i="2"/>
  <c r="C106" i="2" s="1"/>
  <c r="B105" i="2"/>
  <c r="C105" i="2" s="1"/>
  <c r="B104" i="2"/>
  <c r="C104" i="2" s="1"/>
  <c r="D104" i="2" s="1"/>
  <c r="B103" i="2"/>
  <c r="C103" i="2" s="1"/>
  <c r="N103" i="2" s="1"/>
  <c r="B102" i="2"/>
  <c r="C102" i="2" s="1"/>
  <c r="B101" i="2"/>
  <c r="C101" i="2" s="1"/>
  <c r="B100" i="2"/>
  <c r="C100" i="2" s="1"/>
  <c r="B99" i="2"/>
  <c r="C99" i="2" s="1"/>
  <c r="N99" i="2" s="1"/>
  <c r="O99" i="2" s="1"/>
  <c r="B98" i="2"/>
  <c r="C98" i="2" s="1"/>
  <c r="L98" i="2" s="1"/>
  <c r="B97" i="2"/>
  <c r="C97" i="2" s="1"/>
  <c r="C25" i="2"/>
  <c r="C21" i="2"/>
  <c r="B96" i="2"/>
  <c r="C96" i="2" s="1"/>
  <c r="J96" i="2" s="1"/>
  <c r="K96" i="2" s="1"/>
  <c r="B95" i="2"/>
  <c r="C95" i="2" s="1"/>
  <c r="B94" i="2"/>
  <c r="C94" i="2" s="1"/>
  <c r="D94" i="2" s="1"/>
  <c r="B93" i="2"/>
  <c r="C93" i="2" s="1"/>
  <c r="N93" i="2" s="1"/>
  <c r="O93" i="2" s="1"/>
  <c r="B92" i="2"/>
  <c r="C92" i="2" s="1"/>
  <c r="B91" i="2"/>
  <c r="C91" i="2"/>
  <c r="B90" i="2"/>
  <c r="C90" i="2" s="1"/>
  <c r="L90" i="2" s="1"/>
  <c r="D25" i="2"/>
  <c r="B89" i="2"/>
  <c r="C89" i="2" s="1"/>
  <c r="B88" i="2"/>
  <c r="C88" i="2" s="1"/>
  <c r="D88" i="2" s="1"/>
  <c r="B87" i="2"/>
  <c r="C87" i="2" s="1"/>
  <c r="D87" i="2" s="1"/>
  <c r="B86" i="2"/>
  <c r="C86" i="2" s="1"/>
  <c r="J86" i="2" s="1"/>
  <c r="B85" i="2"/>
  <c r="C85" i="2" s="1"/>
  <c r="L85" i="2" s="1"/>
  <c r="B84" i="2"/>
  <c r="C84" i="2" s="1"/>
  <c r="D84" i="2" s="1"/>
  <c r="B83" i="2"/>
  <c r="C83" i="2" s="1"/>
  <c r="N83" i="2" s="1"/>
  <c r="O83" i="2" s="1"/>
  <c r="B82" i="2"/>
  <c r="C82" i="2" s="1"/>
  <c r="B81" i="2"/>
  <c r="C81" i="2" s="1"/>
  <c r="F81" i="2" s="1"/>
  <c r="B80" i="2"/>
  <c r="C80" i="2" s="1"/>
  <c r="L80" i="2" s="1"/>
  <c r="B79" i="2"/>
  <c r="C79" i="2" s="1"/>
  <c r="H79" i="2" s="1"/>
  <c r="I79" i="2" s="1"/>
  <c r="B78" i="2"/>
  <c r="C78" i="2" s="1"/>
  <c r="J78" i="2" s="1"/>
  <c r="B77" i="2"/>
  <c r="C77" i="2" s="1"/>
  <c r="B76" i="2"/>
  <c r="C76" i="2" s="1"/>
  <c r="N76" i="2" s="1"/>
  <c r="O76" i="2" s="1"/>
  <c r="B75" i="2"/>
  <c r="C75" i="2" s="1"/>
  <c r="B74" i="2"/>
  <c r="C74" i="2" s="1"/>
  <c r="B73" i="2"/>
  <c r="C73" i="2" s="1"/>
  <c r="H73" i="2" s="1"/>
  <c r="I73" i="2" s="1"/>
  <c r="B72" i="2"/>
  <c r="C72" i="2"/>
  <c r="H72" i="2" s="1"/>
  <c r="I72" i="2" s="1"/>
  <c r="B71" i="2"/>
  <c r="C71" i="2"/>
  <c r="C26" i="2"/>
  <c r="B70" i="2"/>
  <c r="C70" i="2" s="1"/>
  <c r="B69" i="2"/>
  <c r="C69" i="2" s="1"/>
  <c r="B68" i="2"/>
  <c r="C68" i="2" s="1"/>
  <c r="B67" i="2"/>
  <c r="C67" i="2" s="1"/>
  <c r="D67" i="2" s="1"/>
  <c r="B66" i="2"/>
  <c r="C66" i="2" s="1"/>
  <c r="C24" i="2"/>
  <c r="B65" i="2"/>
  <c r="C65" i="2" s="1"/>
  <c r="B64" i="2"/>
  <c r="C64" i="2"/>
  <c r="J64" i="2" s="1"/>
  <c r="B63" i="2"/>
  <c r="C63" i="2" s="1"/>
  <c r="B62" i="2"/>
  <c r="C62" i="2" s="1"/>
  <c r="B61" i="2"/>
  <c r="C61" i="2" s="1"/>
  <c r="B60" i="2"/>
  <c r="C60" i="2" s="1"/>
  <c r="J60" i="2" s="1"/>
  <c r="B59" i="2"/>
  <c r="C59" i="2" s="1"/>
  <c r="L59" i="2" s="1"/>
  <c r="B58" i="2"/>
  <c r="C58" i="2" s="1"/>
  <c r="L58" i="2" s="1"/>
  <c r="B57" i="2"/>
  <c r="C57" i="2" s="1"/>
  <c r="B56" i="2"/>
  <c r="C56" i="2" s="1"/>
  <c r="B55" i="2"/>
  <c r="C55" i="2" s="1"/>
  <c r="N55" i="2" s="1"/>
  <c r="O55" i="2" s="1"/>
  <c r="B54" i="2"/>
  <c r="C54" i="2" s="1"/>
  <c r="D54" i="2" s="1"/>
  <c r="B53" i="2"/>
  <c r="C53" i="2" s="1"/>
  <c r="J53" i="2" s="1"/>
  <c r="K53" i="2" s="1"/>
  <c r="B52" i="2"/>
  <c r="C52" i="2" s="1"/>
  <c r="D52" i="2" s="1"/>
  <c r="L52" i="2"/>
  <c r="B51" i="2"/>
  <c r="C51" i="2" s="1"/>
  <c r="N51" i="2" s="1"/>
  <c r="O51" i="2" s="1"/>
  <c r="B50" i="2"/>
  <c r="C50" i="2" s="1"/>
  <c r="L50" i="2" s="1"/>
  <c r="B49" i="2"/>
  <c r="C49" i="2" s="1"/>
  <c r="B48" i="2"/>
  <c r="C48" i="2" s="1"/>
  <c r="B47" i="2"/>
  <c r="C47" i="2" s="1"/>
  <c r="N47" i="2" s="1"/>
  <c r="O47" i="2" s="1"/>
  <c r="F47" i="2"/>
  <c r="G47" i="2" s="1"/>
  <c r="B46" i="2"/>
  <c r="C46" i="2" s="1"/>
  <c r="D46" i="2" s="1"/>
  <c r="N46" i="2"/>
  <c r="O46" i="2" s="1"/>
  <c r="B45" i="2"/>
  <c r="C45" i="2" s="1"/>
  <c r="J45" i="2" s="1"/>
  <c r="B44" i="2"/>
  <c r="C44" i="2" s="1"/>
  <c r="D44" i="2" s="1"/>
  <c r="B43" i="2"/>
  <c r="C43" i="2" s="1"/>
  <c r="F43" i="2" s="1"/>
  <c r="G43" i="2" s="1"/>
  <c r="N43" i="2"/>
  <c r="O43" i="2" s="1"/>
  <c r="B42" i="2"/>
  <c r="C42" i="2" s="1"/>
  <c r="L42" i="2" s="1"/>
  <c r="B41" i="2"/>
  <c r="C41" i="2" s="1"/>
  <c r="B40" i="2"/>
  <c r="C40" i="2" s="1"/>
  <c r="J40" i="2" s="1"/>
  <c r="B39" i="2"/>
  <c r="C39" i="2" s="1"/>
  <c r="B38" i="2"/>
  <c r="C38" i="2" s="1"/>
  <c r="B37" i="2"/>
  <c r="C37" i="2" s="1"/>
  <c r="B36" i="2"/>
  <c r="C36" i="2" s="1"/>
  <c r="D36" i="2" s="1"/>
  <c r="H36" i="2"/>
  <c r="I36" i="2" s="1"/>
  <c r="B35" i="2"/>
  <c r="C35" i="2" s="1"/>
  <c r="F35" i="2" s="1"/>
  <c r="G35" i="2" s="1"/>
  <c r="B34" i="2"/>
  <c r="C34" i="2" s="1"/>
  <c r="L34" i="2" s="1"/>
  <c r="M34" i="2" s="1"/>
  <c r="B33" i="2"/>
  <c r="C33" i="2"/>
  <c r="B32" i="2"/>
  <c r="C32" i="2" s="1"/>
  <c r="B31" i="2"/>
  <c r="C31" i="2"/>
  <c r="B30" i="2"/>
  <c r="C30" i="2"/>
  <c r="N30" i="2" s="1"/>
  <c r="O30" i="2" s="1"/>
  <c r="C12" i="2"/>
  <c r="C13" i="2" s="1"/>
  <c r="J43" i="2"/>
  <c r="H35" i="2"/>
  <c r="I35" i="2" s="1"/>
  <c r="L43" i="2"/>
  <c r="D43" i="2"/>
  <c r="L51" i="2"/>
  <c r="D51" i="2"/>
  <c r="D72" i="2"/>
  <c r="F72" i="2"/>
  <c r="G72" i="2" s="1"/>
  <c r="L89" i="2"/>
  <c r="H89" i="2"/>
  <c r="I89" i="2"/>
  <c r="D89" i="2"/>
  <c r="L108" i="2"/>
  <c r="H108" i="2"/>
  <c r="I108" i="2" s="1"/>
  <c r="D108" i="2"/>
  <c r="N108" i="2"/>
  <c r="O108" i="2" s="1"/>
  <c r="F108" i="2"/>
  <c r="G108" i="2" s="1"/>
  <c r="L83" i="2"/>
  <c r="H83" i="2"/>
  <c r="I83" i="2" s="1"/>
  <c r="F89" i="2"/>
  <c r="G89" i="2" s="1"/>
  <c r="L91" i="2"/>
  <c r="H91" i="2"/>
  <c r="I91" i="2" s="1"/>
  <c r="D91" i="2"/>
  <c r="E91" i="2" s="1"/>
  <c r="L99" i="2"/>
  <c r="H99" i="2"/>
  <c r="I99" i="2"/>
  <c r="D99" i="2"/>
  <c r="L103" i="2"/>
  <c r="F103" i="2"/>
  <c r="G103" i="2" s="1"/>
  <c r="J103" i="2"/>
  <c r="D103" i="2"/>
  <c r="F105" i="2"/>
  <c r="G105" i="2" s="1"/>
  <c r="H105" i="2"/>
  <c r="I105" i="2" s="1"/>
  <c r="J108" i="2"/>
  <c r="L81" i="2"/>
  <c r="H81" i="2"/>
  <c r="I81" i="2" s="1"/>
  <c r="D81" i="2"/>
  <c r="E94" i="2"/>
  <c r="H121" i="2"/>
  <c r="I121" i="2" s="1"/>
  <c r="F137" i="2"/>
  <c r="G137" i="2" s="1"/>
  <c r="D137" i="2"/>
  <c r="L173" i="2"/>
  <c r="H173" i="2"/>
  <c r="I173" i="2" s="1"/>
  <c r="D173" i="2"/>
  <c r="N173" i="2"/>
  <c r="O173" i="2" s="1"/>
  <c r="J173" i="2"/>
  <c r="F173" i="2"/>
  <c r="G173" i="2"/>
  <c r="J36" i="2"/>
  <c r="J38" i="2"/>
  <c r="J42" i="2"/>
  <c r="J46" i="2"/>
  <c r="F52" i="2"/>
  <c r="G52" i="2" s="1"/>
  <c r="J52" i="2"/>
  <c r="F54" i="2"/>
  <c r="G54" i="2" s="1"/>
  <c r="J54" i="2"/>
  <c r="J58" i="2"/>
  <c r="J81" i="2"/>
  <c r="F83" i="2"/>
  <c r="G83" i="2" s="1"/>
  <c r="J89" i="2"/>
  <c r="F91" i="2"/>
  <c r="G91" i="2" s="1"/>
  <c r="L93" i="2"/>
  <c r="H93" i="2"/>
  <c r="I93" i="2" s="1"/>
  <c r="D93" i="2"/>
  <c r="E93" i="2" s="1"/>
  <c r="F99" i="2"/>
  <c r="G99" i="2" s="1"/>
  <c r="H103" i="2"/>
  <c r="I103" i="2" s="1"/>
  <c r="I107" i="2"/>
  <c r="F113" i="2"/>
  <c r="G113" i="2" s="1"/>
  <c r="D113" i="2"/>
  <c r="H129" i="2"/>
  <c r="I129" i="2" s="1"/>
  <c r="N81" i="2"/>
  <c r="O81" i="2" s="1"/>
  <c r="N89" i="2"/>
  <c r="O89" i="2" s="1"/>
  <c r="N97" i="2"/>
  <c r="O97" i="2" s="1"/>
  <c r="J99" i="2"/>
  <c r="O103" i="2"/>
  <c r="H114" i="2"/>
  <c r="I114" i="2" s="1"/>
  <c r="N130" i="2"/>
  <c r="O130" i="2" s="1"/>
  <c r="F104" i="2"/>
  <c r="G104" i="2" s="1"/>
  <c r="L104" i="2"/>
  <c r="N107" i="2"/>
  <c r="O107" i="2" s="1"/>
  <c r="J107" i="2"/>
  <c r="F107" i="2"/>
  <c r="G107" i="2" s="1"/>
  <c r="N115" i="2"/>
  <c r="O115" i="2" s="1"/>
  <c r="L115" i="2"/>
  <c r="H115" i="2"/>
  <c r="I115" i="2" s="1"/>
  <c r="N123" i="2"/>
  <c r="O123" i="2" s="1"/>
  <c r="L123" i="2"/>
  <c r="H123" i="2"/>
  <c r="I123" i="2" s="1"/>
  <c r="J124" i="2"/>
  <c r="J131" i="2"/>
  <c r="F131" i="2"/>
  <c r="G131" i="2" s="1"/>
  <c r="D131" i="2"/>
  <c r="L132" i="2"/>
  <c r="N139" i="2"/>
  <c r="O139" i="2" s="1"/>
  <c r="L139" i="2"/>
  <c r="H139" i="2"/>
  <c r="I139" i="2" s="1"/>
  <c r="N164" i="2"/>
  <c r="O164" i="2" s="1"/>
  <c r="H164" i="2"/>
  <c r="I164" i="2" s="1"/>
  <c r="L164" i="2"/>
  <c r="F80" i="2"/>
  <c r="G80" i="2" s="1"/>
  <c r="J80" i="2"/>
  <c r="F84" i="2"/>
  <c r="G84" i="2" s="1"/>
  <c r="J84" i="2"/>
  <c r="F88" i="2"/>
  <c r="G88" i="2" s="1"/>
  <c r="J88" i="2"/>
  <c r="F90" i="2"/>
  <c r="G90" i="2" s="1"/>
  <c r="J90" i="2"/>
  <c r="K90" i="2" s="1"/>
  <c r="F94" i="2"/>
  <c r="G94" i="2" s="1"/>
  <c r="J94" i="2"/>
  <c r="K94" i="2" s="1"/>
  <c r="F98" i="2"/>
  <c r="G98" i="2" s="1"/>
  <c r="J98" i="2"/>
  <c r="J100" i="2"/>
  <c r="K100" i="2" s="1"/>
  <c r="J118" i="2"/>
  <c r="D125" i="2"/>
  <c r="E125" i="2" s="1"/>
  <c r="J126" i="2"/>
  <c r="K126" i="2" s="1"/>
  <c r="D134" i="2"/>
  <c r="E134" i="2" s="1"/>
  <c r="L141" i="2"/>
  <c r="M141" i="2" s="1"/>
  <c r="L151" i="2"/>
  <c r="M151" i="2" s="1"/>
  <c r="H151" i="2"/>
  <c r="I151" i="2" s="1"/>
  <c r="D151" i="2"/>
  <c r="E151" i="2" s="1"/>
  <c r="N151" i="2"/>
  <c r="O151" i="2" s="1"/>
  <c r="J151" i="2"/>
  <c r="K151" i="2" s="1"/>
  <c r="F151" i="2"/>
  <c r="G151" i="2" s="1"/>
  <c r="N111" i="2"/>
  <c r="O111" i="2" s="1"/>
  <c r="J111" i="2"/>
  <c r="K111" i="2" s="1"/>
  <c r="H111" i="2"/>
  <c r="I111" i="2" s="1"/>
  <c r="D111" i="2"/>
  <c r="E111" i="2" s="1"/>
  <c r="N119" i="2"/>
  <c r="O119" i="2" s="1"/>
  <c r="J119" i="2"/>
  <c r="K119" i="2" s="1"/>
  <c r="H119" i="2"/>
  <c r="I119" i="2" s="1"/>
  <c r="D119" i="2"/>
  <c r="N127" i="2"/>
  <c r="O127" i="2" s="1"/>
  <c r="J127" i="2"/>
  <c r="K127" i="2" s="1"/>
  <c r="H127" i="2"/>
  <c r="I127" i="2" s="1"/>
  <c r="D127" i="2"/>
  <c r="E127" i="2" s="1"/>
  <c r="F128" i="2"/>
  <c r="G128" i="2" s="1"/>
  <c r="F135" i="2"/>
  <c r="G135" i="2" s="1"/>
  <c r="L135" i="2"/>
  <c r="H136" i="2"/>
  <c r="I136" i="2" s="1"/>
  <c r="H145" i="2"/>
  <c r="I145" i="2" s="1"/>
  <c r="D145" i="2"/>
  <c r="E145" i="2"/>
  <c r="N145" i="2"/>
  <c r="O145" i="2" s="1"/>
  <c r="F145" i="2"/>
  <c r="G145" i="2" s="1"/>
  <c r="G149" i="2"/>
  <c r="D159" i="2"/>
  <c r="J159" i="2"/>
  <c r="F159" i="2"/>
  <c r="G159" i="2" s="1"/>
  <c r="L143" i="2"/>
  <c r="M143" i="2" s="1"/>
  <c r="H143" i="2"/>
  <c r="I143" i="2" s="1"/>
  <c r="D143" i="2"/>
  <c r="E143" i="2" s="1"/>
  <c r="J143" i="2"/>
  <c r="K143" i="2" s="1"/>
  <c r="N144" i="2"/>
  <c r="O144" i="2" s="1"/>
  <c r="J144" i="2"/>
  <c r="F144" i="2"/>
  <c r="G144" i="2" s="1"/>
  <c r="O147" i="2"/>
  <c r="F157" i="2"/>
  <c r="G157" i="2" s="1"/>
  <c r="J157" i="2"/>
  <c r="K157" i="2" s="1"/>
  <c r="D157" i="2"/>
  <c r="E157" i="2" s="1"/>
  <c r="N157" i="2"/>
  <c r="O157" i="2" s="1"/>
  <c r="H157" i="2"/>
  <c r="I157" i="2" s="1"/>
  <c r="L161" i="2"/>
  <c r="H161" i="2"/>
  <c r="I161" i="2" s="1"/>
  <c r="D161" i="2"/>
  <c r="E161" i="2" s="1"/>
  <c r="N161" i="2"/>
  <c r="O161" i="2" s="1"/>
  <c r="F161" i="2"/>
  <c r="G161" i="2" s="1"/>
  <c r="J161" i="2"/>
  <c r="K161" i="2" s="1"/>
  <c r="N174" i="2"/>
  <c r="O174" i="2" s="1"/>
  <c r="J174" i="2"/>
  <c r="F174" i="2"/>
  <c r="G174" i="2" s="1"/>
  <c r="L174" i="2"/>
  <c r="M174" i="2" s="1"/>
  <c r="H174" i="2"/>
  <c r="I174" i="2"/>
  <c r="D174" i="2"/>
  <c r="E174" i="2" s="1"/>
  <c r="E179" i="2"/>
  <c r="D144" i="2"/>
  <c r="L144" i="2"/>
  <c r="M144" i="2" s="1"/>
  <c r="I148" i="2"/>
  <c r="L149" i="2"/>
  <c r="M149" i="2" s="1"/>
  <c r="H149" i="2"/>
  <c r="I149" i="2" s="1"/>
  <c r="D149" i="2"/>
  <c r="E149" i="2" s="1"/>
  <c r="N149" i="2"/>
  <c r="O149" i="2" s="1"/>
  <c r="I160" i="2"/>
  <c r="H163" i="2"/>
  <c r="I163" i="2" s="1"/>
  <c r="D163" i="2"/>
  <c r="E163" i="2" s="1"/>
  <c r="E166" i="2"/>
  <c r="G167" i="2"/>
  <c r="L169" i="2"/>
  <c r="M169" i="2" s="1"/>
  <c r="D169" i="2"/>
  <c r="E169" i="2" s="1"/>
  <c r="F169" i="2"/>
  <c r="G169" i="2" s="1"/>
  <c r="I170" i="2"/>
  <c r="F143" i="2"/>
  <c r="G143" i="2" s="1"/>
  <c r="N143" i="2"/>
  <c r="O143" i="2" s="1"/>
  <c r="L147" i="2"/>
  <c r="M147" i="2" s="1"/>
  <c r="H147" i="2"/>
  <c r="I147" i="2" s="1"/>
  <c r="D147" i="2"/>
  <c r="E147" i="2" s="1"/>
  <c r="J147" i="2"/>
  <c r="K147" i="2" s="1"/>
  <c r="N148" i="2"/>
  <c r="O148" i="2" s="1"/>
  <c r="J148" i="2"/>
  <c r="K148" i="2" s="1"/>
  <c r="F148" i="2"/>
  <c r="G148" i="2" s="1"/>
  <c r="E153" i="2"/>
  <c r="L155" i="2"/>
  <c r="M155" i="2" s="1"/>
  <c r="J155" i="2"/>
  <c r="K155" i="2" s="1"/>
  <c r="L157" i="2"/>
  <c r="M157" i="2" s="1"/>
  <c r="L165" i="2"/>
  <c r="M165" i="2" s="1"/>
  <c r="H165" i="2"/>
  <c r="I165" i="2" s="1"/>
  <c r="N165" i="2"/>
  <c r="O165" i="2" s="1"/>
  <c r="F165" i="2"/>
  <c r="G165" i="2" s="1"/>
  <c r="I168" i="2"/>
  <c r="L171" i="2"/>
  <c r="M171" i="2" s="1"/>
  <c r="H171" i="2"/>
  <c r="I171" i="2" s="1"/>
  <c r="D171" i="2"/>
  <c r="E171" i="2" s="1"/>
  <c r="N171" i="2"/>
  <c r="O171" i="2" s="1"/>
  <c r="F171" i="2"/>
  <c r="G171" i="2" s="1"/>
  <c r="F153" i="2"/>
  <c r="G153" i="2" s="1"/>
  <c r="H154" i="2"/>
  <c r="I154" i="2" s="1"/>
  <c r="J158" i="2"/>
  <c r="K158" i="2" s="1"/>
  <c r="N162" i="2"/>
  <c r="O162" i="2" s="1"/>
  <c r="J162" i="2"/>
  <c r="K162" i="2" s="1"/>
  <c r="F162" i="2"/>
  <c r="G162" i="2" s="1"/>
  <c r="N170" i="2"/>
  <c r="O170" i="2" s="1"/>
  <c r="J170" i="2"/>
  <c r="K170" i="2" s="1"/>
  <c r="F170" i="2"/>
  <c r="G170" i="2" s="1"/>
  <c r="L175" i="2"/>
  <c r="D175" i="2"/>
  <c r="E175" i="2" s="1"/>
  <c r="J175" i="2"/>
  <c r="K175" i="2" s="1"/>
  <c r="F176" i="2"/>
  <c r="G176" i="2" s="1"/>
  <c r="L176" i="2"/>
  <c r="M176" i="2" s="1"/>
  <c r="L178" i="2"/>
  <c r="M178" i="2" s="1"/>
  <c r="D178" i="2"/>
  <c r="E178" i="2" s="1"/>
  <c r="L186" i="2"/>
  <c r="H186" i="2"/>
  <c r="I186" i="2" s="1"/>
  <c r="F150" i="2"/>
  <c r="G150" i="2" s="1"/>
  <c r="F152" i="2"/>
  <c r="G152" i="2" s="1"/>
  <c r="J152" i="2"/>
  <c r="K152" i="2"/>
  <c r="L153" i="2"/>
  <c r="M153" i="2" s="1"/>
  <c r="D154" i="2"/>
  <c r="E154" i="2" s="1"/>
  <c r="F158" i="2"/>
  <c r="G158" i="2" s="1"/>
  <c r="L158" i="2"/>
  <c r="N160" i="2"/>
  <c r="O160" i="2" s="1"/>
  <c r="J160" i="2"/>
  <c r="K160" i="2" s="1"/>
  <c r="F160" i="2"/>
  <c r="G160" i="2" s="1"/>
  <c r="D162" i="2"/>
  <c r="E162" i="2"/>
  <c r="L162" i="2"/>
  <c r="M162" i="2" s="1"/>
  <c r="N168" i="2"/>
  <c r="O168" i="2" s="1"/>
  <c r="J168" i="2"/>
  <c r="K168" i="2" s="1"/>
  <c r="F168" i="2"/>
  <c r="G168" i="2" s="1"/>
  <c r="D170" i="2"/>
  <c r="E170" i="2" s="1"/>
  <c r="L170" i="2"/>
  <c r="M170" i="2" s="1"/>
  <c r="J178" i="2"/>
  <c r="K178" i="2" s="1"/>
  <c r="K186" i="2"/>
  <c r="H153" i="2"/>
  <c r="I153" i="2" s="1"/>
  <c r="N166" i="2"/>
  <c r="O166" i="2" s="1"/>
  <c r="J166" i="2"/>
  <c r="K166" i="2" s="1"/>
  <c r="F166" i="2"/>
  <c r="G166" i="2" s="1"/>
  <c r="L167" i="2"/>
  <c r="M167" i="2" s="1"/>
  <c r="H167" i="2"/>
  <c r="I167" i="2" s="1"/>
  <c r="D167" i="2"/>
  <c r="E167" i="2"/>
  <c r="N172" i="2"/>
  <c r="O172" i="2" s="1"/>
  <c r="J172" i="2"/>
  <c r="K172" i="2" s="1"/>
  <c r="F172" i="2"/>
  <c r="G172" i="2" s="1"/>
  <c r="L172" i="2"/>
  <c r="M172" i="2" s="1"/>
  <c r="H172" i="2"/>
  <c r="I172" i="2" s="1"/>
  <c r="D172" i="2"/>
  <c r="E172" i="2" s="1"/>
  <c r="N182" i="2"/>
  <c r="O182" i="2" s="1"/>
  <c r="F182" i="2"/>
  <c r="G182" i="2" s="1"/>
  <c r="L182" i="2"/>
  <c r="M182" i="2" s="1"/>
  <c r="D182" i="2"/>
  <c r="E182" i="2" s="1"/>
  <c r="H182" i="2"/>
  <c r="I182" i="2" s="1"/>
  <c r="N190" i="2"/>
  <c r="O190" i="2" s="1"/>
  <c r="F190" i="2"/>
  <c r="G190" i="2" s="1"/>
  <c r="L190" i="2"/>
  <c r="M190" i="2" s="1"/>
  <c r="D190" i="2"/>
  <c r="E190" i="2" s="1"/>
  <c r="H190" i="2"/>
  <c r="I190" i="2" s="1"/>
  <c r="J179" i="2"/>
  <c r="K179" i="2" s="1"/>
  <c r="J183" i="2"/>
  <c r="K183" i="2" s="1"/>
  <c r="J187" i="2"/>
  <c r="K187" i="2" s="1"/>
  <c r="L199" i="2"/>
  <c r="M199" i="2" s="1"/>
  <c r="D199" i="2"/>
  <c r="E199" i="2" s="1"/>
  <c r="N200" i="2"/>
  <c r="O200" i="2" s="1"/>
  <c r="J200" i="2"/>
  <c r="K200" i="2" s="1"/>
  <c r="F200" i="2"/>
  <c r="G200" i="2" s="1"/>
  <c r="F199" i="2"/>
  <c r="G199" i="2" s="1"/>
  <c r="D200" i="2"/>
  <c r="E200" i="2" s="1"/>
  <c r="J177" i="2"/>
  <c r="K177" i="2" s="1"/>
  <c r="F179" i="2"/>
  <c r="G179" i="2" s="1"/>
  <c r="N179" i="2"/>
  <c r="O179" i="2" s="1"/>
  <c r="H180" i="2"/>
  <c r="I180" i="2" s="1"/>
  <c r="J181" i="2"/>
  <c r="K181" i="2" s="1"/>
  <c r="F183" i="2"/>
  <c r="G183" i="2" s="1"/>
  <c r="N183" i="2"/>
  <c r="O183" i="2" s="1"/>
  <c r="H184" i="2"/>
  <c r="I184" i="2" s="1"/>
  <c r="J185" i="2"/>
  <c r="K185" i="2" s="1"/>
  <c r="F187" i="2"/>
  <c r="G187" i="2" s="1"/>
  <c r="N187" i="2"/>
  <c r="O187" i="2" s="1"/>
  <c r="H188" i="2"/>
  <c r="I188" i="2" s="1"/>
  <c r="J189" i="2"/>
  <c r="K189" i="2" s="1"/>
  <c r="H192" i="2"/>
  <c r="I192" i="2" s="1"/>
  <c r="J193" i="2"/>
  <c r="K193" i="2" s="1"/>
  <c r="J199" i="2"/>
  <c r="K199" i="2" s="1"/>
  <c r="H200" i="2"/>
  <c r="I200" i="2" s="1"/>
  <c r="D177" i="2"/>
  <c r="E177" i="2" s="1"/>
  <c r="D181" i="2"/>
  <c r="E181" i="2" s="1"/>
  <c r="D185" i="2"/>
  <c r="E185" i="2" s="1"/>
  <c r="D189" i="2"/>
  <c r="E189" i="2"/>
  <c r="D193" i="2"/>
  <c r="E193" i="2" s="1"/>
  <c r="N199" i="2"/>
  <c r="O199" i="2" s="1"/>
  <c r="L200" i="2"/>
  <c r="M200" i="2"/>
  <c r="B53" i="15" l="1"/>
  <c r="A54" i="15"/>
  <c r="G52" i="15"/>
  <c r="H52" i="15"/>
  <c r="F52" i="15"/>
  <c r="B48" i="11"/>
  <c r="A49" i="11"/>
  <c r="H47" i="11"/>
  <c r="G47" i="11"/>
  <c r="F47" i="11"/>
  <c r="O171" i="3"/>
  <c r="O179" i="3"/>
  <c r="O187" i="3"/>
  <c r="N62" i="2"/>
  <c r="O62" i="2" s="1"/>
  <c r="F62" i="2"/>
  <c r="G62" i="2" s="1"/>
  <c r="J62" i="2"/>
  <c r="K62" i="2" s="1"/>
  <c r="N101" i="2"/>
  <c r="O101" i="2" s="1"/>
  <c r="L101" i="2"/>
  <c r="M101" i="2" s="1"/>
  <c r="H101" i="2"/>
  <c r="I101" i="2" s="1"/>
  <c r="D101" i="2"/>
  <c r="E101" i="2" s="1"/>
  <c r="D109" i="2"/>
  <c r="E109" i="2" s="1"/>
  <c r="N109" i="2"/>
  <c r="O109" i="2" s="1"/>
  <c r="J109" i="2"/>
  <c r="K109" i="2" s="1"/>
  <c r="F109" i="2"/>
  <c r="G109" i="2" s="1"/>
  <c r="H109" i="2"/>
  <c r="I109" i="2" s="1"/>
  <c r="J117" i="2"/>
  <c r="K117" i="2" s="1"/>
  <c r="H117" i="2"/>
  <c r="I117" i="2" s="1"/>
  <c r="F133" i="2"/>
  <c r="G133" i="2" s="1"/>
  <c r="H133" i="2"/>
  <c r="I133" i="2" s="1"/>
  <c r="O55" i="3"/>
  <c r="O47" i="3"/>
  <c r="O39" i="3"/>
  <c r="O31" i="3"/>
  <c r="O53" i="3"/>
  <c r="O45" i="3"/>
  <c r="D63" i="2"/>
  <c r="L63" i="2"/>
  <c r="M63" i="2" s="1"/>
  <c r="J63" i="2"/>
  <c r="K63" i="2" s="1"/>
  <c r="N74" i="2"/>
  <c r="O74" i="2" s="1"/>
  <c r="J74" i="2"/>
  <c r="K74" i="2" s="1"/>
  <c r="L74" i="2"/>
  <c r="M74" i="2" s="1"/>
  <c r="F74" i="2"/>
  <c r="G74" i="2" s="1"/>
  <c r="H74" i="2"/>
  <c r="I74" i="2" s="1"/>
  <c r="M98" i="2"/>
  <c r="M80" i="2"/>
  <c r="P35" i="3"/>
  <c r="Q35" i="3" s="1"/>
  <c r="N35" i="3"/>
  <c r="O35" i="3" s="1"/>
  <c r="H35" i="3"/>
  <c r="I35" i="3" s="1"/>
  <c r="I25" i="4" s="1"/>
  <c r="L35" i="3"/>
  <c r="M35" i="3" s="1"/>
  <c r="P43" i="3"/>
  <c r="Q43" i="3" s="1"/>
  <c r="N43" i="3"/>
  <c r="O43" i="3" s="1"/>
  <c r="L43" i="3"/>
  <c r="M43" i="3" s="1"/>
  <c r="H51" i="3"/>
  <c r="I51" i="3" s="1"/>
  <c r="I41" i="4" s="1"/>
  <c r="P51" i="3"/>
  <c r="Q51" i="3" s="1"/>
  <c r="N51" i="3"/>
  <c r="O51" i="3" s="1"/>
  <c r="L51" i="3"/>
  <c r="M51" i="3" s="1"/>
  <c r="P59" i="3"/>
  <c r="Q59" i="3" s="1"/>
  <c r="N59" i="3"/>
  <c r="O59" i="3" s="1"/>
  <c r="L59" i="3"/>
  <c r="M59" i="3" s="1"/>
  <c r="F59" i="3"/>
  <c r="G59" i="3" s="1"/>
  <c r="H59" i="3"/>
  <c r="I59" i="3" s="1"/>
  <c r="I49" i="4" s="1"/>
  <c r="H67" i="3"/>
  <c r="I67" i="3" s="1"/>
  <c r="I57" i="4" s="1"/>
  <c r="P67" i="3"/>
  <c r="Q67" i="3" s="1"/>
  <c r="N67" i="3"/>
  <c r="O67" i="3" s="1"/>
  <c r="L67" i="3"/>
  <c r="M67" i="3" s="1"/>
  <c r="F67" i="3"/>
  <c r="G67" i="3" s="1"/>
  <c r="J141" i="2"/>
  <c r="K141" i="2" s="1"/>
  <c r="F125" i="2"/>
  <c r="G125" i="2" s="1"/>
  <c r="M164" i="2"/>
  <c r="L109" i="2"/>
  <c r="M109" i="2" s="1"/>
  <c r="K171" i="2"/>
  <c r="O69" i="3"/>
  <c r="O102" i="3"/>
  <c r="H43" i="3"/>
  <c r="I43" i="3" s="1"/>
  <c r="I33" i="4" s="1"/>
  <c r="M158" i="2"/>
  <c r="M175" i="2"/>
  <c r="E144" i="2"/>
  <c r="M161" i="2"/>
  <c r="K159" i="2"/>
  <c r="L145" i="2"/>
  <c r="M145" i="2" s="1"/>
  <c r="F141" i="2"/>
  <c r="G141" i="2" s="1"/>
  <c r="O52" i="3"/>
  <c r="O54" i="3"/>
  <c r="O56" i="3"/>
  <c r="O65" i="3"/>
  <c r="O75" i="3"/>
  <c r="J146" i="2"/>
  <c r="K146" i="2" s="1"/>
  <c r="H146" i="2"/>
  <c r="I146" i="2" s="1"/>
  <c r="M186" i="2"/>
  <c r="N142" i="2"/>
  <c r="O142" i="2" s="1"/>
  <c r="K174" i="2"/>
  <c r="K144" i="2"/>
  <c r="E159" i="2"/>
  <c r="E119" i="2"/>
  <c r="D141" i="2"/>
  <c r="E141" i="2" s="1"/>
  <c r="D117" i="2"/>
  <c r="E117" i="2" s="1"/>
  <c r="K107" i="2"/>
  <c r="D65" i="2"/>
  <c r="E65" i="2" s="1"/>
  <c r="J65" i="2"/>
  <c r="K65" i="2" s="1"/>
  <c r="H65" i="2"/>
  <c r="I65" i="2" s="1"/>
  <c r="N65" i="2"/>
  <c r="O65" i="2" s="1"/>
  <c r="H71" i="2"/>
  <c r="I71" i="2" s="1"/>
  <c r="F71" i="2"/>
  <c r="G71" i="2" s="1"/>
  <c r="O62" i="3"/>
  <c r="O111" i="3"/>
  <c r="O134" i="3"/>
  <c r="O157" i="3"/>
  <c r="M135" i="2"/>
  <c r="H141" i="2"/>
  <c r="I141" i="2" s="1"/>
  <c r="J73" i="2"/>
  <c r="K73" i="2" s="1"/>
  <c r="K145" i="2"/>
  <c r="O86" i="3"/>
  <c r="O149" i="3"/>
  <c r="O166" i="3"/>
  <c r="K118" i="2"/>
  <c r="K84" i="2"/>
  <c r="M139" i="2"/>
  <c r="M123" i="2"/>
  <c r="K46" i="2"/>
  <c r="E173" i="2"/>
  <c r="E81" i="2"/>
  <c r="K103" i="2"/>
  <c r="E108" i="2"/>
  <c r="E72" i="2"/>
  <c r="K110" i="2"/>
  <c r="O72" i="3"/>
  <c r="P75" i="3"/>
  <c r="Q75" i="3" s="1"/>
  <c r="O77" i="3"/>
  <c r="O79" i="3"/>
  <c r="O81" i="3"/>
  <c r="L83" i="3"/>
  <c r="M83" i="3" s="1"/>
  <c r="O88" i="3"/>
  <c r="O97" i="3"/>
  <c r="L99" i="3"/>
  <c r="M99" i="3" s="1"/>
  <c r="O104" i="3"/>
  <c r="O113" i="3"/>
  <c r="L115" i="3"/>
  <c r="M115" i="3" s="1"/>
  <c r="O120" i="3"/>
  <c r="O129" i="3"/>
  <c r="L131" i="3"/>
  <c r="M131" i="3" s="1"/>
  <c r="O136" i="3"/>
  <c r="O146" i="3"/>
  <c r="O154" i="3"/>
  <c r="N162" i="3"/>
  <c r="O162" i="3" s="1"/>
  <c r="O168" i="3"/>
  <c r="O176" i="3"/>
  <c r="O184" i="3"/>
  <c r="O192" i="3"/>
  <c r="O199" i="3"/>
  <c r="I194" i="3"/>
  <c r="I184" i="4" s="1"/>
  <c r="I186" i="3"/>
  <c r="I176" i="4" s="1"/>
  <c r="I178" i="3"/>
  <c r="I168" i="4" s="1"/>
  <c r="I170" i="3"/>
  <c r="I160" i="4" s="1"/>
  <c r="H162" i="3"/>
  <c r="I162" i="3" s="1"/>
  <c r="I152" i="4" s="1"/>
  <c r="H155" i="3"/>
  <c r="I155" i="3" s="1"/>
  <c r="I145" i="4" s="1"/>
  <c r="H147" i="3"/>
  <c r="I147" i="3" s="1"/>
  <c r="I137" i="4" s="1"/>
  <c r="I136" i="3"/>
  <c r="I126" i="4" s="1"/>
  <c r="I125" i="3"/>
  <c r="I115" i="4" s="1"/>
  <c r="I117" i="3"/>
  <c r="I107" i="4" s="1"/>
  <c r="I103" i="3"/>
  <c r="I93" i="4" s="1"/>
  <c r="I89" i="3"/>
  <c r="I79" i="4" s="1"/>
  <c r="H75" i="3"/>
  <c r="I75" i="3" s="1"/>
  <c r="I65" i="4" s="1"/>
  <c r="I63" i="3"/>
  <c r="I53" i="4" s="1"/>
  <c r="I39" i="3"/>
  <c r="I29" i="4" s="1"/>
  <c r="I36" i="3"/>
  <c r="I26" i="4" s="1"/>
  <c r="I44" i="3"/>
  <c r="I34" i="4" s="1"/>
  <c r="I52" i="3"/>
  <c r="I42" i="4" s="1"/>
  <c r="I60" i="3"/>
  <c r="I50" i="4" s="1"/>
  <c r="D163" i="3"/>
  <c r="E163" i="3" s="1"/>
  <c r="M104" i="2"/>
  <c r="M93" i="2"/>
  <c r="K42" i="2"/>
  <c r="M91" i="2"/>
  <c r="E84" i="2"/>
  <c r="N83" i="3"/>
  <c r="O83" i="3" s="1"/>
  <c r="O90" i="3"/>
  <c r="N99" i="3"/>
  <c r="O99" i="3" s="1"/>
  <c r="O106" i="3"/>
  <c r="N115" i="3"/>
  <c r="O115" i="3" s="1"/>
  <c r="O122" i="3"/>
  <c r="N131" i="3"/>
  <c r="O131" i="3" s="1"/>
  <c r="O138" i="3"/>
  <c r="O143" i="3"/>
  <c r="O151" i="3"/>
  <c r="O159" i="3"/>
  <c r="P162" i="3"/>
  <c r="Q162" i="3" s="1"/>
  <c r="O173" i="3"/>
  <c r="O181" i="3"/>
  <c r="O189" i="3"/>
  <c r="I30" i="3"/>
  <c r="I20" i="4" s="1"/>
  <c r="H193" i="3"/>
  <c r="I193" i="3" s="1"/>
  <c r="I183" i="4" s="1"/>
  <c r="H185" i="3"/>
  <c r="I185" i="3" s="1"/>
  <c r="I175" i="4" s="1"/>
  <c r="H177" i="3"/>
  <c r="I177" i="3" s="1"/>
  <c r="I167" i="4" s="1"/>
  <c r="H169" i="3"/>
  <c r="I169" i="3" s="1"/>
  <c r="I159" i="4" s="1"/>
  <c r="I161" i="3"/>
  <c r="I151" i="4" s="1"/>
  <c r="I154" i="3"/>
  <c r="I144" i="4" s="1"/>
  <c r="I145" i="3"/>
  <c r="I135" i="4" s="1"/>
  <c r="I135" i="3"/>
  <c r="I125" i="4" s="1"/>
  <c r="I124" i="3"/>
  <c r="I114" i="4" s="1"/>
  <c r="I116" i="3"/>
  <c r="I106" i="4" s="1"/>
  <c r="I101" i="3"/>
  <c r="I91" i="4" s="1"/>
  <c r="I87" i="3"/>
  <c r="I77" i="4" s="1"/>
  <c r="I73" i="3"/>
  <c r="I63" i="4" s="1"/>
  <c r="K157" i="3"/>
  <c r="G147" i="5" s="1"/>
  <c r="K163" i="3"/>
  <c r="G153" i="5" s="1"/>
  <c r="K80" i="2"/>
  <c r="M132" i="2"/>
  <c r="K38" i="2"/>
  <c r="M173" i="2"/>
  <c r="M81" i="2"/>
  <c r="M103" i="2"/>
  <c r="M108" i="2"/>
  <c r="M85" i="2"/>
  <c r="F154" i="2"/>
  <c r="O74" i="3"/>
  <c r="P83" i="3"/>
  <c r="Q83" i="3" s="1"/>
  <c r="O85" i="3"/>
  <c r="O92" i="3"/>
  <c r="P99" i="3"/>
  <c r="Q99" i="3" s="1"/>
  <c r="O101" i="3"/>
  <c r="O108" i="3"/>
  <c r="P115" i="3"/>
  <c r="Q115" i="3" s="1"/>
  <c r="O117" i="3"/>
  <c r="O124" i="3"/>
  <c r="P131" i="3"/>
  <c r="Q131" i="3" s="1"/>
  <c r="O133" i="3"/>
  <c r="O140" i="3"/>
  <c r="F147" i="3"/>
  <c r="G147" i="3" s="1"/>
  <c r="O148" i="3"/>
  <c r="F155" i="3"/>
  <c r="G155" i="3" s="1"/>
  <c r="O156" i="3"/>
  <c r="O165" i="3"/>
  <c r="O170" i="3"/>
  <c r="O178" i="3"/>
  <c r="O186" i="3"/>
  <c r="I200" i="3"/>
  <c r="I190" i="4" s="1"/>
  <c r="I192" i="3"/>
  <c r="I182" i="4" s="1"/>
  <c r="I184" i="3"/>
  <c r="I174" i="4" s="1"/>
  <c r="I176" i="3"/>
  <c r="I166" i="4" s="1"/>
  <c r="I168" i="3"/>
  <c r="I158" i="4" s="1"/>
  <c r="I153" i="3"/>
  <c r="I143" i="4" s="1"/>
  <c r="I144" i="3"/>
  <c r="I134" i="4" s="1"/>
  <c r="I133" i="3"/>
  <c r="I123" i="4" s="1"/>
  <c r="I100" i="3"/>
  <c r="I90" i="4" s="1"/>
  <c r="I85" i="3"/>
  <c r="I75" i="4" s="1"/>
  <c r="I71" i="3"/>
  <c r="I61" i="4" s="1"/>
  <c r="I56" i="3"/>
  <c r="I46" i="4" s="1"/>
  <c r="K150" i="3"/>
  <c r="G140" i="5" s="1"/>
  <c r="K158" i="3"/>
  <c r="G148" i="5" s="1"/>
  <c r="E38" i="5"/>
  <c r="F38" i="5" s="1"/>
  <c r="E131" i="2"/>
  <c r="M115" i="2"/>
  <c r="K89" i="2"/>
  <c r="K58" i="2"/>
  <c r="K36" i="2"/>
  <c r="E137" i="2"/>
  <c r="E51" i="2"/>
  <c r="E44" i="2"/>
  <c r="M50" i="2"/>
  <c r="K78" i="2"/>
  <c r="K86" i="2"/>
  <c r="O71" i="3"/>
  <c r="O87" i="3"/>
  <c r="F91" i="3"/>
  <c r="G91" i="3" s="1"/>
  <c r="O94" i="3"/>
  <c r="O103" i="3"/>
  <c r="F107" i="3"/>
  <c r="G107" i="3" s="1"/>
  <c r="O110" i="3"/>
  <c r="O119" i="3"/>
  <c r="F123" i="3"/>
  <c r="G123" i="3" s="1"/>
  <c r="O126" i="3"/>
  <c r="O135" i="3"/>
  <c r="F139" i="3"/>
  <c r="G139" i="3" s="1"/>
  <c r="O145" i="3"/>
  <c r="O153" i="3"/>
  <c r="O161" i="3"/>
  <c r="O167" i="3"/>
  <c r="F169" i="3"/>
  <c r="G169" i="3" s="1"/>
  <c r="O175" i="3"/>
  <c r="F177" i="3"/>
  <c r="G177" i="3" s="1"/>
  <c r="O183" i="3"/>
  <c r="F185" i="3"/>
  <c r="G185" i="3" s="1"/>
  <c r="O191" i="3"/>
  <c r="F193" i="3"/>
  <c r="G193" i="3" s="1"/>
  <c r="O196" i="3"/>
  <c r="I199" i="3"/>
  <c r="I189" i="4" s="1"/>
  <c r="I191" i="3"/>
  <c r="I181" i="4" s="1"/>
  <c r="I183" i="3"/>
  <c r="I173" i="4" s="1"/>
  <c r="I175" i="3"/>
  <c r="I165" i="4" s="1"/>
  <c r="I167" i="3"/>
  <c r="I157" i="4" s="1"/>
  <c r="I160" i="3"/>
  <c r="I150" i="4" s="1"/>
  <c r="I152" i="3"/>
  <c r="I142" i="4" s="1"/>
  <c r="I143" i="3"/>
  <c r="I133" i="4" s="1"/>
  <c r="I132" i="3"/>
  <c r="I122" i="4" s="1"/>
  <c r="H123" i="3"/>
  <c r="I123" i="3" s="1"/>
  <c r="I113" i="4" s="1"/>
  <c r="I112" i="3"/>
  <c r="I102" i="4" s="1"/>
  <c r="I84" i="3"/>
  <c r="I74" i="4" s="1"/>
  <c r="I69" i="3"/>
  <c r="I59" i="4" s="1"/>
  <c r="I55" i="3"/>
  <c r="I45" i="4" s="1"/>
  <c r="I31" i="3"/>
  <c r="I21" i="4" s="1"/>
  <c r="K151" i="3"/>
  <c r="G141" i="5" s="1"/>
  <c r="K159" i="3"/>
  <c r="G149" i="5" s="1"/>
  <c r="K165" i="3"/>
  <c r="G155" i="5" s="1"/>
  <c r="E70" i="5"/>
  <c r="F70" i="5" s="1"/>
  <c r="K54" i="2"/>
  <c r="K108" i="2"/>
  <c r="M83" i="2"/>
  <c r="M51" i="2"/>
  <c r="K45" i="2"/>
  <c r="M58" i="2"/>
  <c r="K64" i="2"/>
  <c r="E87" i="2"/>
  <c r="G193" i="2"/>
  <c r="O76" i="3"/>
  <c r="O78" i="3"/>
  <c r="O80" i="3"/>
  <c r="O89" i="3"/>
  <c r="L91" i="3"/>
  <c r="M91" i="3" s="1"/>
  <c r="O96" i="3"/>
  <c r="O105" i="3"/>
  <c r="L107" i="3"/>
  <c r="M107" i="3" s="1"/>
  <c r="O112" i="3"/>
  <c r="O121" i="3"/>
  <c r="L123" i="3"/>
  <c r="M123" i="3" s="1"/>
  <c r="O128" i="3"/>
  <c r="O137" i="3"/>
  <c r="L139" i="3"/>
  <c r="M139" i="3" s="1"/>
  <c r="O142" i="3"/>
  <c r="L147" i="3"/>
  <c r="M147" i="3" s="1"/>
  <c r="O150" i="3"/>
  <c r="L155" i="3"/>
  <c r="M155" i="3" s="1"/>
  <c r="O158" i="3"/>
  <c r="L169" i="3"/>
  <c r="M169" i="3" s="1"/>
  <c r="O172" i="3"/>
  <c r="L177" i="3"/>
  <c r="M177" i="3" s="1"/>
  <c r="O180" i="3"/>
  <c r="L185" i="3"/>
  <c r="M185" i="3" s="1"/>
  <c r="O188" i="3"/>
  <c r="L193" i="3"/>
  <c r="M193" i="3" s="1"/>
  <c r="O198" i="3"/>
  <c r="I198" i="3"/>
  <c r="I188" i="4" s="1"/>
  <c r="I190" i="3"/>
  <c r="I180" i="4" s="1"/>
  <c r="I182" i="3"/>
  <c r="I172" i="4" s="1"/>
  <c r="I174" i="3"/>
  <c r="I164" i="4" s="1"/>
  <c r="I166" i="3"/>
  <c r="I156" i="4" s="1"/>
  <c r="I159" i="3"/>
  <c r="I149" i="4" s="1"/>
  <c r="I151" i="3"/>
  <c r="I141" i="4" s="1"/>
  <c r="I141" i="3"/>
  <c r="I131" i="4" s="1"/>
  <c r="I121" i="3"/>
  <c r="I111" i="4" s="1"/>
  <c r="I109" i="3"/>
  <c r="I99" i="4" s="1"/>
  <c r="I96" i="3"/>
  <c r="I86" i="4" s="1"/>
  <c r="I68" i="3"/>
  <c r="I58" i="4" s="1"/>
  <c r="I32" i="3"/>
  <c r="I22" i="4" s="1"/>
  <c r="I40" i="3"/>
  <c r="I30" i="4" s="1"/>
  <c r="I72" i="3"/>
  <c r="I62" i="4" s="1"/>
  <c r="I88" i="3"/>
  <c r="I78" i="4" s="1"/>
  <c r="I104" i="3"/>
  <c r="I94" i="4" s="1"/>
  <c r="K166" i="3"/>
  <c r="G156" i="5" s="1"/>
  <c r="E186" i="5"/>
  <c r="F186" i="5" s="1"/>
  <c r="K98" i="2"/>
  <c r="K131" i="2"/>
  <c r="K99" i="2"/>
  <c r="E113" i="2"/>
  <c r="K81" i="2"/>
  <c r="N45" i="2"/>
  <c r="O45" i="2" s="1"/>
  <c r="K43" i="2"/>
  <c r="M52" i="2"/>
  <c r="O73" i="3"/>
  <c r="F75" i="3"/>
  <c r="G75" i="3" s="1"/>
  <c r="O82" i="3"/>
  <c r="N91" i="3"/>
  <c r="O91" i="3" s="1"/>
  <c r="O98" i="3"/>
  <c r="N107" i="3"/>
  <c r="O107" i="3" s="1"/>
  <c r="O114" i="3"/>
  <c r="N123" i="3"/>
  <c r="O123" i="3" s="1"/>
  <c r="O130" i="3"/>
  <c r="N139" i="3"/>
  <c r="O139" i="3" s="1"/>
  <c r="N147" i="3"/>
  <c r="O147" i="3" s="1"/>
  <c r="N155" i="3"/>
  <c r="O155" i="3" s="1"/>
  <c r="F162" i="3"/>
  <c r="G162" i="3" s="1"/>
  <c r="O163" i="3"/>
  <c r="N169" i="3"/>
  <c r="O169" i="3" s="1"/>
  <c r="N177" i="3"/>
  <c r="O177" i="3" s="1"/>
  <c r="N185" i="3"/>
  <c r="O185" i="3" s="1"/>
  <c r="N193" i="3"/>
  <c r="O193" i="3" s="1"/>
  <c r="M200" i="3"/>
  <c r="I197" i="3"/>
  <c r="I187" i="4" s="1"/>
  <c r="I189" i="3"/>
  <c r="I179" i="4" s="1"/>
  <c r="I181" i="3"/>
  <c r="I171" i="4" s="1"/>
  <c r="I173" i="3"/>
  <c r="I163" i="4" s="1"/>
  <c r="I165" i="3"/>
  <c r="I155" i="4" s="1"/>
  <c r="I158" i="3"/>
  <c r="I148" i="4" s="1"/>
  <c r="I150" i="3"/>
  <c r="I140" i="4" s="1"/>
  <c r="I140" i="3"/>
  <c r="I130" i="4" s="1"/>
  <c r="I129" i="3"/>
  <c r="I119" i="4" s="1"/>
  <c r="I108" i="3"/>
  <c r="I98" i="4" s="1"/>
  <c r="I93" i="3"/>
  <c r="I83" i="4" s="1"/>
  <c r="I80" i="3"/>
  <c r="I70" i="4" s="1"/>
  <c r="I48" i="3"/>
  <c r="I38" i="4" s="1"/>
  <c r="K153" i="3"/>
  <c r="G143" i="5" s="1"/>
  <c r="K161" i="3"/>
  <c r="G151" i="5" s="1"/>
  <c r="K167" i="3"/>
  <c r="G157" i="5" s="1"/>
  <c r="C22" i="5"/>
  <c r="D22" i="5" s="1"/>
  <c r="E172" i="5"/>
  <c r="F172" i="5" s="1"/>
  <c r="E179" i="5"/>
  <c r="F179" i="5" s="1"/>
  <c r="K88" i="2"/>
  <c r="K124" i="2"/>
  <c r="K52" i="2"/>
  <c r="K173" i="2"/>
  <c r="M99" i="2"/>
  <c r="M89" i="2"/>
  <c r="E43" i="2"/>
  <c r="K40" i="2"/>
  <c r="K60" i="2"/>
  <c r="K132" i="2"/>
  <c r="O70" i="3"/>
  <c r="O84" i="3"/>
  <c r="O93" i="3"/>
  <c r="O100" i="3"/>
  <c r="P107" i="3"/>
  <c r="Q107" i="3" s="1"/>
  <c r="O109" i="3"/>
  <c r="O116" i="3"/>
  <c r="O125" i="3"/>
  <c r="O132" i="3"/>
  <c r="P139" i="3"/>
  <c r="Q139" i="3" s="1"/>
  <c r="O144" i="3"/>
  <c r="O152" i="3"/>
  <c r="P155" i="3"/>
  <c r="Q155" i="3" s="1"/>
  <c r="O160" i="3"/>
  <c r="O174" i="3"/>
  <c r="O182" i="3"/>
  <c r="O190" i="3"/>
  <c r="I196" i="3"/>
  <c r="I186" i="4" s="1"/>
  <c r="I188" i="3"/>
  <c r="I178" i="4" s="1"/>
  <c r="I180" i="3"/>
  <c r="I170" i="4" s="1"/>
  <c r="I172" i="3"/>
  <c r="I162" i="4" s="1"/>
  <c r="I163" i="3"/>
  <c r="I153" i="4" s="1"/>
  <c r="I157" i="3"/>
  <c r="I147" i="4" s="1"/>
  <c r="I149" i="3"/>
  <c r="I139" i="4" s="1"/>
  <c r="I128" i="3"/>
  <c r="I118" i="4" s="1"/>
  <c r="I92" i="3"/>
  <c r="I82" i="4" s="1"/>
  <c r="I77" i="3"/>
  <c r="I67" i="4" s="1"/>
  <c r="I47" i="3"/>
  <c r="I37" i="4" s="1"/>
  <c r="K154" i="3"/>
  <c r="G144" i="5" s="1"/>
  <c r="D162" i="3"/>
  <c r="E162" i="3" s="1"/>
  <c r="N56" i="2"/>
  <c r="O56" i="2" s="1"/>
  <c r="F56" i="2"/>
  <c r="G56" i="2" s="1"/>
  <c r="J56" i="2"/>
  <c r="K56" i="2" s="1"/>
  <c r="H77" i="2"/>
  <c r="I77" i="2" s="1"/>
  <c r="N77" i="2"/>
  <c r="O77" i="2" s="1"/>
  <c r="D77" i="2"/>
  <c r="E77" i="2" s="1"/>
  <c r="J77" i="2"/>
  <c r="K77" i="2" s="1"/>
  <c r="L77" i="2"/>
  <c r="M77" i="2" s="1"/>
  <c r="F77" i="2"/>
  <c r="G77" i="2" s="1"/>
  <c r="F95" i="2"/>
  <c r="G95" i="2" s="1"/>
  <c r="D95" i="2"/>
  <c r="E95" i="2" s="1"/>
  <c r="L95" i="2"/>
  <c r="M95" i="2" s="1"/>
  <c r="J95" i="2"/>
  <c r="K95" i="2" s="1"/>
  <c r="H95" i="2"/>
  <c r="I95" i="2" s="1"/>
  <c r="N191" i="2"/>
  <c r="O191" i="2" s="1"/>
  <c r="J191" i="2"/>
  <c r="K191" i="2" s="1"/>
  <c r="F191" i="2"/>
  <c r="G191" i="2" s="1"/>
  <c r="D195" i="2"/>
  <c r="J195" i="2"/>
  <c r="K195" i="2" s="1"/>
  <c r="N195" i="2"/>
  <c r="O195" i="2" s="1"/>
  <c r="H195" i="2"/>
  <c r="I195" i="2" s="1"/>
  <c r="L68" i="2"/>
  <c r="M68" i="2" s="1"/>
  <c r="F68" i="2"/>
  <c r="G68" i="2" s="1"/>
  <c r="H68" i="2"/>
  <c r="I68" i="2" s="1"/>
  <c r="J68" i="2"/>
  <c r="K68" i="2" s="1"/>
  <c r="N68" i="2"/>
  <c r="O68" i="2" s="1"/>
  <c r="H92" i="2"/>
  <c r="I92" i="2" s="1"/>
  <c r="N92" i="2"/>
  <c r="O92" i="2" s="1"/>
  <c r="F92" i="2"/>
  <c r="G92" i="2" s="1"/>
  <c r="J92" i="2"/>
  <c r="K92" i="2" s="1"/>
  <c r="J196" i="2"/>
  <c r="K196" i="2" s="1"/>
  <c r="L196" i="2"/>
  <c r="M196" i="2" s="1"/>
  <c r="F196" i="2"/>
  <c r="G196" i="2" s="1"/>
  <c r="D196" i="2"/>
  <c r="E196" i="2" s="1"/>
  <c r="H196" i="2"/>
  <c r="I196" i="2" s="1"/>
  <c r="N196" i="2"/>
  <c r="O196" i="2" s="1"/>
  <c r="F75" i="2"/>
  <c r="G75" i="2" s="1"/>
  <c r="N75" i="2"/>
  <c r="O75" i="2" s="1"/>
  <c r="D75" i="2"/>
  <c r="H75" i="2"/>
  <c r="I75" i="2" s="1"/>
  <c r="D106" i="2"/>
  <c r="E106" i="2" s="1"/>
  <c r="J106" i="2"/>
  <c r="K106" i="2" s="1"/>
  <c r="H106" i="2"/>
  <c r="I106" i="2" s="1"/>
  <c r="N106" i="2"/>
  <c r="O106" i="2" s="1"/>
  <c r="F106" i="2"/>
  <c r="G106" i="2" s="1"/>
  <c r="F197" i="2"/>
  <c r="N197" i="2"/>
  <c r="O197" i="2" s="1"/>
  <c r="H197" i="2"/>
  <c r="I197" i="2" s="1"/>
  <c r="J197" i="2"/>
  <c r="K197" i="2" s="1"/>
  <c r="L197" i="2"/>
  <c r="M197" i="2" s="1"/>
  <c r="D66" i="2"/>
  <c r="E66" i="2" s="1"/>
  <c r="F66" i="2"/>
  <c r="G66" i="2" s="1"/>
  <c r="J66" i="2"/>
  <c r="K66" i="2" s="1"/>
  <c r="N194" i="2"/>
  <c r="O194" i="2" s="1"/>
  <c r="D194" i="2"/>
  <c r="E194" i="2" s="1"/>
  <c r="F194" i="2"/>
  <c r="G194" i="2" s="1"/>
  <c r="L194" i="2"/>
  <c r="M194" i="2" s="1"/>
  <c r="H194" i="2"/>
  <c r="I194" i="2" s="1"/>
  <c r="J194" i="2"/>
  <c r="K194" i="2" s="1"/>
  <c r="L198" i="2"/>
  <c r="M198" i="2" s="1"/>
  <c r="N198" i="2"/>
  <c r="O198" i="2" s="1"/>
  <c r="H198" i="2"/>
  <c r="I198" i="2" s="1"/>
  <c r="J198" i="2"/>
  <c r="K198" i="2" s="1"/>
  <c r="F198" i="2"/>
  <c r="G198" i="2" s="1"/>
  <c r="D198" i="2"/>
  <c r="E198" i="2" s="1"/>
  <c r="J34" i="2"/>
  <c r="K34" i="2" s="1"/>
  <c r="J51" i="2"/>
  <c r="K51" i="2" s="1"/>
  <c r="F51" i="2"/>
  <c r="G51" i="2" s="1"/>
  <c r="F55" i="2"/>
  <c r="G55" i="2" s="1"/>
  <c r="D74" i="2"/>
  <c r="L84" i="2"/>
  <c r="E88" i="2"/>
  <c r="M90" i="2"/>
  <c r="L94" i="2"/>
  <c r="M94" i="2" s="1"/>
  <c r="E116" i="2"/>
  <c r="G136" i="2"/>
  <c r="E158" i="2"/>
  <c r="E187" i="2"/>
  <c r="L192" i="2"/>
  <c r="M192" i="2" s="1"/>
  <c r="H51" i="2"/>
  <c r="I51" i="2" s="1"/>
  <c r="N52" i="2"/>
  <c r="O52" i="2" s="1"/>
  <c r="H54" i="2"/>
  <c r="I54" i="2" s="1"/>
  <c r="H58" i="2"/>
  <c r="I58" i="2" s="1"/>
  <c r="D80" i="2"/>
  <c r="E80" i="2" s="1"/>
  <c r="D90" i="2"/>
  <c r="E90" i="2" s="1"/>
  <c r="G114" i="2"/>
  <c r="M118" i="2"/>
  <c r="M126" i="2"/>
  <c r="M134" i="2"/>
  <c r="I144" i="2"/>
  <c r="I162" i="2"/>
  <c r="E36" i="2"/>
  <c r="E104" i="2"/>
  <c r="L160" i="2"/>
  <c r="G189" i="2"/>
  <c r="Q183" i="3"/>
  <c r="Q185" i="3"/>
  <c r="Q187" i="3"/>
  <c r="Q189" i="3"/>
  <c r="Q191" i="3"/>
  <c r="Q193" i="3"/>
  <c r="O194" i="3"/>
  <c r="O195" i="3"/>
  <c r="Q198" i="3"/>
  <c r="C168" i="5"/>
  <c r="D168" i="5" s="1"/>
  <c r="D167" i="3"/>
  <c r="E167" i="3" s="1"/>
  <c r="E21" i="5"/>
  <c r="F21" i="5" s="1"/>
  <c r="E53" i="5"/>
  <c r="F53" i="5" s="1"/>
  <c r="E85" i="5"/>
  <c r="F85" i="5" s="1"/>
  <c r="Q184" i="3"/>
  <c r="Q186" i="3"/>
  <c r="Q188" i="3"/>
  <c r="Q190" i="3"/>
  <c r="Q192" i="3"/>
  <c r="Q196" i="3"/>
  <c r="Q200" i="3"/>
  <c r="Q197" i="3"/>
  <c r="D154" i="3"/>
  <c r="E154" i="3" s="1"/>
  <c r="D166" i="3"/>
  <c r="E166" i="3" s="1"/>
  <c r="E37" i="5"/>
  <c r="F37" i="5" s="1"/>
  <c r="E69" i="5"/>
  <c r="F69" i="5" s="1"/>
  <c r="E101" i="5"/>
  <c r="F101" i="5" s="1"/>
  <c r="C106" i="5"/>
  <c r="D106" i="5" s="1"/>
  <c r="L70" i="2"/>
  <c r="M70" i="2" s="1"/>
  <c r="J70" i="2"/>
  <c r="K70" i="2" s="1"/>
  <c r="N70" i="2"/>
  <c r="O70" i="2" s="1"/>
  <c r="L111" i="2"/>
  <c r="M111" i="2" s="1"/>
  <c r="F111" i="2"/>
  <c r="G111" i="2" s="1"/>
  <c r="F115" i="2"/>
  <c r="G115" i="2" s="1"/>
  <c r="D115" i="2"/>
  <c r="E115" i="2" s="1"/>
  <c r="J115" i="2"/>
  <c r="K115" i="2" s="1"/>
  <c r="F119" i="2"/>
  <c r="G119" i="2" s="1"/>
  <c r="L119" i="2"/>
  <c r="M119" i="2" s="1"/>
  <c r="J123" i="2"/>
  <c r="K123" i="2" s="1"/>
  <c r="F123" i="2"/>
  <c r="G123" i="2" s="1"/>
  <c r="D123" i="2"/>
  <c r="E123" i="2" s="1"/>
  <c r="L127" i="2"/>
  <c r="M127" i="2" s="1"/>
  <c r="F127" i="2"/>
  <c r="G127" i="2" s="1"/>
  <c r="H131" i="2"/>
  <c r="I131" i="2" s="1"/>
  <c r="N131" i="2"/>
  <c r="O131" i="2" s="1"/>
  <c r="L131" i="2"/>
  <c r="M131" i="2" s="1"/>
  <c r="J135" i="2"/>
  <c r="K135" i="2" s="1"/>
  <c r="H135" i="2"/>
  <c r="I135" i="2" s="1"/>
  <c r="N135" i="2"/>
  <c r="O135" i="2" s="1"/>
  <c r="D135" i="2"/>
  <c r="E135" i="2" s="1"/>
  <c r="F139" i="2"/>
  <c r="G139" i="2" s="1"/>
  <c r="D139" i="2"/>
  <c r="E139" i="2" s="1"/>
  <c r="J139" i="2"/>
  <c r="K139" i="2" s="1"/>
  <c r="L163" i="2"/>
  <c r="M163" i="2" s="1"/>
  <c r="N163" i="2"/>
  <c r="O163" i="2" s="1"/>
  <c r="F163" i="2"/>
  <c r="G163" i="2" s="1"/>
  <c r="J163" i="2"/>
  <c r="K163" i="2" s="1"/>
  <c r="N176" i="2"/>
  <c r="O176" i="2" s="1"/>
  <c r="D176" i="2"/>
  <c r="E176" i="2" s="1"/>
  <c r="J176" i="2"/>
  <c r="K176" i="2" s="1"/>
  <c r="H176" i="2"/>
  <c r="I176" i="2" s="1"/>
  <c r="L180" i="2"/>
  <c r="M180" i="2" s="1"/>
  <c r="D180" i="2"/>
  <c r="E180" i="2" s="1"/>
  <c r="L105" i="2"/>
  <c r="M105" i="2" s="1"/>
  <c r="D105" i="2"/>
  <c r="E105" i="2" s="1"/>
  <c r="N105" i="2"/>
  <c r="O105" i="2" s="1"/>
  <c r="J105" i="2"/>
  <c r="K105" i="2" s="1"/>
  <c r="H112" i="2"/>
  <c r="I112" i="2" s="1"/>
  <c r="N112" i="2"/>
  <c r="O112" i="2" s="1"/>
  <c r="D124" i="2"/>
  <c r="E124" i="2" s="1"/>
  <c r="L124" i="2"/>
  <c r="M124" i="2" s="1"/>
  <c r="N128" i="2"/>
  <c r="O128" i="2" s="1"/>
  <c r="H128" i="2"/>
  <c r="I128" i="2" s="1"/>
  <c r="L140" i="2"/>
  <c r="M140" i="2" s="1"/>
  <c r="D140" i="2"/>
  <c r="E140" i="2" s="1"/>
  <c r="J164" i="2"/>
  <c r="K164" i="2" s="1"/>
  <c r="F164" i="2"/>
  <c r="G164" i="2" s="1"/>
  <c r="D164" i="2"/>
  <c r="E164" i="2" s="1"/>
  <c r="H177" i="2"/>
  <c r="I177" i="2" s="1"/>
  <c r="L177" i="2"/>
  <c r="M177" i="2" s="1"/>
  <c r="F48" i="2"/>
  <c r="G48" i="2" s="1"/>
  <c r="N48" i="2"/>
  <c r="O48" i="2" s="1"/>
  <c r="J48" i="2"/>
  <c r="K48" i="2" s="1"/>
  <c r="J82" i="2"/>
  <c r="K82" i="2" s="1"/>
  <c r="D82" i="2"/>
  <c r="E82" i="2" s="1"/>
  <c r="F82" i="2"/>
  <c r="G82" i="2" s="1"/>
  <c r="L102" i="2"/>
  <c r="M102" i="2" s="1"/>
  <c r="H102" i="2"/>
  <c r="I102" i="2" s="1"/>
  <c r="J113" i="2"/>
  <c r="K113" i="2" s="1"/>
  <c r="H113" i="2"/>
  <c r="I113" i="2" s="1"/>
  <c r="N113" i="2"/>
  <c r="O113" i="2" s="1"/>
  <c r="L113" i="2"/>
  <c r="M113" i="2" s="1"/>
  <c r="N117" i="2"/>
  <c r="O117" i="2" s="1"/>
  <c r="L117" i="2"/>
  <c r="M117" i="2" s="1"/>
  <c r="F117" i="2"/>
  <c r="G117" i="2" s="1"/>
  <c r="N121" i="2"/>
  <c r="O121" i="2" s="1"/>
  <c r="L121" i="2"/>
  <c r="M121" i="2" s="1"/>
  <c r="J121" i="2"/>
  <c r="K121" i="2" s="1"/>
  <c r="F121" i="2"/>
  <c r="G121" i="2" s="1"/>
  <c r="D121" i="2"/>
  <c r="E121" i="2" s="1"/>
  <c r="J125" i="2"/>
  <c r="K125" i="2" s="1"/>
  <c r="H125" i="2"/>
  <c r="I125" i="2" s="1"/>
  <c r="N125" i="2"/>
  <c r="O125" i="2" s="1"/>
  <c r="N129" i="2"/>
  <c r="O129" i="2" s="1"/>
  <c r="L129" i="2"/>
  <c r="M129" i="2" s="1"/>
  <c r="J129" i="2"/>
  <c r="K129" i="2" s="1"/>
  <c r="F129" i="2"/>
  <c r="G129" i="2" s="1"/>
  <c r="D129" i="2"/>
  <c r="E129" i="2" s="1"/>
  <c r="N133" i="2"/>
  <c r="O133" i="2" s="1"/>
  <c r="L133" i="2"/>
  <c r="M133" i="2" s="1"/>
  <c r="J133" i="2"/>
  <c r="K133" i="2" s="1"/>
  <c r="D133" i="2"/>
  <c r="E133" i="2" s="1"/>
  <c r="N137" i="2"/>
  <c r="O137" i="2" s="1"/>
  <c r="J137" i="2"/>
  <c r="K137" i="2" s="1"/>
  <c r="H137" i="2"/>
  <c r="I137" i="2" s="1"/>
  <c r="L137" i="2"/>
  <c r="M137" i="2" s="1"/>
  <c r="J165" i="2"/>
  <c r="K165" i="2" s="1"/>
  <c r="D165" i="2"/>
  <c r="E165" i="2" s="1"/>
  <c r="F178" i="2"/>
  <c r="G178" i="2" s="1"/>
  <c r="H178" i="2"/>
  <c r="I178" i="2" s="1"/>
  <c r="N178" i="2"/>
  <c r="O178" i="2" s="1"/>
  <c r="J69" i="2"/>
  <c r="K69" i="2" s="1"/>
  <c r="H69" i="2"/>
  <c r="I69" i="2" s="1"/>
  <c r="L69" i="2"/>
  <c r="M69" i="2" s="1"/>
  <c r="D152" i="2"/>
  <c r="E152" i="2" s="1"/>
  <c r="N152" i="2"/>
  <c r="O152" i="2" s="1"/>
  <c r="H159" i="2"/>
  <c r="I159" i="2" s="1"/>
  <c r="N159" i="2"/>
  <c r="O159" i="2" s="1"/>
  <c r="L159" i="2"/>
  <c r="M159" i="2" s="1"/>
  <c r="J50" i="2"/>
  <c r="K50" i="2" s="1"/>
  <c r="F44" i="2"/>
  <c r="G44" i="2" s="1"/>
  <c r="F30" i="2"/>
  <c r="G30" i="2" s="1"/>
  <c r="E99" i="2"/>
  <c r="D83" i="2"/>
  <c r="E83" i="2" s="1"/>
  <c r="E89" i="2"/>
  <c r="H63" i="2"/>
  <c r="I63" i="2" s="1"/>
  <c r="M43" i="2"/>
  <c r="F65" i="2"/>
  <c r="G65" i="2" s="1"/>
  <c r="L65" i="2"/>
  <c r="M65" i="2" s="1"/>
  <c r="N35" i="2"/>
  <c r="O35" i="2" s="1"/>
  <c r="M42" i="2"/>
  <c r="H44" i="2"/>
  <c r="I44" i="2" s="1"/>
  <c r="E46" i="2"/>
  <c r="H50" i="2"/>
  <c r="I50" i="2" s="1"/>
  <c r="M59" i="2"/>
  <c r="D62" i="2"/>
  <c r="E62" i="2" s="1"/>
  <c r="G81" i="2"/>
  <c r="J83" i="2"/>
  <c r="K83" i="2" s="1"/>
  <c r="L88" i="2"/>
  <c r="M88" i="2" s="1"/>
  <c r="N104" i="2"/>
  <c r="O104" i="2" s="1"/>
  <c r="L106" i="2"/>
  <c r="M106" i="2" s="1"/>
  <c r="L107" i="2"/>
  <c r="M107" i="2" s="1"/>
  <c r="J149" i="2"/>
  <c r="K149" i="2" s="1"/>
  <c r="M154" i="2"/>
  <c r="D160" i="2"/>
  <c r="E160" i="2" s="1"/>
  <c r="H166" i="2"/>
  <c r="I166" i="2" s="1"/>
  <c r="E67" i="2"/>
  <c r="M160" i="2"/>
  <c r="M166" i="2"/>
  <c r="E75" i="2"/>
  <c r="F58" i="2"/>
  <c r="G58" i="2" s="1"/>
  <c r="F50" i="2"/>
  <c r="G50" i="2" s="1"/>
  <c r="J44" i="2"/>
  <c r="K44" i="2" s="1"/>
  <c r="J30" i="2"/>
  <c r="K30" i="2" s="1"/>
  <c r="E103" i="2"/>
  <c r="D68" i="2"/>
  <c r="E68" i="2" s="1"/>
  <c r="H67" i="2"/>
  <c r="I67" i="2" s="1"/>
  <c r="N53" i="2"/>
  <c r="O53" i="2" s="1"/>
  <c r="L35" i="2"/>
  <c r="M35" i="2" s="1"/>
  <c r="E52" i="2"/>
  <c r="N36" i="2"/>
  <c r="O36" i="2" s="1"/>
  <c r="H52" i="2"/>
  <c r="I52" i="2" s="1"/>
  <c r="N54" i="2"/>
  <c r="O54" i="2" s="1"/>
  <c r="J55" i="2"/>
  <c r="K55" i="2" s="1"/>
  <c r="E74" i="2"/>
  <c r="F93" i="2"/>
  <c r="G93" i="2" s="1"/>
  <c r="O141" i="2"/>
  <c r="L181" i="2"/>
  <c r="M181" i="2" s="1"/>
  <c r="O185" i="2"/>
  <c r="J188" i="2"/>
  <c r="K188" i="2" s="1"/>
  <c r="K190" i="2"/>
  <c r="O192" i="2"/>
  <c r="J35" i="2"/>
  <c r="K35" i="2" s="1"/>
  <c r="N44" i="2"/>
  <c r="O44" i="2" s="1"/>
  <c r="E63" i="2"/>
  <c r="M84" i="2"/>
  <c r="D107" i="2"/>
  <c r="E107" i="2" s="1"/>
  <c r="G142" i="2"/>
  <c r="G154" i="2"/>
  <c r="I181" i="2"/>
  <c r="E183" i="2"/>
  <c r="O188" i="2"/>
  <c r="E195" i="2"/>
  <c r="G197" i="2"/>
  <c r="I199" i="2"/>
  <c r="H189" i="4"/>
  <c r="H185" i="4"/>
  <c r="E181" i="4"/>
  <c r="G181" i="4"/>
  <c r="H181" i="4" s="1"/>
  <c r="H177" i="4"/>
  <c r="H173" i="4"/>
  <c r="E169" i="4"/>
  <c r="F169" i="4" s="1"/>
  <c r="G169" i="4"/>
  <c r="H169" i="4" s="1"/>
  <c r="E165" i="4"/>
  <c r="G165" i="4"/>
  <c r="H165" i="4" s="1"/>
  <c r="H161" i="4"/>
  <c r="H157" i="4"/>
  <c r="H153" i="4"/>
  <c r="H149" i="4"/>
  <c r="H145" i="4"/>
  <c r="H141" i="4"/>
  <c r="H137" i="4"/>
  <c r="H133" i="4"/>
  <c r="C129" i="4"/>
  <c r="D129" i="4" s="1"/>
  <c r="G129" i="4"/>
  <c r="H129" i="4" s="1"/>
  <c r="H125" i="4"/>
  <c r="H121" i="4"/>
  <c r="H117" i="4"/>
  <c r="H113" i="4"/>
  <c r="H109" i="4"/>
  <c r="E105" i="4"/>
  <c r="F105" i="4" s="1"/>
  <c r="G105" i="4"/>
  <c r="H105" i="4" s="1"/>
  <c r="H101" i="4"/>
  <c r="H97" i="4"/>
  <c r="H93" i="4"/>
  <c r="H89" i="4"/>
  <c r="H85" i="4"/>
  <c r="H81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20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M199" i="3"/>
  <c r="O200" i="3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77" i="4"/>
  <c r="H73" i="4"/>
  <c r="H69" i="4"/>
  <c r="C65" i="4"/>
  <c r="D65" i="4" s="1"/>
  <c r="G65" i="4"/>
  <c r="H65" i="4" s="1"/>
  <c r="H61" i="4"/>
  <c r="H57" i="4"/>
  <c r="H53" i="4"/>
  <c r="H49" i="4"/>
  <c r="H45" i="4"/>
  <c r="E41" i="4"/>
  <c r="F41" i="4" s="1"/>
  <c r="G41" i="4"/>
  <c r="H41" i="4" s="1"/>
  <c r="H37" i="4"/>
  <c r="H33" i="4"/>
  <c r="H29" i="4"/>
  <c r="H25" i="4"/>
  <c r="H21" i="4"/>
  <c r="D151" i="3"/>
  <c r="E151" i="3" s="1"/>
  <c r="D158" i="3"/>
  <c r="E158" i="3" s="1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E57" i="4"/>
  <c r="F57" i="4" s="1"/>
  <c r="E25" i="5"/>
  <c r="F25" i="5" s="1"/>
  <c r="E26" i="5"/>
  <c r="F26" i="5" s="1"/>
  <c r="E31" i="5"/>
  <c r="F31" i="5" s="1"/>
  <c r="C34" i="5"/>
  <c r="D34" i="5" s="1"/>
  <c r="E41" i="5"/>
  <c r="F41" i="5" s="1"/>
  <c r="E42" i="5"/>
  <c r="F42" i="5" s="1"/>
  <c r="E47" i="5"/>
  <c r="F47" i="5" s="1"/>
  <c r="C50" i="5"/>
  <c r="D50" i="5" s="1"/>
  <c r="E57" i="5"/>
  <c r="F57" i="5" s="1"/>
  <c r="E58" i="5"/>
  <c r="F58" i="5" s="1"/>
  <c r="E63" i="5"/>
  <c r="F63" i="5" s="1"/>
  <c r="C66" i="5"/>
  <c r="D66" i="5" s="1"/>
  <c r="E73" i="5"/>
  <c r="F73" i="5" s="1"/>
  <c r="E74" i="5"/>
  <c r="F74" i="5" s="1"/>
  <c r="E79" i="5"/>
  <c r="F79" i="5" s="1"/>
  <c r="C82" i="5"/>
  <c r="D82" i="5" s="1"/>
  <c r="E89" i="5"/>
  <c r="F89" i="5" s="1"/>
  <c r="E90" i="5"/>
  <c r="F90" i="5" s="1"/>
  <c r="E95" i="5"/>
  <c r="F95" i="5" s="1"/>
  <c r="C98" i="5"/>
  <c r="D98" i="5" s="1"/>
  <c r="E105" i="5"/>
  <c r="F105" i="5" s="1"/>
  <c r="E111" i="5"/>
  <c r="F111" i="5" s="1"/>
  <c r="C114" i="5"/>
  <c r="D114" i="5" s="1"/>
  <c r="C116" i="5"/>
  <c r="D116" i="5" s="1"/>
  <c r="C118" i="5"/>
  <c r="D118" i="5" s="1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D150" i="3"/>
  <c r="E150" i="3" s="1"/>
  <c r="D159" i="3"/>
  <c r="E159" i="3" s="1"/>
  <c r="E29" i="5"/>
  <c r="F29" i="5" s="1"/>
  <c r="E30" i="5"/>
  <c r="F30" i="5" s="1"/>
  <c r="E35" i="5"/>
  <c r="F35" i="5" s="1"/>
  <c r="E45" i="5"/>
  <c r="F45" i="5" s="1"/>
  <c r="E46" i="5"/>
  <c r="F46" i="5" s="1"/>
  <c r="E51" i="5"/>
  <c r="F51" i="5" s="1"/>
  <c r="E61" i="5"/>
  <c r="F61" i="5" s="1"/>
  <c r="E62" i="5"/>
  <c r="F62" i="5" s="1"/>
  <c r="E67" i="5"/>
  <c r="F67" i="5" s="1"/>
  <c r="E77" i="5"/>
  <c r="F77" i="5" s="1"/>
  <c r="E78" i="5"/>
  <c r="F78" i="5" s="1"/>
  <c r="E83" i="5"/>
  <c r="F83" i="5" s="1"/>
  <c r="E93" i="5"/>
  <c r="F93" i="5" s="1"/>
  <c r="E94" i="5"/>
  <c r="F94" i="5" s="1"/>
  <c r="E99" i="5"/>
  <c r="F99" i="5" s="1"/>
  <c r="E109" i="5"/>
  <c r="F109" i="5" s="1"/>
  <c r="E120" i="5"/>
  <c r="F120" i="5" s="1"/>
  <c r="E122" i="5"/>
  <c r="F122" i="5" s="1"/>
  <c r="E124" i="5"/>
  <c r="F124" i="5" s="1"/>
  <c r="E126" i="5"/>
  <c r="F126" i="5" s="1"/>
  <c r="E128" i="5"/>
  <c r="F128" i="5" s="1"/>
  <c r="E130" i="5"/>
  <c r="F130" i="5" s="1"/>
  <c r="E132" i="5"/>
  <c r="F132" i="5" s="1"/>
  <c r="E134" i="5"/>
  <c r="F134" i="5" s="1"/>
  <c r="E136" i="5"/>
  <c r="F136" i="5" s="1"/>
  <c r="E138" i="5"/>
  <c r="F138" i="5" s="1"/>
  <c r="E140" i="5"/>
  <c r="F140" i="5" s="1"/>
  <c r="E142" i="5"/>
  <c r="F142" i="5" s="1"/>
  <c r="E144" i="5"/>
  <c r="F144" i="5" s="1"/>
  <c r="E146" i="5"/>
  <c r="F146" i="5" s="1"/>
  <c r="E148" i="5"/>
  <c r="F148" i="5" s="1"/>
  <c r="E150" i="5"/>
  <c r="F150" i="5" s="1"/>
  <c r="E152" i="5"/>
  <c r="F152" i="5" s="1"/>
  <c r="E154" i="5"/>
  <c r="F154" i="5" s="1"/>
  <c r="E156" i="5"/>
  <c r="F156" i="5" s="1"/>
  <c r="E158" i="5"/>
  <c r="F158" i="5" s="1"/>
  <c r="E160" i="5"/>
  <c r="F160" i="5" s="1"/>
  <c r="E162" i="5"/>
  <c r="F162" i="5" s="1"/>
  <c r="E164" i="5"/>
  <c r="F164" i="5" s="1"/>
  <c r="E175" i="5"/>
  <c r="F175" i="5" s="1"/>
  <c r="H46" i="4"/>
  <c r="H42" i="4"/>
  <c r="H38" i="4"/>
  <c r="H34" i="4"/>
  <c r="H30" i="4"/>
  <c r="H26" i="4"/>
  <c r="H22" i="4"/>
  <c r="D155" i="3"/>
  <c r="E155" i="3" s="1"/>
  <c r="E23" i="5"/>
  <c r="F23" i="5" s="1"/>
  <c r="C27" i="5"/>
  <c r="D27" i="5" s="1"/>
  <c r="E33" i="5"/>
  <c r="F33" i="5" s="1"/>
  <c r="E39" i="5"/>
  <c r="F39" i="5" s="1"/>
  <c r="C43" i="5"/>
  <c r="D43" i="5" s="1"/>
  <c r="E49" i="5"/>
  <c r="F49" i="5" s="1"/>
  <c r="E55" i="5"/>
  <c r="F55" i="5" s="1"/>
  <c r="C59" i="5"/>
  <c r="D59" i="5" s="1"/>
  <c r="E65" i="5"/>
  <c r="F65" i="5" s="1"/>
  <c r="E71" i="5"/>
  <c r="F71" i="5" s="1"/>
  <c r="C75" i="5"/>
  <c r="D75" i="5" s="1"/>
  <c r="E81" i="5"/>
  <c r="F81" i="5" s="1"/>
  <c r="E87" i="5"/>
  <c r="F87" i="5" s="1"/>
  <c r="C91" i="5"/>
  <c r="D91" i="5" s="1"/>
  <c r="E97" i="5"/>
  <c r="F97" i="5" s="1"/>
  <c r="E103" i="5"/>
  <c r="F103" i="5" s="1"/>
  <c r="C107" i="5"/>
  <c r="D107" i="5" s="1"/>
  <c r="C179" i="5"/>
  <c r="D179" i="5" s="1"/>
  <c r="C170" i="4"/>
  <c r="D170" i="4" s="1"/>
  <c r="C33" i="4"/>
  <c r="D33" i="4" s="1"/>
  <c r="C160" i="4"/>
  <c r="D160" i="4" s="1"/>
  <c r="F181" i="4"/>
  <c r="E153" i="4"/>
  <c r="F153" i="4" s="1"/>
  <c r="E145" i="4"/>
  <c r="E137" i="4"/>
  <c r="F137" i="4" s="1"/>
  <c r="E129" i="4"/>
  <c r="F129" i="4" s="1"/>
  <c r="C121" i="4"/>
  <c r="D121" i="4" s="1"/>
  <c r="E113" i="4"/>
  <c r="E97" i="4"/>
  <c r="F97" i="4" s="1"/>
  <c r="E89" i="4"/>
  <c r="F89" i="4" s="1"/>
  <c r="E81" i="4"/>
  <c r="F81" i="4" s="1"/>
  <c r="E73" i="4"/>
  <c r="F73" i="4" s="1"/>
  <c r="C57" i="4"/>
  <c r="D57" i="4" s="1"/>
  <c r="E25" i="4"/>
  <c r="F25" i="4" s="1"/>
  <c r="C97" i="4"/>
  <c r="D97" i="4" s="1"/>
  <c r="E121" i="4"/>
  <c r="C181" i="4"/>
  <c r="D181" i="4" s="1"/>
  <c r="L32" i="2"/>
  <c r="M32" i="2" s="1"/>
  <c r="D32" i="2"/>
  <c r="E32" i="2" s="1"/>
  <c r="H32" i="2"/>
  <c r="I32" i="2" s="1"/>
  <c r="N32" i="2"/>
  <c r="O32" i="2" s="1"/>
  <c r="F32" i="2"/>
  <c r="G32" i="2" s="1"/>
  <c r="L76" i="2"/>
  <c r="M76" i="2" s="1"/>
  <c r="D76" i="2"/>
  <c r="E76" i="2" s="1"/>
  <c r="J76" i="2"/>
  <c r="K76" i="2" s="1"/>
  <c r="F76" i="2"/>
  <c r="G76" i="2" s="1"/>
  <c r="F87" i="2"/>
  <c r="G87" i="2" s="1"/>
  <c r="N87" i="2"/>
  <c r="O87" i="2" s="1"/>
  <c r="H87" i="2"/>
  <c r="I87" i="2" s="1"/>
  <c r="J87" i="2"/>
  <c r="K87" i="2" s="1"/>
  <c r="F97" i="2"/>
  <c r="G97" i="2" s="1"/>
  <c r="J97" i="2"/>
  <c r="K97" i="2" s="1"/>
  <c r="L97" i="2"/>
  <c r="M97" i="2" s="1"/>
  <c r="D97" i="2"/>
  <c r="E97" i="2" s="1"/>
  <c r="N110" i="2"/>
  <c r="O110" i="2" s="1"/>
  <c r="F110" i="2"/>
  <c r="G110" i="2" s="1"/>
  <c r="L110" i="2"/>
  <c r="M110" i="2" s="1"/>
  <c r="D110" i="2"/>
  <c r="E110" i="2" s="1"/>
  <c r="L114" i="2"/>
  <c r="M114" i="2" s="1"/>
  <c r="D114" i="2"/>
  <c r="E114" i="2" s="1"/>
  <c r="J114" i="2"/>
  <c r="K114" i="2" s="1"/>
  <c r="H118" i="2"/>
  <c r="I118" i="2" s="1"/>
  <c r="N118" i="2"/>
  <c r="O118" i="2" s="1"/>
  <c r="F118" i="2"/>
  <c r="G118" i="2" s="1"/>
  <c r="L122" i="2"/>
  <c r="M122" i="2" s="1"/>
  <c r="D122" i="2"/>
  <c r="E122" i="2" s="1"/>
  <c r="J122" i="2"/>
  <c r="K122" i="2" s="1"/>
  <c r="H126" i="2"/>
  <c r="I126" i="2" s="1"/>
  <c r="N126" i="2"/>
  <c r="O126" i="2" s="1"/>
  <c r="F126" i="2"/>
  <c r="G126" i="2" s="1"/>
  <c r="H132" i="2"/>
  <c r="I132" i="2" s="1"/>
  <c r="N132" i="2"/>
  <c r="O132" i="2" s="1"/>
  <c r="F132" i="2"/>
  <c r="G132" i="2" s="1"/>
  <c r="L136" i="2"/>
  <c r="M136" i="2" s="1"/>
  <c r="D136" i="2"/>
  <c r="E136" i="2" s="1"/>
  <c r="J136" i="2"/>
  <c r="K136" i="2" s="1"/>
  <c r="L138" i="2"/>
  <c r="M138" i="2" s="1"/>
  <c r="D138" i="2"/>
  <c r="E138" i="2" s="1"/>
  <c r="J138" i="2"/>
  <c r="K138" i="2" s="1"/>
  <c r="F195" i="2"/>
  <c r="G195" i="2" s="1"/>
  <c r="D197" i="2"/>
  <c r="E197" i="2" s="1"/>
  <c r="L142" i="2"/>
  <c r="M142" i="2" s="1"/>
  <c r="F112" i="2"/>
  <c r="G112" i="2" s="1"/>
  <c r="J134" i="2"/>
  <c r="K134" i="2" s="1"/>
  <c r="D118" i="2"/>
  <c r="E118" i="2" s="1"/>
  <c r="J140" i="2"/>
  <c r="K140" i="2" s="1"/>
  <c r="F138" i="2"/>
  <c r="G138" i="2" s="1"/>
  <c r="H138" i="2"/>
  <c r="I138" i="2" s="1"/>
  <c r="N122" i="2"/>
  <c r="O122" i="2" s="1"/>
  <c r="H76" i="2"/>
  <c r="I76" i="2" s="1"/>
  <c r="D38" i="2"/>
  <c r="E38" i="2" s="1"/>
  <c r="L38" i="2"/>
  <c r="M38" i="2" s="1"/>
  <c r="H38" i="2"/>
  <c r="I38" i="2" s="1"/>
  <c r="N38" i="2"/>
  <c r="O38" i="2" s="1"/>
  <c r="F38" i="2"/>
  <c r="G38" i="2" s="1"/>
  <c r="L64" i="2"/>
  <c r="M64" i="2" s="1"/>
  <c r="N64" i="2"/>
  <c r="O64" i="2" s="1"/>
  <c r="H64" i="2"/>
  <c r="I64" i="2" s="1"/>
  <c r="D64" i="2"/>
  <c r="E64" i="2" s="1"/>
  <c r="F64" i="2"/>
  <c r="G64" i="2" s="1"/>
  <c r="L73" i="2"/>
  <c r="M73" i="2" s="1"/>
  <c r="D73" i="2"/>
  <c r="E73" i="2" s="1"/>
  <c r="N73" i="2"/>
  <c r="O73" i="2" s="1"/>
  <c r="F73" i="2"/>
  <c r="G73" i="2" s="1"/>
  <c r="H96" i="2"/>
  <c r="I96" i="2" s="1"/>
  <c r="N96" i="2"/>
  <c r="O96" i="2" s="1"/>
  <c r="L96" i="2"/>
  <c r="M96" i="2" s="1"/>
  <c r="D96" i="2"/>
  <c r="E96" i="2" s="1"/>
  <c r="F96" i="2"/>
  <c r="G96" i="2" s="1"/>
  <c r="H155" i="2"/>
  <c r="I155" i="2" s="1"/>
  <c r="N155" i="2"/>
  <c r="O155" i="2" s="1"/>
  <c r="F155" i="2"/>
  <c r="G155" i="2" s="1"/>
  <c r="D155" i="2"/>
  <c r="E155" i="2" s="1"/>
  <c r="H175" i="2"/>
  <c r="I175" i="2" s="1"/>
  <c r="N175" i="2"/>
  <c r="O175" i="2" s="1"/>
  <c r="F175" i="2"/>
  <c r="G175" i="2" s="1"/>
  <c r="L184" i="2"/>
  <c r="M184" i="2" s="1"/>
  <c r="D184" i="2"/>
  <c r="E184" i="2" s="1"/>
  <c r="N184" i="2"/>
  <c r="O184" i="2" s="1"/>
  <c r="F184" i="2"/>
  <c r="G184" i="2" s="1"/>
  <c r="J184" i="2"/>
  <c r="K184" i="2" s="1"/>
  <c r="F37" i="2"/>
  <c r="G37" i="2" s="1"/>
  <c r="D37" i="2"/>
  <c r="E37" i="2" s="1"/>
  <c r="J37" i="2"/>
  <c r="K37" i="2" s="1"/>
  <c r="L37" i="2"/>
  <c r="M37" i="2" s="1"/>
  <c r="D60" i="2"/>
  <c r="E60" i="2" s="1"/>
  <c r="L60" i="2"/>
  <c r="M60" i="2" s="1"/>
  <c r="H60" i="2"/>
  <c r="I60" i="2" s="1"/>
  <c r="N60" i="2"/>
  <c r="O60" i="2" s="1"/>
  <c r="F60" i="2"/>
  <c r="G60" i="2" s="1"/>
  <c r="L78" i="2"/>
  <c r="M78" i="2" s="1"/>
  <c r="N78" i="2"/>
  <c r="O78" i="2" s="1"/>
  <c r="F78" i="2"/>
  <c r="G78" i="2" s="1"/>
  <c r="D78" i="2"/>
  <c r="E78" i="2" s="1"/>
  <c r="J85" i="2"/>
  <c r="K85" i="2" s="1"/>
  <c r="F85" i="2"/>
  <c r="G85" i="2" s="1"/>
  <c r="N85" i="2"/>
  <c r="O85" i="2" s="1"/>
  <c r="H85" i="2"/>
  <c r="I85" i="2" s="1"/>
  <c r="N100" i="2"/>
  <c r="O100" i="2" s="1"/>
  <c r="H100" i="2"/>
  <c r="I100" i="2" s="1"/>
  <c r="L100" i="2"/>
  <c r="M100" i="2" s="1"/>
  <c r="D100" i="2"/>
  <c r="E100" i="2" s="1"/>
  <c r="F100" i="2"/>
  <c r="G100" i="2" s="1"/>
  <c r="L112" i="2"/>
  <c r="M112" i="2" s="1"/>
  <c r="D112" i="2"/>
  <c r="E112" i="2" s="1"/>
  <c r="J112" i="2"/>
  <c r="K112" i="2" s="1"/>
  <c r="H116" i="2"/>
  <c r="I116" i="2" s="1"/>
  <c r="N116" i="2"/>
  <c r="O116" i="2" s="1"/>
  <c r="F116" i="2"/>
  <c r="G116" i="2" s="1"/>
  <c r="L120" i="2"/>
  <c r="M120" i="2" s="1"/>
  <c r="D120" i="2"/>
  <c r="E120" i="2" s="1"/>
  <c r="J120" i="2"/>
  <c r="K120" i="2" s="1"/>
  <c r="H124" i="2"/>
  <c r="I124" i="2" s="1"/>
  <c r="N124" i="2"/>
  <c r="O124" i="2" s="1"/>
  <c r="F124" i="2"/>
  <c r="G124" i="2" s="1"/>
  <c r="L128" i="2"/>
  <c r="M128" i="2" s="1"/>
  <c r="D128" i="2"/>
  <c r="E128" i="2" s="1"/>
  <c r="J128" i="2"/>
  <c r="K128" i="2" s="1"/>
  <c r="L130" i="2"/>
  <c r="M130" i="2" s="1"/>
  <c r="D130" i="2"/>
  <c r="E130" i="2" s="1"/>
  <c r="J130" i="2"/>
  <c r="K130" i="2" s="1"/>
  <c r="H134" i="2"/>
  <c r="I134" i="2" s="1"/>
  <c r="N134" i="2"/>
  <c r="O134" i="2" s="1"/>
  <c r="F134" i="2"/>
  <c r="G134" i="2" s="1"/>
  <c r="H140" i="2"/>
  <c r="I140" i="2" s="1"/>
  <c r="N140" i="2"/>
  <c r="O140" i="2" s="1"/>
  <c r="F140" i="2"/>
  <c r="G140" i="2" s="1"/>
  <c r="L195" i="2"/>
  <c r="M195" i="2" s="1"/>
  <c r="F186" i="2"/>
  <c r="G186" i="2" s="1"/>
  <c r="D186" i="2"/>
  <c r="E186" i="2" s="1"/>
  <c r="N186" i="2"/>
  <c r="O186" i="2" s="1"/>
  <c r="N136" i="2"/>
  <c r="O136" i="2" s="1"/>
  <c r="F120" i="2"/>
  <c r="G120" i="2" s="1"/>
  <c r="H120" i="2"/>
  <c r="I120" i="2" s="1"/>
  <c r="H110" i="2"/>
  <c r="I110" i="2" s="1"/>
  <c r="D146" i="2"/>
  <c r="E146" i="2" s="1"/>
  <c r="D126" i="2"/>
  <c r="E126" i="2" s="1"/>
  <c r="D132" i="2"/>
  <c r="E132" i="2" s="1"/>
  <c r="J116" i="2"/>
  <c r="K116" i="2" s="1"/>
  <c r="L116" i="2"/>
  <c r="M116" i="2" s="1"/>
  <c r="F130" i="2"/>
  <c r="G130" i="2" s="1"/>
  <c r="H130" i="2"/>
  <c r="I130" i="2" s="1"/>
  <c r="N114" i="2"/>
  <c r="O114" i="2" s="1"/>
  <c r="L87" i="2"/>
  <c r="M87" i="2" s="1"/>
  <c r="H78" i="2"/>
  <c r="I78" i="2" s="1"/>
  <c r="D85" i="2"/>
  <c r="E85" i="2" s="1"/>
  <c r="N37" i="2"/>
  <c r="O37" i="2" s="1"/>
  <c r="L39" i="2"/>
  <c r="M39" i="2" s="1"/>
  <c r="D39" i="2"/>
  <c r="E39" i="2" s="1"/>
  <c r="H39" i="2"/>
  <c r="I39" i="2" s="1"/>
  <c r="N39" i="2"/>
  <c r="O39" i="2" s="1"/>
  <c r="J39" i="2"/>
  <c r="K39" i="2" s="1"/>
  <c r="F39" i="2"/>
  <c r="G39" i="2" s="1"/>
  <c r="F79" i="2"/>
  <c r="G79" i="2" s="1"/>
  <c r="N79" i="2"/>
  <c r="O79" i="2" s="1"/>
  <c r="L79" i="2"/>
  <c r="M79" i="2" s="1"/>
  <c r="D79" i="2"/>
  <c r="E79" i="2" s="1"/>
  <c r="J79" i="2"/>
  <c r="K79" i="2" s="1"/>
  <c r="D86" i="2"/>
  <c r="E86" i="2" s="1"/>
  <c r="L86" i="2"/>
  <c r="M86" i="2" s="1"/>
  <c r="H86" i="2"/>
  <c r="I86" i="2" s="1"/>
  <c r="N86" i="2"/>
  <c r="O86" i="2" s="1"/>
  <c r="F86" i="2"/>
  <c r="G86" i="2" s="1"/>
  <c r="N150" i="2"/>
  <c r="O150" i="2" s="1"/>
  <c r="H150" i="2"/>
  <c r="I150" i="2" s="1"/>
  <c r="L150" i="2"/>
  <c r="M150" i="2" s="1"/>
  <c r="D150" i="2"/>
  <c r="E150" i="2" s="1"/>
  <c r="J150" i="2"/>
  <c r="K150" i="2" s="1"/>
  <c r="L156" i="2"/>
  <c r="M156" i="2" s="1"/>
  <c r="H156" i="2"/>
  <c r="I156" i="2" s="1"/>
  <c r="F156" i="2"/>
  <c r="G156" i="2" s="1"/>
  <c r="N156" i="2"/>
  <c r="O156" i="2" s="1"/>
  <c r="J156" i="2"/>
  <c r="K156" i="2" s="1"/>
  <c r="D156" i="2"/>
  <c r="E156" i="2" s="1"/>
  <c r="H169" i="2"/>
  <c r="I169" i="2" s="1"/>
  <c r="N169" i="2"/>
  <c r="O169" i="2" s="1"/>
  <c r="J169" i="2"/>
  <c r="K169" i="2" s="1"/>
  <c r="J32" i="2"/>
  <c r="K32" i="2" s="1"/>
  <c r="H97" i="2"/>
  <c r="I97" i="2" s="1"/>
  <c r="N138" i="2"/>
  <c r="O138" i="2" s="1"/>
  <c r="F122" i="2"/>
  <c r="G122" i="2" s="1"/>
  <c r="H122" i="2"/>
  <c r="I122" i="2" s="1"/>
  <c r="H37" i="2"/>
  <c r="I37" i="2" s="1"/>
  <c r="L40" i="2"/>
  <c r="M40" i="2" s="1"/>
  <c r="D40" i="2"/>
  <c r="E40" i="2" s="1"/>
  <c r="H40" i="2"/>
  <c r="I40" i="2" s="1"/>
  <c r="N40" i="2"/>
  <c r="O40" i="2" s="1"/>
  <c r="F40" i="2"/>
  <c r="G40" i="2" s="1"/>
  <c r="F49" i="2"/>
  <c r="G49" i="2" s="1"/>
  <c r="L49" i="2"/>
  <c r="M49" i="2" s="1"/>
  <c r="D49" i="2"/>
  <c r="E49" i="2" s="1"/>
  <c r="J49" i="2"/>
  <c r="K49" i="2" s="1"/>
  <c r="N49" i="2"/>
  <c r="O49" i="2" s="1"/>
  <c r="H49" i="2"/>
  <c r="I49" i="2" s="1"/>
  <c r="F59" i="2"/>
  <c r="G59" i="2" s="1"/>
  <c r="J59" i="2"/>
  <c r="K59" i="2" s="1"/>
  <c r="H59" i="2"/>
  <c r="I59" i="2" s="1"/>
  <c r="N59" i="2"/>
  <c r="O59" i="2" s="1"/>
  <c r="D59" i="2"/>
  <c r="E59" i="2" s="1"/>
  <c r="H142" i="2"/>
  <c r="I142" i="2" s="1"/>
  <c r="J142" i="2"/>
  <c r="K142" i="2" s="1"/>
  <c r="D142" i="2"/>
  <c r="E142" i="2" s="1"/>
  <c r="N146" i="2"/>
  <c r="O146" i="2" s="1"/>
  <c r="F146" i="2"/>
  <c r="G146" i="2" s="1"/>
  <c r="L146" i="2"/>
  <c r="M146" i="2" s="1"/>
  <c r="L71" i="2"/>
  <c r="M71" i="2" s="1"/>
  <c r="F46" i="2"/>
  <c r="G46" i="2" s="1"/>
  <c r="F42" i="2"/>
  <c r="G42" i="2" s="1"/>
  <c r="F36" i="2"/>
  <c r="G36" i="2" s="1"/>
  <c r="F34" i="2"/>
  <c r="G34" i="2" s="1"/>
  <c r="J71" i="2"/>
  <c r="K71" i="2" s="1"/>
  <c r="F67" i="2"/>
  <c r="G67" i="2" s="1"/>
  <c r="N63" i="2"/>
  <c r="O63" i="2" s="1"/>
  <c r="F63" i="2"/>
  <c r="G63" i="2" s="1"/>
  <c r="H43" i="2"/>
  <c r="I43" i="2" s="1"/>
  <c r="D35" i="2"/>
  <c r="E35" i="2" s="1"/>
  <c r="H30" i="2"/>
  <c r="I30" i="2" s="1"/>
  <c r="L30" i="2"/>
  <c r="M30" i="2" s="1"/>
  <c r="D30" i="2"/>
  <c r="E30" i="2" s="1"/>
  <c r="J33" i="2"/>
  <c r="K33" i="2" s="1"/>
  <c r="N33" i="2"/>
  <c r="O33" i="2" s="1"/>
  <c r="L33" i="2"/>
  <c r="M33" i="2" s="1"/>
  <c r="D33" i="2"/>
  <c r="E33" i="2" s="1"/>
  <c r="F33" i="2"/>
  <c r="G33" i="2" s="1"/>
  <c r="H33" i="2"/>
  <c r="I33" i="2" s="1"/>
  <c r="H34" i="2"/>
  <c r="I34" i="2" s="1"/>
  <c r="L36" i="2"/>
  <c r="M36" i="2" s="1"/>
  <c r="J41" i="2"/>
  <c r="K41" i="2" s="1"/>
  <c r="N41" i="2"/>
  <c r="O41" i="2" s="1"/>
  <c r="H41" i="2"/>
  <c r="I41" i="2" s="1"/>
  <c r="F41" i="2"/>
  <c r="G41" i="2" s="1"/>
  <c r="L41" i="2"/>
  <c r="M41" i="2" s="1"/>
  <c r="D41" i="2"/>
  <c r="E41" i="2" s="1"/>
  <c r="H42" i="2"/>
  <c r="I42" i="2" s="1"/>
  <c r="L44" i="2"/>
  <c r="M44" i="2" s="1"/>
  <c r="H46" i="2"/>
  <c r="I46" i="2" s="1"/>
  <c r="J47" i="2"/>
  <c r="K47" i="2" s="1"/>
  <c r="L54" i="2"/>
  <c r="M54" i="2" s="1"/>
  <c r="N58" i="2"/>
  <c r="O58" i="2" s="1"/>
  <c r="D58" i="2"/>
  <c r="E58" i="2" s="1"/>
  <c r="N61" i="2"/>
  <c r="O61" i="2" s="1"/>
  <c r="H61" i="2"/>
  <c r="I61" i="2" s="1"/>
  <c r="J61" i="2"/>
  <c r="K61" i="2" s="1"/>
  <c r="L61" i="2"/>
  <c r="M61" i="2" s="1"/>
  <c r="D61" i="2"/>
  <c r="E61" i="2" s="1"/>
  <c r="F61" i="2"/>
  <c r="G61" i="2" s="1"/>
  <c r="H62" i="2"/>
  <c r="I62" i="2" s="1"/>
  <c r="L62" i="2"/>
  <c r="M62" i="2" s="1"/>
  <c r="L66" i="2"/>
  <c r="M66" i="2" s="1"/>
  <c r="H66" i="2"/>
  <c r="I66" i="2" s="1"/>
  <c r="N66" i="2"/>
  <c r="O66" i="2" s="1"/>
  <c r="F69" i="2"/>
  <c r="G69" i="2" s="1"/>
  <c r="F70" i="2"/>
  <c r="G70" i="2" s="1"/>
  <c r="D70" i="2"/>
  <c r="E70" i="2" s="1"/>
  <c r="H70" i="2"/>
  <c r="I70" i="2" s="1"/>
  <c r="J72" i="2"/>
  <c r="K72" i="2" s="1"/>
  <c r="N72" i="2"/>
  <c r="O72" i="2" s="1"/>
  <c r="L72" i="2"/>
  <c r="M72" i="2" s="1"/>
  <c r="J75" i="2"/>
  <c r="K75" i="2" s="1"/>
  <c r="L75" i="2"/>
  <c r="M75" i="2" s="1"/>
  <c r="N80" i="2"/>
  <c r="O80" i="2" s="1"/>
  <c r="H80" i="2"/>
  <c r="I80" i="2" s="1"/>
  <c r="H84" i="2"/>
  <c r="I84" i="2" s="1"/>
  <c r="N84" i="2"/>
  <c r="O84" i="2" s="1"/>
  <c r="N88" i="2"/>
  <c r="O88" i="2" s="1"/>
  <c r="H88" i="2"/>
  <c r="I88" i="2" s="1"/>
  <c r="J91" i="2"/>
  <c r="K91" i="2" s="1"/>
  <c r="N91" i="2"/>
  <c r="O91" i="2" s="1"/>
  <c r="L92" i="2"/>
  <c r="M92" i="2" s="1"/>
  <c r="D92" i="2"/>
  <c r="E92" i="2" s="1"/>
  <c r="J93" i="2"/>
  <c r="K93" i="2" s="1"/>
  <c r="H94" i="2"/>
  <c r="I94" i="2" s="1"/>
  <c r="N94" i="2"/>
  <c r="O94" i="2" s="1"/>
  <c r="D98" i="2"/>
  <c r="E98" i="2" s="1"/>
  <c r="F102" i="2"/>
  <c r="G102" i="2" s="1"/>
  <c r="J104" i="2"/>
  <c r="K104" i="2" s="1"/>
  <c r="H104" i="2"/>
  <c r="I104" i="2" s="1"/>
  <c r="D148" i="2"/>
  <c r="E148" i="2" s="1"/>
  <c r="N153" i="2"/>
  <c r="O153" i="2" s="1"/>
  <c r="D168" i="2"/>
  <c r="E168" i="2" s="1"/>
  <c r="F177" i="2"/>
  <c r="G177" i="2" s="1"/>
  <c r="N177" i="2"/>
  <c r="O177" i="2" s="1"/>
  <c r="H179" i="2"/>
  <c r="I179" i="2" s="1"/>
  <c r="F185" i="2"/>
  <c r="G185" i="2" s="1"/>
  <c r="F188" i="2"/>
  <c r="G188" i="2" s="1"/>
  <c r="L189" i="2"/>
  <c r="M189" i="2" s="1"/>
  <c r="N189" i="2"/>
  <c r="O189" i="2" s="1"/>
  <c r="H189" i="2"/>
  <c r="I189" i="2" s="1"/>
  <c r="L193" i="2"/>
  <c r="M193" i="2" s="1"/>
  <c r="N193" i="2"/>
  <c r="O193" i="2" s="1"/>
  <c r="H193" i="2"/>
  <c r="I193" i="2" s="1"/>
  <c r="E24" i="4"/>
  <c r="F24" i="4" s="1"/>
  <c r="E28" i="4"/>
  <c r="F28" i="4" s="1"/>
  <c r="E32" i="4"/>
  <c r="F32" i="4" s="1"/>
  <c r="E36" i="4"/>
  <c r="F36" i="4" s="1"/>
  <c r="E40" i="4"/>
  <c r="F40" i="4" s="1"/>
  <c r="E44" i="4"/>
  <c r="F44" i="4" s="1"/>
  <c r="E48" i="4"/>
  <c r="F48" i="4" s="1"/>
  <c r="E52" i="4"/>
  <c r="F52" i="4" s="1"/>
  <c r="E56" i="4"/>
  <c r="F56" i="4" s="1"/>
  <c r="E60" i="4"/>
  <c r="F60" i="4" s="1"/>
  <c r="E64" i="4"/>
  <c r="F64" i="4" s="1"/>
  <c r="E68" i="4"/>
  <c r="F68" i="4" s="1"/>
  <c r="E72" i="4"/>
  <c r="F72" i="4" s="1"/>
  <c r="E76" i="4"/>
  <c r="F76" i="4" s="1"/>
  <c r="E80" i="4"/>
  <c r="F80" i="4" s="1"/>
  <c r="E84" i="4"/>
  <c r="F84" i="4" s="1"/>
  <c r="E88" i="4"/>
  <c r="F88" i="4" s="1"/>
  <c r="E92" i="4"/>
  <c r="F92" i="4" s="1"/>
  <c r="E96" i="4"/>
  <c r="F96" i="4" s="1"/>
  <c r="E100" i="4"/>
  <c r="F100" i="4" s="1"/>
  <c r="E104" i="4"/>
  <c r="F104" i="4" s="1"/>
  <c r="E108" i="4"/>
  <c r="F108" i="4" s="1"/>
  <c r="E112" i="4"/>
  <c r="F112" i="4" s="1"/>
  <c r="E116" i="4"/>
  <c r="F116" i="4" s="1"/>
  <c r="E120" i="4"/>
  <c r="F120" i="4" s="1"/>
  <c r="E124" i="4"/>
  <c r="F124" i="4" s="1"/>
  <c r="E128" i="4"/>
  <c r="F128" i="4" s="1"/>
  <c r="E132" i="4"/>
  <c r="F132" i="4" s="1"/>
  <c r="E136" i="4"/>
  <c r="F136" i="4" s="1"/>
  <c r="E140" i="4"/>
  <c r="F140" i="4" s="1"/>
  <c r="E144" i="4"/>
  <c r="F144" i="4" s="1"/>
  <c r="E148" i="4"/>
  <c r="F148" i="4" s="1"/>
  <c r="E152" i="4"/>
  <c r="F152" i="4" s="1"/>
  <c r="E156" i="4"/>
  <c r="F156" i="4" s="1"/>
  <c r="E160" i="4"/>
  <c r="F160" i="4" s="1"/>
  <c r="E164" i="4"/>
  <c r="F164" i="4" s="1"/>
  <c r="E168" i="4"/>
  <c r="F168" i="4" s="1"/>
  <c r="E172" i="4"/>
  <c r="F172" i="4" s="1"/>
  <c r="E176" i="4"/>
  <c r="F176" i="4" s="1"/>
  <c r="E180" i="4"/>
  <c r="F180" i="4" s="1"/>
  <c r="E184" i="4"/>
  <c r="F184" i="4" s="1"/>
  <c r="E188" i="4"/>
  <c r="F188" i="4" s="1"/>
  <c r="E190" i="4"/>
  <c r="F190" i="4" s="1"/>
  <c r="E186" i="4"/>
  <c r="F186" i="4" s="1"/>
  <c r="E182" i="4"/>
  <c r="F182" i="4" s="1"/>
  <c r="C178" i="4"/>
  <c r="D178" i="4" s="1"/>
  <c r="C174" i="4"/>
  <c r="D174" i="4" s="1"/>
  <c r="C162" i="4"/>
  <c r="D162" i="4" s="1"/>
  <c r="C158" i="4"/>
  <c r="D158" i="4" s="1"/>
  <c r="C150" i="4"/>
  <c r="D150" i="4" s="1"/>
  <c r="C142" i="4"/>
  <c r="D142" i="4" s="1"/>
  <c r="C134" i="4"/>
  <c r="D134" i="4" s="1"/>
  <c r="C126" i="4"/>
  <c r="D126" i="4" s="1"/>
  <c r="C118" i="4"/>
  <c r="D118" i="4" s="1"/>
  <c r="C110" i="4"/>
  <c r="D110" i="4" s="1"/>
  <c r="C102" i="4"/>
  <c r="D102" i="4" s="1"/>
  <c r="C94" i="4"/>
  <c r="D94" i="4" s="1"/>
  <c r="C86" i="4"/>
  <c r="D86" i="4" s="1"/>
  <c r="C78" i="4"/>
  <c r="D78" i="4" s="1"/>
  <c r="C70" i="4"/>
  <c r="D70" i="4" s="1"/>
  <c r="C176" i="4"/>
  <c r="D176" i="4" s="1"/>
  <c r="C153" i="4"/>
  <c r="D153" i="4" s="1"/>
  <c r="C89" i="4"/>
  <c r="D89" i="4" s="1"/>
  <c r="C25" i="4"/>
  <c r="D25" i="4" s="1"/>
  <c r="J31" i="2"/>
  <c r="K31" i="2" s="1"/>
  <c r="H31" i="2"/>
  <c r="I31" i="2" s="1"/>
  <c r="N31" i="2"/>
  <c r="O31" i="2" s="1"/>
  <c r="F31" i="2"/>
  <c r="G31" i="2" s="1"/>
  <c r="L31" i="2"/>
  <c r="M31" i="2" s="1"/>
  <c r="D31" i="2"/>
  <c r="E31" i="2" s="1"/>
  <c r="L46" i="2"/>
  <c r="M46" i="2" s="1"/>
  <c r="D50" i="2"/>
  <c r="E50" i="2" s="1"/>
  <c r="N50" i="2"/>
  <c r="O50" i="2" s="1"/>
  <c r="H53" i="2"/>
  <c r="I53" i="2" s="1"/>
  <c r="L53" i="2"/>
  <c r="M53" i="2" s="1"/>
  <c r="D53" i="2"/>
  <c r="E53" i="2" s="1"/>
  <c r="F53" i="2"/>
  <c r="G53" i="2" s="1"/>
  <c r="L55" i="2"/>
  <c r="M55" i="2" s="1"/>
  <c r="D55" i="2"/>
  <c r="E55" i="2" s="1"/>
  <c r="H55" i="2"/>
  <c r="I55" i="2" s="1"/>
  <c r="L56" i="2"/>
  <c r="M56" i="2" s="1"/>
  <c r="D56" i="2"/>
  <c r="E56" i="2" s="1"/>
  <c r="H56" i="2"/>
  <c r="I56" i="2" s="1"/>
  <c r="H82" i="2"/>
  <c r="I82" i="2" s="1"/>
  <c r="L82" i="2"/>
  <c r="M82" i="2" s="1"/>
  <c r="N82" i="2"/>
  <c r="O82" i="2" s="1"/>
  <c r="N95" i="2"/>
  <c r="O95" i="2" s="1"/>
  <c r="J101" i="2"/>
  <c r="K101" i="2" s="1"/>
  <c r="F101" i="2"/>
  <c r="G101" i="2" s="1"/>
  <c r="F147" i="2"/>
  <c r="G147" i="2" s="1"/>
  <c r="L148" i="2"/>
  <c r="M148" i="2" s="1"/>
  <c r="J153" i="2"/>
  <c r="K153" i="2" s="1"/>
  <c r="J154" i="2"/>
  <c r="K154" i="2" s="1"/>
  <c r="N154" i="2"/>
  <c r="O154" i="2" s="1"/>
  <c r="L168" i="2"/>
  <c r="M168" i="2" s="1"/>
  <c r="L179" i="2"/>
  <c r="M179" i="2" s="1"/>
  <c r="N180" i="2"/>
  <c r="O180" i="2" s="1"/>
  <c r="J180" i="2"/>
  <c r="K180" i="2" s="1"/>
  <c r="F180" i="2"/>
  <c r="G180" i="2" s="1"/>
  <c r="F181" i="2"/>
  <c r="G181" i="2" s="1"/>
  <c r="N181" i="2"/>
  <c r="O181" i="2" s="1"/>
  <c r="H187" i="2"/>
  <c r="I187" i="2" s="1"/>
  <c r="L187" i="2"/>
  <c r="M187" i="2" s="1"/>
  <c r="C189" i="4"/>
  <c r="D189" i="4" s="1"/>
  <c r="E185" i="4"/>
  <c r="F185" i="4" s="1"/>
  <c r="C185" i="4"/>
  <c r="D185" i="4" s="1"/>
  <c r="C177" i="4"/>
  <c r="D177" i="4" s="1"/>
  <c r="E177" i="4"/>
  <c r="F177" i="4" s="1"/>
  <c r="E173" i="4"/>
  <c r="F173" i="4" s="1"/>
  <c r="C173" i="4"/>
  <c r="D173" i="4" s="1"/>
  <c r="C169" i="4"/>
  <c r="D169" i="4" s="1"/>
  <c r="F165" i="4"/>
  <c r="C161" i="4"/>
  <c r="D161" i="4" s="1"/>
  <c r="E161" i="4"/>
  <c r="F161" i="4" s="1"/>
  <c r="E157" i="4"/>
  <c r="F157" i="4" s="1"/>
  <c r="C157" i="4"/>
  <c r="D157" i="4" s="1"/>
  <c r="C149" i="4"/>
  <c r="D149" i="4" s="1"/>
  <c r="E149" i="4"/>
  <c r="F149" i="4" s="1"/>
  <c r="F145" i="4"/>
  <c r="E141" i="4"/>
  <c r="F141" i="4" s="1"/>
  <c r="C141" i="4"/>
  <c r="D141" i="4" s="1"/>
  <c r="C133" i="4"/>
  <c r="D133" i="4" s="1"/>
  <c r="E133" i="4"/>
  <c r="F133" i="4" s="1"/>
  <c r="E125" i="4"/>
  <c r="F125" i="4" s="1"/>
  <c r="C125" i="4"/>
  <c r="D125" i="4" s="1"/>
  <c r="C117" i="4"/>
  <c r="D117" i="4" s="1"/>
  <c r="E117" i="4"/>
  <c r="F117" i="4" s="1"/>
  <c r="F113" i="4"/>
  <c r="E109" i="4"/>
  <c r="F109" i="4" s="1"/>
  <c r="C109" i="4"/>
  <c r="D109" i="4" s="1"/>
  <c r="C101" i="4"/>
  <c r="D101" i="4" s="1"/>
  <c r="E101" i="4"/>
  <c r="F101" i="4" s="1"/>
  <c r="E93" i="4"/>
  <c r="F93" i="4" s="1"/>
  <c r="C93" i="4"/>
  <c r="D93" i="4" s="1"/>
  <c r="C85" i="4"/>
  <c r="D85" i="4" s="1"/>
  <c r="E85" i="4"/>
  <c r="F85" i="4" s="1"/>
  <c r="E77" i="4"/>
  <c r="F77" i="4" s="1"/>
  <c r="C77" i="4"/>
  <c r="D77" i="4" s="1"/>
  <c r="C69" i="4"/>
  <c r="D69" i="4" s="1"/>
  <c r="E69" i="4"/>
  <c r="F69" i="4" s="1"/>
  <c r="E65" i="4"/>
  <c r="F65" i="4" s="1"/>
  <c r="E61" i="4"/>
  <c r="F61" i="4" s="1"/>
  <c r="C61" i="4"/>
  <c r="D61" i="4" s="1"/>
  <c r="C53" i="4"/>
  <c r="D53" i="4" s="1"/>
  <c r="E53" i="4"/>
  <c r="F53" i="4" s="1"/>
  <c r="E49" i="4"/>
  <c r="F49" i="4" s="1"/>
  <c r="E45" i="4"/>
  <c r="F45" i="4" s="1"/>
  <c r="C45" i="4"/>
  <c r="D45" i="4" s="1"/>
  <c r="C37" i="4"/>
  <c r="D37" i="4" s="1"/>
  <c r="E37" i="4"/>
  <c r="F37" i="4" s="1"/>
  <c r="E33" i="4"/>
  <c r="F33" i="4" s="1"/>
  <c r="E29" i="4"/>
  <c r="F29" i="4" s="1"/>
  <c r="C29" i="4"/>
  <c r="D29" i="4" s="1"/>
  <c r="C21" i="4"/>
  <c r="D21" i="4" s="1"/>
  <c r="E21" i="4"/>
  <c r="F21" i="4" s="1"/>
  <c r="C145" i="4"/>
  <c r="D145" i="4" s="1"/>
  <c r="C113" i="4"/>
  <c r="D113" i="4" s="1"/>
  <c r="C81" i="4"/>
  <c r="D81" i="4" s="1"/>
  <c r="C49" i="4"/>
  <c r="D49" i="4" s="1"/>
  <c r="E189" i="4"/>
  <c r="F189" i="4" s="1"/>
  <c r="J164" i="3"/>
  <c r="K164" i="3" s="1"/>
  <c r="G154" i="5" s="1"/>
  <c r="D164" i="3"/>
  <c r="E164" i="3" s="1"/>
  <c r="P164" i="3"/>
  <c r="Q164" i="3" s="1"/>
  <c r="L164" i="3"/>
  <c r="M164" i="3" s="1"/>
  <c r="F164" i="3"/>
  <c r="G164" i="3" s="1"/>
  <c r="N164" i="3"/>
  <c r="O164" i="3" s="1"/>
  <c r="H164" i="3"/>
  <c r="I164" i="3" s="1"/>
  <c r="I154" i="4" s="1"/>
  <c r="N34" i="2"/>
  <c r="O34" i="2" s="1"/>
  <c r="D34" i="2"/>
  <c r="E34" i="2" s="1"/>
  <c r="N42" i="2"/>
  <c r="O42" i="2" s="1"/>
  <c r="D42" i="2"/>
  <c r="E42" i="2" s="1"/>
  <c r="L45" i="2"/>
  <c r="M45" i="2" s="1"/>
  <c r="D45" i="2"/>
  <c r="E45" i="2" s="1"/>
  <c r="H45" i="2"/>
  <c r="I45" i="2" s="1"/>
  <c r="F45" i="2"/>
  <c r="G45" i="2" s="1"/>
  <c r="L47" i="2"/>
  <c r="M47" i="2" s="1"/>
  <c r="D47" i="2"/>
  <c r="E47" i="2" s="1"/>
  <c r="H47" i="2"/>
  <c r="I47" i="2" s="1"/>
  <c r="H48" i="2"/>
  <c r="I48" i="2" s="1"/>
  <c r="L48" i="2"/>
  <c r="M48" i="2" s="1"/>
  <c r="D48" i="2"/>
  <c r="E48" i="2" s="1"/>
  <c r="J57" i="2"/>
  <c r="K57" i="2" s="1"/>
  <c r="N57" i="2"/>
  <c r="O57" i="2" s="1"/>
  <c r="H57" i="2"/>
  <c r="I57" i="2" s="1"/>
  <c r="F57" i="2"/>
  <c r="G57" i="2" s="1"/>
  <c r="L57" i="2"/>
  <c r="M57" i="2" s="1"/>
  <c r="D57" i="2"/>
  <c r="E57" i="2" s="1"/>
  <c r="J67" i="2"/>
  <c r="K67" i="2" s="1"/>
  <c r="N67" i="2"/>
  <c r="O67" i="2" s="1"/>
  <c r="L67" i="2"/>
  <c r="M67" i="2" s="1"/>
  <c r="N69" i="2"/>
  <c r="O69" i="2" s="1"/>
  <c r="D69" i="2"/>
  <c r="E69" i="2" s="1"/>
  <c r="N71" i="2"/>
  <c r="O71" i="2" s="1"/>
  <c r="D71" i="2"/>
  <c r="E71" i="2" s="1"/>
  <c r="N90" i="2"/>
  <c r="O90" i="2" s="1"/>
  <c r="H90" i="2"/>
  <c r="I90" i="2" s="1"/>
  <c r="H98" i="2"/>
  <c r="I98" i="2" s="1"/>
  <c r="N98" i="2"/>
  <c r="O98" i="2" s="1"/>
  <c r="N102" i="2"/>
  <c r="O102" i="2" s="1"/>
  <c r="D102" i="2"/>
  <c r="E102" i="2" s="1"/>
  <c r="J102" i="2"/>
  <c r="K102" i="2" s="1"/>
  <c r="L152" i="2"/>
  <c r="M152" i="2" s="1"/>
  <c r="H152" i="2"/>
  <c r="I152" i="2" s="1"/>
  <c r="N158" i="2"/>
  <c r="O158" i="2" s="1"/>
  <c r="H158" i="2"/>
  <c r="I158" i="2" s="1"/>
  <c r="N167" i="2"/>
  <c r="O167" i="2" s="1"/>
  <c r="J167" i="2"/>
  <c r="K167" i="2" s="1"/>
  <c r="H183" i="2"/>
  <c r="I183" i="2" s="1"/>
  <c r="L183" i="2"/>
  <c r="M183" i="2" s="1"/>
  <c r="L185" i="2"/>
  <c r="M185" i="2" s="1"/>
  <c r="H185" i="2"/>
  <c r="I185" i="2" s="1"/>
  <c r="L188" i="2"/>
  <c r="M188" i="2" s="1"/>
  <c r="D188" i="2"/>
  <c r="E188" i="2" s="1"/>
  <c r="L191" i="2"/>
  <c r="M191" i="2" s="1"/>
  <c r="D191" i="2"/>
  <c r="E191" i="2" s="1"/>
  <c r="H191" i="2"/>
  <c r="I191" i="2" s="1"/>
  <c r="F192" i="2"/>
  <c r="G192" i="2" s="1"/>
  <c r="D192" i="2"/>
  <c r="E192" i="2" s="1"/>
  <c r="J192" i="2"/>
  <c r="K192" i="2" s="1"/>
  <c r="C24" i="4"/>
  <c r="D24" i="4" s="1"/>
  <c r="C28" i="4"/>
  <c r="D28" i="4" s="1"/>
  <c r="C32" i="4"/>
  <c r="D32" i="4" s="1"/>
  <c r="C36" i="4"/>
  <c r="D36" i="4" s="1"/>
  <c r="C40" i="4"/>
  <c r="D40" i="4" s="1"/>
  <c r="C44" i="4"/>
  <c r="D44" i="4" s="1"/>
  <c r="C48" i="4"/>
  <c r="D48" i="4" s="1"/>
  <c r="C52" i="4"/>
  <c r="D52" i="4" s="1"/>
  <c r="C56" i="4"/>
  <c r="D56" i="4" s="1"/>
  <c r="C60" i="4"/>
  <c r="D60" i="4" s="1"/>
  <c r="C64" i="4"/>
  <c r="D64" i="4" s="1"/>
  <c r="C68" i="4"/>
  <c r="D68" i="4" s="1"/>
  <c r="C72" i="4"/>
  <c r="D72" i="4" s="1"/>
  <c r="C76" i="4"/>
  <c r="D76" i="4" s="1"/>
  <c r="C80" i="4"/>
  <c r="D80" i="4" s="1"/>
  <c r="C84" i="4"/>
  <c r="D84" i="4" s="1"/>
  <c r="C88" i="4"/>
  <c r="D88" i="4" s="1"/>
  <c r="C92" i="4"/>
  <c r="D92" i="4" s="1"/>
  <c r="C96" i="4"/>
  <c r="D96" i="4" s="1"/>
  <c r="C100" i="4"/>
  <c r="D100" i="4" s="1"/>
  <c r="C104" i="4"/>
  <c r="D104" i="4" s="1"/>
  <c r="C108" i="4"/>
  <c r="D108" i="4" s="1"/>
  <c r="C112" i="4"/>
  <c r="D112" i="4" s="1"/>
  <c r="C116" i="4"/>
  <c r="D116" i="4" s="1"/>
  <c r="C120" i="4"/>
  <c r="D120" i="4" s="1"/>
  <c r="C124" i="4"/>
  <c r="D124" i="4" s="1"/>
  <c r="C128" i="4"/>
  <c r="D128" i="4" s="1"/>
  <c r="C132" i="4"/>
  <c r="D132" i="4" s="1"/>
  <c r="C136" i="4"/>
  <c r="D136" i="4" s="1"/>
  <c r="C140" i="4"/>
  <c r="D140" i="4" s="1"/>
  <c r="C144" i="4"/>
  <c r="D144" i="4" s="1"/>
  <c r="C148" i="4"/>
  <c r="D148" i="4" s="1"/>
  <c r="C152" i="4"/>
  <c r="D152" i="4" s="1"/>
  <c r="C156" i="4"/>
  <c r="D156" i="4" s="1"/>
  <c r="C172" i="4"/>
  <c r="D172" i="4" s="1"/>
  <c r="C188" i="4"/>
  <c r="D188" i="4" s="1"/>
  <c r="C168" i="4"/>
  <c r="D168" i="4" s="1"/>
  <c r="C184" i="4"/>
  <c r="D184" i="4" s="1"/>
  <c r="C22" i="4"/>
  <c r="D22" i="4" s="1"/>
  <c r="C30" i="4"/>
  <c r="D30" i="4" s="1"/>
  <c r="C38" i="4"/>
  <c r="D38" i="4" s="1"/>
  <c r="C46" i="4"/>
  <c r="D46" i="4" s="1"/>
  <c r="C54" i="4"/>
  <c r="D54" i="4" s="1"/>
  <c r="C62" i="4"/>
  <c r="D62" i="4" s="1"/>
  <c r="C164" i="4"/>
  <c r="D164" i="4" s="1"/>
  <c r="C180" i="4"/>
  <c r="D180" i="4" s="1"/>
  <c r="C186" i="4"/>
  <c r="D186" i="4" s="1"/>
  <c r="C165" i="4"/>
  <c r="D165" i="4" s="1"/>
  <c r="C137" i="4"/>
  <c r="D137" i="4" s="1"/>
  <c r="C105" i="4"/>
  <c r="D105" i="4" s="1"/>
  <c r="C73" i="4"/>
  <c r="D73" i="4" s="1"/>
  <c r="C41" i="4"/>
  <c r="D41" i="4" s="1"/>
  <c r="F121" i="4"/>
  <c r="E20" i="5"/>
  <c r="F20" i="5" s="1"/>
  <c r="C20" i="5"/>
  <c r="D20" i="5" s="1"/>
  <c r="E36" i="5"/>
  <c r="F36" i="5" s="1"/>
  <c r="C36" i="5"/>
  <c r="D36" i="5" s="1"/>
  <c r="E52" i="5"/>
  <c r="F52" i="5" s="1"/>
  <c r="C52" i="5"/>
  <c r="D52" i="5" s="1"/>
  <c r="E68" i="5"/>
  <c r="F68" i="5" s="1"/>
  <c r="C68" i="5"/>
  <c r="D68" i="5" s="1"/>
  <c r="E84" i="5"/>
  <c r="F84" i="5" s="1"/>
  <c r="C84" i="5"/>
  <c r="D84" i="5" s="1"/>
  <c r="E100" i="5"/>
  <c r="F100" i="5" s="1"/>
  <c r="C100" i="5"/>
  <c r="D100" i="5" s="1"/>
  <c r="C190" i="4"/>
  <c r="D190" i="4" s="1"/>
  <c r="E178" i="4"/>
  <c r="F178" i="4" s="1"/>
  <c r="M194" i="3"/>
  <c r="M195" i="3"/>
  <c r="M196" i="3"/>
  <c r="M197" i="3"/>
  <c r="M198" i="3"/>
  <c r="E20" i="4"/>
  <c r="F20" i="4" s="1"/>
  <c r="C20" i="4"/>
  <c r="D20" i="4" s="1"/>
  <c r="E187" i="4"/>
  <c r="F187" i="4" s="1"/>
  <c r="C187" i="4"/>
  <c r="D187" i="4" s="1"/>
  <c r="E183" i="4"/>
  <c r="F183" i="4" s="1"/>
  <c r="C183" i="4"/>
  <c r="D183" i="4" s="1"/>
  <c r="E179" i="4"/>
  <c r="F179" i="4" s="1"/>
  <c r="C179" i="4"/>
  <c r="D179" i="4" s="1"/>
  <c r="E175" i="4"/>
  <c r="F175" i="4" s="1"/>
  <c r="C175" i="4"/>
  <c r="D175" i="4" s="1"/>
  <c r="E171" i="4"/>
  <c r="F171" i="4" s="1"/>
  <c r="C171" i="4"/>
  <c r="D171" i="4" s="1"/>
  <c r="E167" i="4"/>
  <c r="F167" i="4" s="1"/>
  <c r="C167" i="4"/>
  <c r="D167" i="4" s="1"/>
  <c r="E163" i="4"/>
  <c r="F163" i="4" s="1"/>
  <c r="C163" i="4"/>
  <c r="D163" i="4" s="1"/>
  <c r="E159" i="4"/>
  <c r="F159" i="4" s="1"/>
  <c r="C159" i="4"/>
  <c r="D159" i="4" s="1"/>
  <c r="E155" i="4"/>
  <c r="F155" i="4" s="1"/>
  <c r="C155" i="4"/>
  <c r="D155" i="4" s="1"/>
  <c r="E151" i="4"/>
  <c r="F151" i="4" s="1"/>
  <c r="C151" i="4"/>
  <c r="D151" i="4" s="1"/>
  <c r="E147" i="4"/>
  <c r="F147" i="4" s="1"/>
  <c r="C147" i="4"/>
  <c r="D147" i="4" s="1"/>
  <c r="E143" i="4"/>
  <c r="F143" i="4" s="1"/>
  <c r="C143" i="4"/>
  <c r="D143" i="4" s="1"/>
  <c r="E139" i="4"/>
  <c r="F139" i="4" s="1"/>
  <c r="C139" i="4"/>
  <c r="D139" i="4" s="1"/>
  <c r="E135" i="4"/>
  <c r="F135" i="4" s="1"/>
  <c r="C135" i="4"/>
  <c r="D135" i="4" s="1"/>
  <c r="E131" i="4"/>
  <c r="F131" i="4" s="1"/>
  <c r="C131" i="4"/>
  <c r="D131" i="4" s="1"/>
  <c r="E127" i="4"/>
  <c r="F127" i="4" s="1"/>
  <c r="C127" i="4"/>
  <c r="D127" i="4" s="1"/>
  <c r="E123" i="4"/>
  <c r="F123" i="4" s="1"/>
  <c r="C123" i="4"/>
  <c r="D123" i="4" s="1"/>
  <c r="E119" i="4"/>
  <c r="F119" i="4" s="1"/>
  <c r="C119" i="4"/>
  <c r="D119" i="4" s="1"/>
  <c r="E115" i="4"/>
  <c r="F115" i="4" s="1"/>
  <c r="C115" i="4"/>
  <c r="D115" i="4" s="1"/>
  <c r="E111" i="4"/>
  <c r="F111" i="4" s="1"/>
  <c r="C111" i="4"/>
  <c r="D111" i="4" s="1"/>
  <c r="E107" i="4"/>
  <c r="F107" i="4" s="1"/>
  <c r="C107" i="4"/>
  <c r="D107" i="4" s="1"/>
  <c r="E103" i="4"/>
  <c r="F103" i="4" s="1"/>
  <c r="C103" i="4"/>
  <c r="D103" i="4" s="1"/>
  <c r="E99" i="4"/>
  <c r="F99" i="4" s="1"/>
  <c r="C99" i="4"/>
  <c r="D99" i="4" s="1"/>
  <c r="E95" i="4"/>
  <c r="F95" i="4" s="1"/>
  <c r="C95" i="4"/>
  <c r="D95" i="4" s="1"/>
  <c r="E91" i="4"/>
  <c r="F91" i="4" s="1"/>
  <c r="C91" i="4"/>
  <c r="D91" i="4" s="1"/>
  <c r="E87" i="4"/>
  <c r="F87" i="4" s="1"/>
  <c r="C87" i="4"/>
  <c r="D87" i="4" s="1"/>
  <c r="E83" i="4"/>
  <c r="F83" i="4" s="1"/>
  <c r="C83" i="4"/>
  <c r="D83" i="4" s="1"/>
  <c r="E79" i="4"/>
  <c r="F79" i="4" s="1"/>
  <c r="C79" i="4"/>
  <c r="D79" i="4" s="1"/>
  <c r="E75" i="4"/>
  <c r="F75" i="4" s="1"/>
  <c r="C75" i="4"/>
  <c r="D75" i="4" s="1"/>
  <c r="E71" i="4"/>
  <c r="F71" i="4" s="1"/>
  <c r="C71" i="4"/>
  <c r="D71" i="4" s="1"/>
  <c r="E67" i="4"/>
  <c r="F67" i="4" s="1"/>
  <c r="C67" i="4"/>
  <c r="D67" i="4" s="1"/>
  <c r="E63" i="4"/>
  <c r="F63" i="4" s="1"/>
  <c r="C63" i="4"/>
  <c r="D63" i="4" s="1"/>
  <c r="E59" i="4"/>
  <c r="F59" i="4" s="1"/>
  <c r="C59" i="4"/>
  <c r="D59" i="4" s="1"/>
  <c r="E55" i="4"/>
  <c r="F55" i="4" s="1"/>
  <c r="C55" i="4"/>
  <c r="D55" i="4" s="1"/>
  <c r="E51" i="4"/>
  <c r="F51" i="4" s="1"/>
  <c r="C51" i="4"/>
  <c r="D51" i="4" s="1"/>
  <c r="E47" i="4"/>
  <c r="F47" i="4" s="1"/>
  <c r="C47" i="4"/>
  <c r="D47" i="4" s="1"/>
  <c r="E43" i="4"/>
  <c r="F43" i="4" s="1"/>
  <c r="C43" i="4"/>
  <c r="D43" i="4" s="1"/>
  <c r="E39" i="4"/>
  <c r="F39" i="4" s="1"/>
  <c r="C39" i="4"/>
  <c r="D39" i="4" s="1"/>
  <c r="E35" i="4"/>
  <c r="F35" i="4" s="1"/>
  <c r="C35" i="4"/>
  <c r="D35" i="4" s="1"/>
  <c r="E31" i="4"/>
  <c r="F31" i="4" s="1"/>
  <c r="C31" i="4"/>
  <c r="D31" i="4" s="1"/>
  <c r="E27" i="4"/>
  <c r="F27" i="4" s="1"/>
  <c r="C27" i="4"/>
  <c r="D27" i="4" s="1"/>
  <c r="E23" i="4"/>
  <c r="F23" i="4" s="1"/>
  <c r="C23" i="4"/>
  <c r="D23" i="4" s="1"/>
  <c r="E174" i="4"/>
  <c r="F174" i="4" s="1"/>
  <c r="E170" i="4"/>
  <c r="F170" i="4" s="1"/>
  <c r="E166" i="4"/>
  <c r="F166" i="4" s="1"/>
  <c r="E162" i="4"/>
  <c r="F162" i="4" s="1"/>
  <c r="E158" i="4"/>
  <c r="F158" i="4" s="1"/>
  <c r="E154" i="4"/>
  <c r="F154" i="4" s="1"/>
  <c r="E150" i="4"/>
  <c r="F150" i="4" s="1"/>
  <c r="E146" i="4"/>
  <c r="F146" i="4" s="1"/>
  <c r="E142" i="4"/>
  <c r="F142" i="4" s="1"/>
  <c r="E138" i="4"/>
  <c r="F138" i="4" s="1"/>
  <c r="E134" i="4"/>
  <c r="F134" i="4" s="1"/>
  <c r="E130" i="4"/>
  <c r="F130" i="4" s="1"/>
  <c r="E126" i="4"/>
  <c r="F126" i="4" s="1"/>
  <c r="E122" i="4"/>
  <c r="F122" i="4" s="1"/>
  <c r="E118" i="4"/>
  <c r="F118" i="4" s="1"/>
  <c r="E114" i="4"/>
  <c r="F114" i="4" s="1"/>
  <c r="E110" i="4"/>
  <c r="F110" i="4" s="1"/>
  <c r="E106" i="4"/>
  <c r="F106" i="4" s="1"/>
  <c r="E102" i="4"/>
  <c r="F102" i="4" s="1"/>
  <c r="E98" i="4"/>
  <c r="F98" i="4" s="1"/>
  <c r="E94" i="4"/>
  <c r="F94" i="4" s="1"/>
  <c r="E90" i="4"/>
  <c r="F90" i="4" s="1"/>
  <c r="E86" i="4"/>
  <c r="F86" i="4" s="1"/>
  <c r="E82" i="4"/>
  <c r="F82" i="4" s="1"/>
  <c r="E78" i="4"/>
  <c r="F78" i="4" s="1"/>
  <c r="E74" i="4"/>
  <c r="F74" i="4" s="1"/>
  <c r="E70" i="4"/>
  <c r="F70" i="4" s="1"/>
  <c r="E66" i="4"/>
  <c r="F66" i="4" s="1"/>
  <c r="E62" i="4"/>
  <c r="F62" i="4" s="1"/>
  <c r="E58" i="4"/>
  <c r="F58" i="4" s="1"/>
  <c r="E54" i="4"/>
  <c r="F54" i="4" s="1"/>
  <c r="E50" i="4"/>
  <c r="F50" i="4" s="1"/>
  <c r="E46" i="4"/>
  <c r="F46" i="4" s="1"/>
  <c r="E42" i="4"/>
  <c r="F42" i="4" s="1"/>
  <c r="E38" i="4"/>
  <c r="F38" i="4" s="1"/>
  <c r="E34" i="4"/>
  <c r="F34" i="4" s="1"/>
  <c r="E30" i="4"/>
  <c r="F30" i="4" s="1"/>
  <c r="E26" i="4"/>
  <c r="F26" i="4" s="1"/>
  <c r="E22" i="4"/>
  <c r="F22" i="4" s="1"/>
  <c r="C182" i="4"/>
  <c r="D182" i="4" s="1"/>
  <c r="C166" i="4"/>
  <c r="D166" i="4" s="1"/>
  <c r="C154" i="4"/>
  <c r="D154" i="4" s="1"/>
  <c r="C146" i="4"/>
  <c r="D146" i="4" s="1"/>
  <c r="C138" i="4"/>
  <c r="D138" i="4" s="1"/>
  <c r="C130" i="4"/>
  <c r="D130" i="4" s="1"/>
  <c r="C122" i="4"/>
  <c r="D122" i="4" s="1"/>
  <c r="C114" i="4"/>
  <c r="D114" i="4" s="1"/>
  <c r="C106" i="4"/>
  <c r="D106" i="4" s="1"/>
  <c r="C98" i="4"/>
  <c r="D98" i="4" s="1"/>
  <c r="C90" i="4"/>
  <c r="D90" i="4" s="1"/>
  <c r="C82" i="4"/>
  <c r="D82" i="4" s="1"/>
  <c r="C74" i="4"/>
  <c r="D74" i="4" s="1"/>
  <c r="C66" i="4"/>
  <c r="D66" i="4" s="1"/>
  <c r="C58" i="4"/>
  <c r="D58" i="4" s="1"/>
  <c r="C50" i="4"/>
  <c r="D50" i="4" s="1"/>
  <c r="C42" i="4"/>
  <c r="D42" i="4" s="1"/>
  <c r="C34" i="4"/>
  <c r="D34" i="4" s="1"/>
  <c r="C26" i="4"/>
  <c r="D26" i="4" s="1"/>
  <c r="J31" i="3"/>
  <c r="K31" i="3" s="1"/>
  <c r="G21" i="5" s="1"/>
  <c r="D31" i="3"/>
  <c r="E31" i="3" s="1"/>
  <c r="J33" i="3"/>
  <c r="K33" i="3" s="1"/>
  <c r="G23" i="5" s="1"/>
  <c r="D33" i="3"/>
  <c r="E33" i="3" s="1"/>
  <c r="H33" i="3"/>
  <c r="I33" i="3" s="1"/>
  <c r="I23" i="4" s="1"/>
  <c r="J35" i="3"/>
  <c r="K35" i="3" s="1"/>
  <c r="G25" i="5" s="1"/>
  <c r="D35" i="3"/>
  <c r="E35" i="3" s="1"/>
  <c r="J37" i="3"/>
  <c r="K37" i="3" s="1"/>
  <c r="G27" i="5" s="1"/>
  <c r="D37" i="3"/>
  <c r="E37" i="3" s="1"/>
  <c r="H37" i="3"/>
  <c r="I37" i="3" s="1"/>
  <c r="I27" i="4" s="1"/>
  <c r="J39" i="3"/>
  <c r="K39" i="3" s="1"/>
  <c r="G29" i="5" s="1"/>
  <c r="D39" i="3"/>
  <c r="E39" i="3" s="1"/>
  <c r="J41" i="3"/>
  <c r="K41" i="3" s="1"/>
  <c r="G31" i="5" s="1"/>
  <c r="D41" i="3"/>
  <c r="E41" i="3" s="1"/>
  <c r="H41" i="3"/>
  <c r="I41" i="3" s="1"/>
  <c r="I31" i="4" s="1"/>
  <c r="J43" i="3"/>
  <c r="K43" i="3" s="1"/>
  <c r="G33" i="5" s="1"/>
  <c r="D43" i="3"/>
  <c r="E43" i="3" s="1"/>
  <c r="J45" i="3"/>
  <c r="K45" i="3" s="1"/>
  <c r="G35" i="5" s="1"/>
  <c r="D45" i="3"/>
  <c r="E45" i="3" s="1"/>
  <c r="H45" i="3"/>
  <c r="I45" i="3" s="1"/>
  <c r="I35" i="4" s="1"/>
  <c r="J47" i="3"/>
  <c r="K47" i="3" s="1"/>
  <c r="G37" i="5" s="1"/>
  <c r="D47" i="3"/>
  <c r="E47" i="3" s="1"/>
  <c r="J49" i="3"/>
  <c r="K49" i="3" s="1"/>
  <c r="G39" i="5" s="1"/>
  <c r="D49" i="3"/>
  <c r="E49" i="3" s="1"/>
  <c r="H49" i="3"/>
  <c r="I49" i="3" s="1"/>
  <c r="I39" i="4" s="1"/>
  <c r="J51" i="3"/>
  <c r="K51" i="3" s="1"/>
  <c r="G41" i="5" s="1"/>
  <c r="D51" i="3"/>
  <c r="E51" i="3" s="1"/>
  <c r="J53" i="3"/>
  <c r="K53" i="3" s="1"/>
  <c r="G43" i="5" s="1"/>
  <c r="D53" i="3"/>
  <c r="E53" i="3" s="1"/>
  <c r="H53" i="3"/>
  <c r="I53" i="3" s="1"/>
  <c r="I43" i="4" s="1"/>
  <c r="J55" i="3"/>
  <c r="K55" i="3" s="1"/>
  <c r="G45" i="5" s="1"/>
  <c r="D55" i="3"/>
  <c r="E55" i="3" s="1"/>
  <c r="J57" i="3"/>
  <c r="K57" i="3" s="1"/>
  <c r="G47" i="5" s="1"/>
  <c r="D57" i="3"/>
  <c r="E57" i="3" s="1"/>
  <c r="H57" i="3"/>
  <c r="I57" i="3" s="1"/>
  <c r="I47" i="4" s="1"/>
  <c r="J59" i="3"/>
  <c r="K59" i="3" s="1"/>
  <c r="G49" i="5" s="1"/>
  <c r="D59" i="3"/>
  <c r="E59" i="3" s="1"/>
  <c r="J61" i="3"/>
  <c r="K61" i="3" s="1"/>
  <c r="G51" i="5" s="1"/>
  <c r="D61" i="3"/>
  <c r="E61" i="3" s="1"/>
  <c r="H61" i="3"/>
  <c r="I61" i="3" s="1"/>
  <c r="I51" i="4" s="1"/>
  <c r="J63" i="3"/>
  <c r="K63" i="3" s="1"/>
  <c r="G53" i="5" s="1"/>
  <c r="D63" i="3"/>
  <c r="E63" i="3" s="1"/>
  <c r="J65" i="3"/>
  <c r="K65" i="3" s="1"/>
  <c r="G55" i="5" s="1"/>
  <c r="D65" i="3"/>
  <c r="E65" i="3" s="1"/>
  <c r="J67" i="3"/>
  <c r="K67" i="3" s="1"/>
  <c r="G57" i="5" s="1"/>
  <c r="D67" i="3"/>
  <c r="E67" i="3" s="1"/>
  <c r="J69" i="3"/>
  <c r="K69" i="3" s="1"/>
  <c r="G59" i="5" s="1"/>
  <c r="D69" i="3"/>
  <c r="E69" i="3" s="1"/>
  <c r="J71" i="3"/>
  <c r="K71" i="3" s="1"/>
  <c r="G61" i="5" s="1"/>
  <c r="D71" i="3"/>
  <c r="E71" i="3" s="1"/>
  <c r="J73" i="3"/>
  <c r="K73" i="3" s="1"/>
  <c r="G63" i="5" s="1"/>
  <c r="D73" i="3"/>
  <c r="E73" i="3" s="1"/>
  <c r="J75" i="3"/>
  <c r="K75" i="3" s="1"/>
  <c r="G65" i="5" s="1"/>
  <c r="D75" i="3"/>
  <c r="E75" i="3" s="1"/>
  <c r="J77" i="3"/>
  <c r="K77" i="3" s="1"/>
  <c r="G67" i="5" s="1"/>
  <c r="D77" i="3"/>
  <c r="E77" i="3" s="1"/>
  <c r="J79" i="3"/>
  <c r="K79" i="3" s="1"/>
  <c r="G69" i="5" s="1"/>
  <c r="D79" i="3"/>
  <c r="E79" i="3" s="1"/>
  <c r="J81" i="3"/>
  <c r="K81" i="3" s="1"/>
  <c r="G71" i="5" s="1"/>
  <c r="D81" i="3"/>
  <c r="E81" i="3" s="1"/>
  <c r="J83" i="3"/>
  <c r="K83" i="3" s="1"/>
  <c r="G73" i="5" s="1"/>
  <c r="D83" i="3"/>
  <c r="E83" i="3" s="1"/>
  <c r="J85" i="3"/>
  <c r="K85" i="3" s="1"/>
  <c r="G75" i="5" s="1"/>
  <c r="D85" i="3"/>
  <c r="E85" i="3" s="1"/>
  <c r="J87" i="3"/>
  <c r="K87" i="3" s="1"/>
  <c r="G77" i="5" s="1"/>
  <c r="D87" i="3"/>
  <c r="E87" i="3" s="1"/>
  <c r="J89" i="3"/>
  <c r="K89" i="3" s="1"/>
  <c r="G79" i="5" s="1"/>
  <c r="D89" i="3"/>
  <c r="E89" i="3" s="1"/>
  <c r="J91" i="3"/>
  <c r="K91" i="3" s="1"/>
  <c r="G81" i="5" s="1"/>
  <c r="D91" i="3"/>
  <c r="E91" i="3" s="1"/>
  <c r="J93" i="3"/>
  <c r="K93" i="3" s="1"/>
  <c r="G83" i="5" s="1"/>
  <c r="D93" i="3"/>
  <c r="E93" i="3" s="1"/>
  <c r="J95" i="3"/>
  <c r="K95" i="3" s="1"/>
  <c r="G85" i="5" s="1"/>
  <c r="D95" i="3"/>
  <c r="E95" i="3" s="1"/>
  <c r="J97" i="3"/>
  <c r="K97" i="3" s="1"/>
  <c r="G87" i="5" s="1"/>
  <c r="D97" i="3"/>
  <c r="E97" i="3" s="1"/>
  <c r="J99" i="3"/>
  <c r="K99" i="3" s="1"/>
  <c r="G89" i="5" s="1"/>
  <c r="D99" i="3"/>
  <c r="E99" i="3" s="1"/>
  <c r="J101" i="3"/>
  <c r="K101" i="3" s="1"/>
  <c r="G91" i="5" s="1"/>
  <c r="D101" i="3"/>
  <c r="E101" i="3" s="1"/>
  <c r="J103" i="3"/>
  <c r="K103" i="3" s="1"/>
  <c r="G93" i="5" s="1"/>
  <c r="D103" i="3"/>
  <c r="E103" i="3" s="1"/>
  <c r="J105" i="3"/>
  <c r="K105" i="3" s="1"/>
  <c r="G95" i="5" s="1"/>
  <c r="D105" i="3"/>
  <c r="E105" i="3" s="1"/>
  <c r="J107" i="3"/>
  <c r="K107" i="3" s="1"/>
  <c r="G97" i="5" s="1"/>
  <c r="D107" i="3"/>
  <c r="E107" i="3" s="1"/>
  <c r="J109" i="3"/>
  <c r="K109" i="3" s="1"/>
  <c r="G99" i="5" s="1"/>
  <c r="D109" i="3"/>
  <c r="E109" i="3" s="1"/>
  <c r="J111" i="3"/>
  <c r="K111" i="3" s="1"/>
  <c r="G101" i="5" s="1"/>
  <c r="D111" i="3"/>
  <c r="E111" i="3" s="1"/>
  <c r="J113" i="3"/>
  <c r="K113" i="3" s="1"/>
  <c r="G103" i="5" s="1"/>
  <c r="D113" i="3"/>
  <c r="E113" i="3" s="1"/>
  <c r="J115" i="3"/>
  <c r="K115" i="3" s="1"/>
  <c r="G105" i="5" s="1"/>
  <c r="D115" i="3"/>
  <c r="E115" i="3" s="1"/>
  <c r="J117" i="3"/>
  <c r="K117" i="3" s="1"/>
  <c r="G107" i="5" s="1"/>
  <c r="D117" i="3"/>
  <c r="E117" i="3" s="1"/>
  <c r="J119" i="3"/>
  <c r="K119" i="3" s="1"/>
  <c r="G109" i="5" s="1"/>
  <c r="D119" i="3"/>
  <c r="E119" i="3" s="1"/>
  <c r="J121" i="3"/>
  <c r="K121" i="3" s="1"/>
  <c r="G111" i="5" s="1"/>
  <c r="D121" i="3"/>
  <c r="E121" i="3" s="1"/>
  <c r="J123" i="3"/>
  <c r="K123" i="3" s="1"/>
  <c r="G113" i="5" s="1"/>
  <c r="D123" i="3"/>
  <c r="E123" i="3" s="1"/>
  <c r="J125" i="3"/>
  <c r="K125" i="3" s="1"/>
  <c r="G115" i="5" s="1"/>
  <c r="D125" i="3"/>
  <c r="E125" i="3" s="1"/>
  <c r="J127" i="3"/>
  <c r="K127" i="3" s="1"/>
  <c r="G117" i="5" s="1"/>
  <c r="D127" i="3"/>
  <c r="E127" i="3" s="1"/>
  <c r="J129" i="3"/>
  <c r="K129" i="3" s="1"/>
  <c r="G119" i="5" s="1"/>
  <c r="D129" i="3"/>
  <c r="E129" i="3" s="1"/>
  <c r="J131" i="3"/>
  <c r="K131" i="3" s="1"/>
  <c r="G121" i="5" s="1"/>
  <c r="D131" i="3"/>
  <c r="E131" i="3" s="1"/>
  <c r="J133" i="3"/>
  <c r="K133" i="3" s="1"/>
  <c r="G123" i="5" s="1"/>
  <c r="D133" i="3"/>
  <c r="E133" i="3" s="1"/>
  <c r="J135" i="3"/>
  <c r="K135" i="3" s="1"/>
  <c r="G125" i="5" s="1"/>
  <c r="D135" i="3"/>
  <c r="E135" i="3" s="1"/>
  <c r="J137" i="3"/>
  <c r="K137" i="3" s="1"/>
  <c r="G127" i="5" s="1"/>
  <c r="D137" i="3"/>
  <c r="E137" i="3" s="1"/>
  <c r="J139" i="3"/>
  <c r="K139" i="3" s="1"/>
  <c r="G129" i="5" s="1"/>
  <c r="D139" i="3"/>
  <c r="E139" i="3" s="1"/>
  <c r="J141" i="3"/>
  <c r="K141" i="3" s="1"/>
  <c r="G131" i="5" s="1"/>
  <c r="D141" i="3"/>
  <c r="E141" i="3" s="1"/>
  <c r="J143" i="3"/>
  <c r="K143" i="3" s="1"/>
  <c r="G133" i="5" s="1"/>
  <c r="D143" i="3"/>
  <c r="E143" i="3" s="1"/>
  <c r="J145" i="3"/>
  <c r="K145" i="3" s="1"/>
  <c r="G135" i="5" s="1"/>
  <c r="D145" i="3"/>
  <c r="E145" i="3" s="1"/>
  <c r="J147" i="3"/>
  <c r="K147" i="3" s="1"/>
  <c r="G137" i="5" s="1"/>
  <c r="D147" i="3"/>
  <c r="E147" i="3" s="1"/>
  <c r="J149" i="3"/>
  <c r="K149" i="3" s="1"/>
  <c r="G139" i="5" s="1"/>
  <c r="D149" i="3"/>
  <c r="E149" i="3" s="1"/>
  <c r="J160" i="3"/>
  <c r="K160" i="3" s="1"/>
  <c r="G150" i="5" s="1"/>
  <c r="D160" i="3"/>
  <c r="E160" i="3" s="1"/>
  <c r="H113" i="3"/>
  <c r="I113" i="3" s="1"/>
  <c r="I103" i="4" s="1"/>
  <c r="H111" i="3"/>
  <c r="I111" i="3" s="1"/>
  <c r="I101" i="4" s="1"/>
  <c r="H97" i="3"/>
  <c r="I97" i="3" s="1"/>
  <c r="I87" i="4" s="1"/>
  <c r="H95" i="3"/>
  <c r="I95" i="3" s="1"/>
  <c r="I85" i="4" s="1"/>
  <c r="H81" i="3"/>
  <c r="I81" i="3" s="1"/>
  <c r="I71" i="4" s="1"/>
  <c r="H79" i="3"/>
  <c r="I79" i="3" s="1"/>
  <c r="I69" i="4" s="1"/>
  <c r="H65" i="3"/>
  <c r="I65" i="3" s="1"/>
  <c r="I55" i="4" s="1"/>
  <c r="J156" i="3"/>
  <c r="K156" i="3" s="1"/>
  <c r="G146" i="5" s="1"/>
  <c r="D156" i="3"/>
  <c r="E156" i="3" s="1"/>
  <c r="E28" i="5"/>
  <c r="F28" i="5" s="1"/>
  <c r="C28" i="5"/>
  <c r="D28" i="5" s="1"/>
  <c r="E44" i="5"/>
  <c r="F44" i="5" s="1"/>
  <c r="C44" i="5"/>
  <c r="D44" i="5" s="1"/>
  <c r="E60" i="5"/>
  <c r="F60" i="5" s="1"/>
  <c r="C60" i="5"/>
  <c r="D60" i="5" s="1"/>
  <c r="E76" i="5"/>
  <c r="F76" i="5" s="1"/>
  <c r="C76" i="5"/>
  <c r="D76" i="5" s="1"/>
  <c r="E92" i="5"/>
  <c r="F92" i="5" s="1"/>
  <c r="C92" i="5"/>
  <c r="D92" i="5" s="1"/>
  <c r="E108" i="5"/>
  <c r="F108" i="5" s="1"/>
  <c r="C108" i="5"/>
  <c r="D108" i="5" s="1"/>
  <c r="J30" i="3"/>
  <c r="K30" i="3" s="1"/>
  <c r="G20" i="5" s="1"/>
  <c r="D30" i="3"/>
  <c r="E30" i="3" s="1"/>
  <c r="J32" i="3"/>
  <c r="K32" i="3" s="1"/>
  <c r="G22" i="5" s="1"/>
  <c r="D32" i="3"/>
  <c r="E32" i="3" s="1"/>
  <c r="J34" i="3"/>
  <c r="K34" i="3" s="1"/>
  <c r="G24" i="5" s="1"/>
  <c r="H34" i="3"/>
  <c r="I34" i="3" s="1"/>
  <c r="I24" i="4" s="1"/>
  <c r="D34" i="3"/>
  <c r="E34" i="3" s="1"/>
  <c r="J36" i="3"/>
  <c r="K36" i="3" s="1"/>
  <c r="G26" i="5" s="1"/>
  <c r="D36" i="3"/>
  <c r="E36" i="3" s="1"/>
  <c r="J38" i="3"/>
  <c r="K38" i="3" s="1"/>
  <c r="G28" i="5" s="1"/>
  <c r="H38" i="3"/>
  <c r="I38" i="3" s="1"/>
  <c r="I28" i="4" s="1"/>
  <c r="D38" i="3"/>
  <c r="E38" i="3" s="1"/>
  <c r="J40" i="3"/>
  <c r="K40" i="3" s="1"/>
  <c r="G30" i="5" s="1"/>
  <c r="D40" i="3"/>
  <c r="E40" i="3" s="1"/>
  <c r="J42" i="3"/>
  <c r="K42" i="3" s="1"/>
  <c r="G32" i="5" s="1"/>
  <c r="H42" i="3"/>
  <c r="I42" i="3" s="1"/>
  <c r="I32" i="4" s="1"/>
  <c r="D42" i="3"/>
  <c r="E42" i="3" s="1"/>
  <c r="J44" i="3"/>
  <c r="K44" i="3" s="1"/>
  <c r="G34" i="5" s="1"/>
  <c r="D44" i="3"/>
  <c r="E44" i="3" s="1"/>
  <c r="J46" i="3"/>
  <c r="K46" i="3" s="1"/>
  <c r="G36" i="5" s="1"/>
  <c r="H46" i="3"/>
  <c r="I46" i="3" s="1"/>
  <c r="I36" i="4" s="1"/>
  <c r="D46" i="3"/>
  <c r="E46" i="3" s="1"/>
  <c r="J48" i="3"/>
  <c r="K48" i="3" s="1"/>
  <c r="G38" i="5" s="1"/>
  <c r="D48" i="3"/>
  <c r="E48" i="3" s="1"/>
  <c r="J50" i="3"/>
  <c r="K50" i="3" s="1"/>
  <c r="G40" i="5" s="1"/>
  <c r="H50" i="3"/>
  <c r="I50" i="3" s="1"/>
  <c r="I40" i="4" s="1"/>
  <c r="D50" i="3"/>
  <c r="E50" i="3" s="1"/>
  <c r="J52" i="3"/>
  <c r="K52" i="3" s="1"/>
  <c r="G42" i="5" s="1"/>
  <c r="D52" i="3"/>
  <c r="E52" i="3" s="1"/>
  <c r="J54" i="3"/>
  <c r="K54" i="3" s="1"/>
  <c r="G44" i="5" s="1"/>
  <c r="H54" i="3"/>
  <c r="I54" i="3" s="1"/>
  <c r="I44" i="4" s="1"/>
  <c r="D54" i="3"/>
  <c r="E54" i="3" s="1"/>
  <c r="J56" i="3"/>
  <c r="K56" i="3" s="1"/>
  <c r="G46" i="5" s="1"/>
  <c r="D56" i="3"/>
  <c r="E56" i="3" s="1"/>
  <c r="J58" i="3"/>
  <c r="K58" i="3" s="1"/>
  <c r="G48" i="5" s="1"/>
  <c r="H58" i="3"/>
  <c r="I58" i="3" s="1"/>
  <c r="I48" i="4" s="1"/>
  <c r="D58" i="3"/>
  <c r="E58" i="3" s="1"/>
  <c r="J60" i="3"/>
  <c r="K60" i="3" s="1"/>
  <c r="G50" i="5" s="1"/>
  <c r="D60" i="3"/>
  <c r="E60" i="3" s="1"/>
  <c r="J62" i="3"/>
  <c r="K62" i="3" s="1"/>
  <c r="G52" i="5" s="1"/>
  <c r="H62" i="3"/>
  <c r="I62" i="3" s="1"/>
  <c r="I52" i="4" s="1"/>
  <c r="D62" i="3"/>
  <c r="E62" i="3" s="1"/>
  <c r="J64" i="3"/>
  <c r="K64" i="3" s="1"/>
  <c r="G54" i="5" s="1"/>
  <c r="D64" i="3"/>
  <c r="E64" i="3" s="1"/>
  <c r="J66" i="3"/>
  <c r="K66" i="3" s="1"/>
  <c r="G56" i="5" s="1"/>
  <c r="H66" i="3"/>
  <c r="I66" i="3" s="1"/>
  <c r="I56" i="4" s="1"/>
  <c r="D66" i="3"/>
  <c r="E66" i="3" s="1"/>
  <c r="J68" i="3"/>
  <c r="K68" i="3" s="1"/>
  <c r="G58" i="5" s="1"/>
  <c r="D68" i="3"/>
  <c r="E68" i="3" s="1"/>
  <c r="J70" i="3"/>
  <c r="K70" i="3" s="1"/>
  <c r="G60" i="5" s="1"/>
  <c r="H70" i="3"/>
  <c r="I70" i="3" s="1"/>
  <c r="I60" i="4" s="1"/>
  <c r="D70" i="3"/>
  <c r="E70" i="3" s="1"/>
  <c r="J72" i="3"/>
  <c r="K72" i="3" s="1"/>
  <c r="G62" i="5" s="1"/>
  <c r="D72" i="3"/>
  <c r="E72" i="3" s="1"/>
  <c r="J74" i="3"/>
  <c r="K74" i="3" s="1"/>
  <c r="G64" i="5" s="1"/>
  <c r="H74" i="3"/>
  <c r="I74" i="3" s="1"/>
  <c r="I64" i="4" s="1"/>
  <c r="D74" i="3"/>
  <c r="E74" i="3" s="1"/>
  <c r="J76" i="3"/>
  <c r="K76" i="3" s="1"/>
  <c r="G66" i="5" s="1"/>
  <c r="D76" i="3"/>
  <c r="E76" i="3" s="1"/>
  <c r="J78" i="3"/>
  <c r="K78" i="3" s="1"/>
  <c r="G68" i="5" s="1"/>
  <c r="H78" i="3"/>
  <c r="I78" i="3" s="1"/>
  <c r="I68" i="4" s="1"/>
  <c r="D78" i="3"/>
  <c r="E78" i="3" s="1"/>
  <c r="J80" i="3"/>
  <c r="K80" i="3" s="1"/>
  <c r="G70" i="5" s="1"/>
  <c r="D80" i="3"/>
  <c r="E80" i="3" s="1"/>
  <c r="J82" i="3"/>
  <c r="K82" i="3" s="1"/>
  <c r="G72" i="5" s="1"/>
  <c r="H82" i="3"/>
  <c r="I82" i="3" s="1"/>
  <c r="I72" i="4" s="1"/>
  <c r="D82" i="3"/>
  <c r="E82" i="3" s="1"/>
  <c r="J84" i="3"/>
  <c r="K84" i="3" s="1"/>
  <c r="G74" i="5" s="1"/>
  <c r="D84" i="3"/>
  <c r="E84" i="3" s="1"/>
  <c r="J86" i="3"/>
  <c r="K86" i="3" s="1"/>
  <c r="G76" i="5" s="1"/>
  <c r="H86" i="3"/>
  <c r="I86" i="3" s="1"/>
  <c r="I76" i="4" s="1"/>
  <c r="D86" i="3"/>
  <c r="E86" i="3" s="1"/>
  <c r="J88" i="3"/>
  <c r="K88" i="3" s="1"/>
  <c r="G78" i="5" s="1"/>
  <c r="D88" i="3"/>
  <c r="E88" i="3" s="1"/>
  <c r="J90" i="3"/>
  <c r="K90" i="3" s="1"/>
  <c r="G80" i="5" s="1"/>
  <c r="H90" i="3"/>
  <c r="I90" i="3" s="1"/>
  <c r="I80" i="4" s="1"/>
  <c r="D90" i="3"/>
  <c r="E90" i="3" s="1"/>
  <c r="J92" i="3"/>
  <c r="K92" i="3" s="1"/>
  <c r="G82" i="5" s="1"/>
  <c r="D92" i="3"/>
  <c r="E92" i="3" s="1"/>
  <c r="J94" i="3"/>
  <c r="K94" i="3" s="1"/>
  <c r="G84" i="5" s="1"/>
  <c r="H94" i="3"/>
  <c r="I94" i="3" s="1"/>
  <c r="I84" i="4" s="1"/>
  <c r="D94" i="3"/>
  <c r="E94" i="3" s="1"/>
  <c r="J96" i="3"/>
  <c r="K96" i="3" s="1"/>
  <c r="G86" i="5" s="1"/>
  <c r="D96" i="3"/>
  <c r="E96" i="3" s="1"/>
  <c r="J98" i="3"/>
  <c r="K98" i="3" s="1"/>
  <c r="G88" i="5" s="1"/>
  <c r="H98" i="3"/>
  <c r="I98" i="3" s="1"/>
  <c r="I88" i="4" s="1"/>
  <c r="D98" i="3"/>
  <c r="E98" i="3" s="1"/>
  <c r="J100" i="3"/>
  <c r="K100" i="3" s="1"/>
  <c r="G90" i="5" s="1"/>
  <c r="D100" i="3"/>
  <c r="E100" i="3" s="1"/>
  <c r="J102" i="3"/>
  <c r="K102" i="3" s="1"/>
  <c r="G92" i="5" s="1"/>
  <c r="H102" i="3"/>
  <c r="I102" i="3" s="1"/>
  <c r="I92" i="4" s="1"/>
  <c r="D102" i="3"/>
  <c r="E102" i="3" s="1"/>
  <c r="J104" i="3"/>
  <c r="K104" i="3" s="1"/>
  <c r="G94" i="5" s="1"/>
  <c r="D104" i="3"/>
  <c r="E104" i="3" s="1"/>
  <c r="J106" i="3"/>
  <c r="K106" i="3" s="1"/>
  <c r="G96" i="5" s="1"/>
  <c r="H106" i="3"/>
  <c r="I106" i="3" s="1"/>
  <c r="I96" i="4" s="1"/>
  <c r="D106" i="3"/>
  <c r="E106" i="3" s="1"/>
  <c r="J108" i="3"/>
  <c r="K108" i="3" s="1"/>
  <c r="G98" i="5" s="1"/>
  <c r="D108" i="3"/>
  <c r="E108" i="3" s="1"/>
  <c r="J110" i="3"/>
  <c r="K110" i="3" s="1"/>
  <c r="G100" i="5" s="1"/>
  <c r="H110" i="3"/>
  <c r="I110" i="3" s="1"/>
  <c r="I100" i="4" s="1"/>
  <c r="D110" i="3"/>
  <c r="E110" i="3" s="1"/>
  <c r="J112" i="3"/>
  <c r="K112" i="3" s="1"/>
  <c r="G102" i="5" s="1"/>
  <c r="D112" i="3"/>
  <c r="E112" i="3" s="1"/>
  <c r="J114" i="3"/>
  <c r="K114" i="3" s="1"/>
  <c r="G104" i="5" s="1"/>
  <c r="H114" i="3"/>
  <c r="I114" i="3" s="1"/>
  <c r="I104" i="4" s="1"/>
  <c r="D114" i="3"/>
  <c r="E114" i="3" s="1"/>
  <c r="J116" i="3"/>
  <c r="K116" i="3" s="1"/>
  <c r="G106" i="5" s="1"/>
  <c r="D116" i="3"/>
  <c r="E116" i="3" s="1"/>
  <c r="J118" i="3"/>
  <c r="K118" i="3" s="1"/>
  <c r="G108" i="5" s="1"/>
  <c r="H118" i="3"/>
  <c r="I118" i="3" s="1"/>
  <c r="I108" i="4" s="1"/>
  <c r="D118" i="3"/>
  <c r="E118" i="3" s="1"/>
  <c r="J120" i="3"/>
  <c r="K120" i="3" s="1"/>
  <c r="G110" i="5" s="1"/>
  <c r="D120" i="3"/>
  <c r="E120" i="3" s="1"/>
  <c r="J122" i="3"/>
  <c r="K122" i="3" s="1"/>
  <c r="G112" i="5" s="1"/>
  <c r="H122" i="3"/>
  <c r="I122" i="3" s="1"/>
  <c r="I112" i="4" s="1"/>
  <c r="D122" i="3"/>
  <c r="E122" i="3" s="1"/>
  <c r="J124" i="3"/>
  <c r="K124" i="3" s="1"/>
  <c r="G114" i="5" s="1"/>
  <c r="D124" i="3"/>
  <c r="E124" i="3" s="1"/>
  <c r="J126" i="3"/>
  <c r="K126" i="3" s="1"/>
  <c r="G116" i="5" s="1"/>
  <c r="H126" i="3"/>
  <c r="I126" i="3" s="1"/>
  <c r="I116" i="4" s="1"/>
  <c r="D126" i="3"/>
  <c r="E126" i="3" s="1"/>
  <c r="J128" i="3"/>
  <c r="K128" i="3" s="1"/>
  <c r="G118" i="5" s="1"/>
  <c r="D128" i="3"/>
  <c r="E128" i="3" s="1"/>
  <c r="J130" i="3"/>
  <c r="K130" i="3" s="1"/>
  <c r="G120" i="5" s="1"/>
  <c r="H130" i="3"/>
  <c r="I130" i="3" s="1"/>
  <c r="I120" i="4" s="1"/>
  <c r="D130" i="3"/>
  <c r="E130" i="3" s="1"/>
  <c r="J132" i="3"/>
  <c r="K132" i="3" s="1"/>
  <c r="G122" i="5" s="1"/>
  <c r="D132" i="3"/>
  <c r="E132" i="3" s="1"/>
  <c r="J134" i="3"/>
  <c r="K134" i="3" s="1"/>
  <c r="G124" i="5" s="1"/>
  <c r="H134" i="3"/>
  <c r="I134" i="3" s="1"/>
  <c r="I124" i="4" s="1"/>
  <c r="D134" i="3"/>
  <c r="E134" i="3" s="1"/>
  <c r="J136" i="3"/>
  <c r="K136" i="3" s="1"/>
  <c r="G126" i="5" s="1"/>
  <c r="D136" i="3"/>
  <c r="E136" i="3" s="1"/>
  <c r="J138" i="3"/>
  <c r="K138" i="3" s="1"/>
  <c r="G128" i="5" s="1"/>
  <c r="H138" i="3"/>
  <c r="I138" i="3" s="1"/>
  <c r="I128" i="4" s="1"/>
  <c r="D138" i="3"/>
  <c r="E138" i="3" s="1"/>
  <c r="J140" i="3"/>
  <c r="K140" i="3" s="1"/>
  <c r="G130" i="5" s="1"/>
  <c r="D140" i="3"/>
  <c r="E140" i="3" s="1"/>
  <c r="J142" i="3"/>
  <c r="K142" i="3" s="1"/>
  <c r="G132" i="5" s="1"/>
  <c r="H142" i="3"/>
  <c r="I142" i="3" s="1"/>
  <c r="I132" i="4" s="1"/>
  <c r="D142" i="3"/>
  <c r="E142" i="3" s="1"/>
  <c r="J144" i="3"/>
  <c r="K144" i="3" s="1"/>
  <c r="G134" i="5" s="1"/>
  <c r="D144" i="3"/>
  <c r="E144" i="3" s="1"/>
  <c r="J146" i="3"/>
  <c r="K146" i="3" s="1"/>
  <c r="G136" i="5" s="1"/>
  <c r="H146" i="3"/>
  <c r="I146" i="3" s="1"/>
  <c r="I136" i="4" s="1"/>
  <c r="D146" i="3"/>
  <c r="E146" i="3" s="1"/>
  <c r="J148" i="3"/>
  <c r="K148" i="3" s="1"/>
  <c r="G138" i="5" s="1"/>
  <c r="D148" i="3"/>
  <c r="E148" i="3" s="1"/>
  <c r="J152" i="3"/>
  <c r="K152" i="3" s="1"/>
  <c r="G142" i="5" s="1"/>
  <c r="D152" i="3"/>
  <c r="E152" i="3" s="1"/>
  <c r="J169" i="3"/>
  <c r="K169" i="3" s="1"/>
  <c r="G159" i="5" s="1"/>
  <c r="D169" i="3"/>
  <c r="E169" i="3" s="1"/>
  <c r="J171" i="3"/>
  <c r="K171" i="3" s="1"/>
  <c r="G161" i="5" s="1"/>
  <c r="D171" i="3"/>
  <c r="E171" i="3" s="1"/>
  <c r="J173" i="3"/>
  <c r="K173" i="3" s="1"/>
  <c r="G163" i="5" s="1"/>
  <c r="D173" i="3"/>
  <c r="E173" i="3" s="1"/>
  <c r="J175" i="3"/>
  <c r="K175" i="3" s="1"/>
  <c r="G165" i="5" s="1"/>
  <c r="D175" i="3"/>
  <c r="E175" i="3" s="1"/>
  <c r="J177" i="3"/>
  <c r="K177" i="3" s="1"/>
  <c r="G167" i="5" s="1"/>
  <c r="D177" i="3"/>
  <c r="E177" i="3" s="1"/>
  <c r="J179" i="3"/>
  <c r="K179" i="3" s="1"/>
  <c r="G169" i="5" s="1"/>
  <c r="D179" i="3"/>
  <c r="E179" i="3" s="1"/>
  <c r="J181" i="3"/>
  <c r="K181" i="3" s="1"/>
  <c r="G171" i="5" s="1"/>
  <c r="D181" i="3"/>
  <c r="E181" i="3" s="1"/>
  <c r="J183" i="3"/>
  <c r="K183" i="3" s="1"/>
  <c r="G173" i="5" s="1"/>
  <c r="D183" i="3"/>
  <c r="E183" i="3" s="1"/>
  <c r="J185" i="3"/>
  <c r="K185" i="3" s="1"/>
  <c r="G175" i="5" s="1"/>
  <c r="D185" i="3"/>
  <c r="E185" i="3" s="1"/>
  <c r="J187" i="3"/>
  <c r="K187" i="3" s="1"/>
  <c r="G177" i="5" s="1"/>
  <c r="D187" i="3"/>
  <c r="E187" i="3" s="1"/>
  <c r="J189" i="3"/>
  <c r="K189" i="3" s="1"/>
  <c r="G179" i="5" s="1"/>
  <c r="D189" i="3"/>
  <c r="E189" i="3" s="1"/>
  <c r="J191" i="3"/>
  <c r="K191" i="3" s="1"/>
  <c r="G181" i="5" s="1"/>
  <c r="D191" i="3"/>
  <c r="E191" i="3" s="1"/>
  <c r="J193" i="3"/>
  <c r="K193" i="3" s="1"/>
  <c r="G183" i="5" s="1"/>
  <c r="D193" i="3"/>
  <c r="E193" i="3" s="1"/>
  <c r="J195" i="3"/>
  <c r="K195" i="3" s="1"/>
  <c r="G185" i="5" s="1"/>
  <c r="D195" i="3"/>
  <c r="E195" i="3" s="1"/>
  <c r="J197" i="3"/>
  <c r="K197" i="3" s="1"/>
  <c r="G187" i="5" s="1"/>
  <c r="D197" i="3"/>
  <c r="E197" i="3" s="1"/>
  <c r="J199" i="3"/>
  <c r="K199" i="3" s="1"/>
  <c r="G189" i="5" s="1"/>
  <c r="D199" i="3"/>
  <c r="E199" i="3" s="1"/>
  <c r="D153" i="3"/>
  <c r="E153" i="3" s="1"/>
  <c r="D157" i="3"/>
  <c r="E157" i="3" s="1"/>
  <c r="D161" i="3"/>
  <c r="E161" i="3" s="1"/>
  <c r="D165" i="3"/>
  <c r="E165" i="3" s="1"/>
  <c r="J200" i="3"/>
  <c r="K200" i="3" s="1"/>
  <c r="G190" i="5" s="1"/>
  <c r="D200" i="3"/>
  <c r="E200" i="3" s="1"/>
  <c r="E24" i="5"/>
  <c r="F24" i="5" s="1"/>
  <c r="C24" i="5"/>
  <c r="D24" i="5" s="1"/>
  <c r="E32" i="5"/>
  <c r="F32" i="5" s="1"/>
  <c r="C32" i="5"/>
  <c r="D32" i="5" s="1"/>
  <c r="E40" i="5"/>
  <c r="F40" i="5" s="1"/>
  <c r="C40" i="5"/>
  <c r="D40" i="5" s="1"/>
  <c r="E48" i="5"/>
  <c r="F48" i="5" s="1"/>
  <c r="C48" i="5"/>
  <c r="D48" i="5" s="1"/>
  <c r="E56" i="5"/>
  <c r="F56" i="5" s="1"/>
  <c r="C56" i="5"/>
  <c r="D56" i="5" s="1"/>
  <c r="E64" i="5"/>
  <c r="F64" i="5" s="1"/>
  <c r="C64" i="5"/>
  <c r="D64" i="5" s="1"/>
  <c r="E72" i="5"/>
  <c r="F72" i="5" s="1"/>
  <c r="C72" i="5"/>
  <c r="D72" i="5" s="1"/>
  <c r="E80" i="5"/>
  <c r="F80" i="5" s="1"/>
  <c r="C80" i="5"/>
  <c r="D80" i="5" s="1"/>
  <c r="E88" i="5"/>
  <c r="F88" i="5" s="1"/>
  <c r="C88" i="5"/>
  <c r="D88" i="5" s="1"/>
  <c r="E96" i="5"/>
  <c r="F96" i="5" s="1"/>
  <c r="C96" i="5"/>
  <c r="D96" i="5" s="1"/>
  <c r="E104" i="5"/>
  <c r="F104" i="5" s="1"/>
  <c r="C104" i="5"/>
  <c r="D104" i="5" s="1"/>
  <c r="E112" i="5"/>
  <c r="F112" i="5" s="1"/>
  <c r="C112" i="5"/>
  <c r="D112" i="5" s="1"/>
  <c r="J168" i="3"/>
  <c r="K168" i="3" s="1"/>
  <c r="G158" i="5" s="1"/>
  <c r="D168" i="3"/>
  <c r="E168" i="3" s="1"/>
  <c r="J170" i="3"/>
  <c r="K170" i="3" s="1"/>
  <c r="G160" i="5" s="1"/>
  <c r="D170" i="3"/>
  <c r="E170" i="3" s="1"/>
  <c r="J172" i="3"/>
  <c r="K172" i="3" s="1"/>
  <c r="G162" i="5" s="1"/>
  <c r="D172" i="3"/>
  <c r="E172" i="3" s="1"/>
  <c r="J174" i="3"/>
  <c r="K174" i="3" s="1"/>
  <c r="G164" i="5" s="1"/>
  <c r="D174" i="3"/>
  <c r="E174" i="3" s="1"/>
  <c r="J176" i="3"/>
  <c r="K176" i="3" s="1"/>
  <c r="G166" i="5" s="1"/>
  <c r="D176" i="3"/>
  <c r="E176" i="3" s="1"/>
  <c r="J178" i="3"/>
  <c r="K178" i="3" s="1"/>
  <c r="G168" i="5" s="1"/>
  <c r="D178" i="3"/>
  <c r="E178" i="3" s="1"/>
  <c r="J180" i="3"/>
  <c r="K180" i="3" s="1"/>
  <c r="G170" i="5" s="1"/>
  <c r="D180" i="3"/>
  <c r="E180" i="3" s="1"/>
  <c r="J182" i="3"/>
  <c r="K182" i="3" s="1"/>
  <c r="G172" i="5" s="1"/>
  <c r="D182" i="3"/>
  <c r="E182" i="3" s="1"/>
  <c r="J184" i="3"/>
  <c r="K184" i="3" s="1"/>
  <c r="G174" i="5" s="1"/>
  <c r="D184" i="3"/>
  <c r="E184" i="3" s="1"/>
  <c r="J186" i="3"/>
  <c r="K186" i="3" s="1"/>
  <c r="G176" i="5" s="1"/>
  <c r="D186" i="3"/>
  <c r="E186" i="3" s="1"/>
  <c r="J188" i="3"/>
  <c r="K188" i="3" s="1"/>
  <c r="G178" i="5" s="1"/>
  <c r="D188" i="3"/>
  <c r="E188" i="3" s="1"/>
  <c r="J190" i="3"/>
  <c r="K190" i="3" s="1"/>
  <c r="G180" i="5" s="1"/>
  <c r="D190" i="3"/>
  <c r="E190" i="3" s="1"/>
  <c r="J192" i="3"/>
  <c r="K192" i="3" s="1"/>
  <c r="G182" i="5" s="1"/>
  <c r="D192" i="3"/>
  <c r="E192" i="3" s="1"/>
  <c r="J194" i="3"/>
  <c r="K194" i="3" s="1"/>
  <c r="G184" i="5" s="1"/>
  <c r="D194" i="3"/>
  <c r="E194" i="3" s="1"/>
  <c r="J196" i="3"/>
  <c r="K196" i="3" s="1"/>
  <c r="G186" i="5" s="1"/>
  <c r="D196" i="3"/>
  <c r="E196" i="3" s="1"/>
  <c r="J198" i="3"/>
  <c r="K198" i="3" s="1"/>
  <c r="G188" i="5" s="1"/>
  <c r="D198" i="3"/>
  <c r="E198" i="3" s="1"/>
  <c r="E113" i="5"/>
  <c r="F113" i="5" s="1"/>
  <c r="C113" i="5"/>
  <c r="D113" i="5" s="1"/>
  <c r="E117" i="5"/>
  <c r="F117" i="5" s="1"/>
  <c r="C117" i="5"/>
  <c r="D117" i="5" s="1"/>
  <c r="E121" i="5"/>
  <c r="F121" i="5" s="1"/>
  <c r="C121" i="5"/>
  <c r="D121" i="5" s="1"/>
  <c r="E125" i="5"/>
  <c r="F125" i="5" s="1"/>
  <c r="C125" i="5"/>
  <c r="D125" i="5" s="1"/>
  <c r="E129" i="5"/>
  <c r="F129" i="5" s="1"/>
  <c r="C129" i="5"/>
  <c r="D129" i="5" s="1"/>
  <c r="E133" i="5"/>
  <c r="F133" i="5" s="1"/>
  <c r="C133" i="5"/>
  <c r="D133" i="5" s="1"/>
  <c r="E137" i="5"/>
  <c r="F137" i="5" s="1"/>
  <c r="C137" i="5"/>
  <c r="D137" i="5" s="1"/>
  <c r="E141" i="5"/>
  <c r="F141" i="5" s="1"/>
  <c r="C141" i="5"/>
  <c r="D141" i="5" s="1"/>
  <c r="E145" i="5"/>
  <c r="F145" i="5" s="1"/>
  <c r="C145" i="5"/>
  <c r="D145" i="5" s="1"/>
  <c r="E149" i="5"/>
  <c r="F149" i="5" s="1"/>
  <c r="C149" i="5"/>
  <c r="D149" i="5" s="1"/>
  <c r="E153" i="5"/>
  <c r="F153" i="5" s="1"/>
  <c r="C153" i="5"/>
  <c r="D153" i="5" s="1"/>
  <c r="E157" i="5"/>
  <c r="F157" i="5" s="1"/>
  <c r="C157" i="5"/>
  <c r="D157" i="5" s="1"/>
  <c r="E161" i="5"/>
  <c r="F161" i="5" s="1"/>
  <c r="C161" i="5"/>
  <c r="D161" i="5" s="1"/>
  <c r="E165" i="5"/>
  <c r="F165" i="5" s="1"/>
  <c r="C165" i="5"/>
  <c r="D165" i="5" s="1"/>
  <c r="E169" i="5"/>
  <c r="F169" i="5" s="1"/>
  <c r="C169" i="5"/>
  <c r="D169" i="5" s="1"/>
  <c r="E173" i="5"/>
  <c r="F173" i="5" s="1"/>
  <c r="C173" i="5"/>
  <c r="D173" i="5" s="1"/>
  <c r="C177" i="5"/>
  <c r="D177" i="5" s="1"/>
  <c r="E177" i="5"/>
  <c r="F177" i="5" s="1"/>
  <c r="C187" i="5"/>
  <c r="D187" i="5" s="1"/>
  <c r="C183" i="5"/>
  <c r="D183" i="5" s="1"/>
  <c r="C174" i="5"/>
  <c r="D174" i="5" s="1"/>
  <c r="C166" i="5"/>
  <c r="D166" i="5" s="1"/>
  <c r="C170" i="5"/>
  <c r="D170" i="5" s="1"/>
  <c r="C176" i="5"/>
  <c r="D176" i="5" s="1"/>
  <c r="C180" i="5"/>
  <c r="D180" i="5" s="1"/>
  <c r="C188" i="5"/>
  <c r="D188" i="5" s="1"/>
  <c r="C115" i="5"/>
  <c r="D115" i="5" s="1"/>
  <c r="E115" i="5"/>
  <c r="F115" i="5" s="1"/>
  <c r="C119" i="5"/>
  <c r="D119" i="5" s="1"/>
  <c r="E119" i="5"/>
  <c r="F119" i="5" s="1"/>
  <c r="C123" i="5"/>
  <c r="D123" i="5" s="1"/>
  <c r="E123" i="5"/>
  <c r="F123" i="5" s="1"/>
  <c r="C127" i="5"/>
  <c r="D127" i="5" s="1"/>
  <c r="E127" i="5"/>
  <c r="F127" i="5" s="1"/>
  <c r="C131" i="5"/>
  <c r="D131" i="5" s="1"/>
  <c r="E131" i="5"/>
  <c r="F131" i="5" s="1"/>
  <c r="C135" i="5"/>
  <c r="D135" i="5" s="1"/>
  <c r="E135" i="5"/>
  <c r="F135" i="5" s="1"/>
  <c r="C139" i="5"/>
  <c r="D139" i="5" s="1"/>
  <c r="E139" i="5"/>
  <c r="F139" i="5" s="1"/>
  <c r="C143" i="5"/>
  <c r="D143" i="5" s="1"/>
  <c r="E143" i="5"/>
  <c r="F143" i="5" s="1"/>
  <c r="C147" i="5"/>
  <c r="D147" i="5" s="1"/>
  <c r="E147" i="5"/>
  <c r="F147" i="5" s="1"/>
  <c r="C151" i="5"/>
  <c r="D151" i="5" s="1"/>
  <c r="E151" i="5"/>
  <c r="F151" i="5" s="1"/>
  <c r="C155" i="5"/>
  <c r="D155" i="5" s="1"/>
  <c r="E155" i="5"/>
  <c r="F155" i="5" s="1"/>
  <c r="C159" i="5"/>
  <c r="D159" i="5" s="1"/>
  <c r="E159" i="5"/>
  <c r="F159" i="5" s="1"/>
  <c r="C163" i="5"/>
  <c r="D163" i="5" s="1"/>
  <c r="E163" i="5"/>
  <c r="F163" i="5" s="1"/>
  <c r="C167" i="5"/>
  <c r="D167" i="5" s="1"/>
  <c r="E167" i="5"/>
  <c r="F167" i="5" s="1"/>
  <c r="C171" i="5"/>
  <c r="D171" i="5" s="1"/>
  <c r="E171" i="5"/>
  <c r="F171" i="5" s="1"/>
  <c r="E176" i="5"/>
  <c r="F176" i="5" s="1"/>
  <c r="E180" i="5"/>
  <c r="F180" i="5" s="1"/>
  <c r="C182" i="5"/>
  <c r="D182" i="5" s="1"/>
  <c r="E184" i="5"/>
  <c r="F184" i="5" s="1"/>
  <c r="C186" i="5"/>
  <c r="D186" i="5" s="1"/>
  <c r="E188" i="5"/>
  <c r="F188" i="5" s="1"/>
  <c r="C178" i="5"/>
  <c r="D178" i="5" s="1"/>
  <c r="E181" i="5"/>
  <c r="F181" i="5" s="1"/>
  <c r="C181" i="5"/>
  <c r="D181" i="5" s="1"/>
  <c r="E183" i="5"/>
  <c r="F183" i="5" s="1"/>
  <c r="E185" i="5"/>
  <c r="F185" i="5" s="1"/>
  <c r="C185" i="5"/>
  <c r="D185" i="5" s="1"/>
  <c r="E187" i="5"/>
  <c r="F187" i="5" s="1"/>
  <c r="E189" i="5"/>
  <c r="F189" i="5" s="1"/>
  <c r="C189" i="5"/>
  <c r="D189" i="5" s="1"/>
  <c r="C190" i="5"/>
  <c r="D190" i="5" s="1"/>
  <c r="B54" i="15" l="1"/>
  <c r="A55" i="15"/>
  <c r="G53" i="15"/>
  <c r="H53" i="15"/>
  <c r="F53" i="15"/>
  <c r="B49" i="11"/>
  <c r="A50" i="11"/>
  <c r="H48" i="11"/>
  <c r="G48" i="11"/>
  <c r="F48" i="11"/>
  <c r="B55" i="15" l="1"/>
  <c r="A56" i="15"/>
  <c r="H54" i="15"/>
  <c r="G54" i="15"/>
  <c r="F54" i="15"/>
  <c r="B50" i="11"/>
  <c r="A51" i="11"/>
  <c r="H49" i="11"/>
  <c r="G49" i="11"/>
  <c r="F49" i="11"/>
  <c r="B56" i="15" l="1"/>
  <c r="A57" i="15"/>
  <c r="H55" i="15"/>
  <c r="F55" i="15"/>
  <c r="G55" i="15"/>
  <c r="B51" i="11"/>
  <c r="A52" i="11"/>
  <c r="H50" i="11"/>
  <c r="G50" i="11"/>
  <c r="F50" i="11"/>
  <c r="B57" i="15" l="1"/>
  <c r="A58" i="15"/>
  <c r="G56" i="15"/>
  <c r="H56" i="15"/>
  <c r="F56" i="15"/>
  <c r="B52" i="11"/>
  <c r="A53" i="11"/>
  <c r="H51" i="11"/>
  <c r="G51" i="11"/>
  <c r="F51" i="11"/>
  <c r="B58" i="15" l="1"/>
  <c r="A59" i="15"/>
  <c r="G57" i="15"/>
  <c r="F57" i="15"/>
  <c r="H57" i="15"/>
  <c r="B53" i="11"/>
  <c r="A54" i="11"/>
  <c r="H52" i="11"/>
  <c r="G52" i="11"/>
  <c r="F52" i="11"/>
  <c r="G58" i="15" l="1"/>
  <c r="H58" i="15"/>
  <c r="F58" i="15"/>
  <c r="B59" i="15"/>
  <c r="A60" i="15"/>
  <c r="B54" i="11"/>
  <c r="A55" i="11"/>
  <c r="H53" i="11"/>
  <c r="G53" i="11"/>
  <c r="F53" i="11"/>
  <c r="B60" i="15" l="1"/>
  <c r="A61" i="15"/>
  <c r="H59" i="15"/>
  <c r="G59" i="15"/>
  <c r="F59" i="15"/>
  <c r="B55" i="11"/>
  <c r="A56" i="11"/>
  <c r="H54" i="11"/>
  <c r="G54" i="11"/>
  <c r="F54" i="11"/>
  <c r="B61" i="15" l="1"/>
  <c r="A62" i="15"/>
  <c r="G60" i="15"/>
  <c r="H60" i="15"/>
  <c r="F60" i="15"/>
  <c r="B56" i="11"/>
  <c r="A57" i="11"/>
  <c r="H55" i="11"/>
  <c r="G55" i="11"/>
  <c r="F55" i="11"/>
  <c r="F61" i="15" l="1"/>
  <c r="G61" i="15"/>
  <c r="H61" i="15"/>
  <c r="B62" i="15"/>
  <c r="A63" i="15"/>
  <c r="B57" i="11"/>
  <c r="A58" i="11"/>
  <c r="H56" i="11"/>
  <c r="G56" i="11"/>
  <c r="F56" i="11"/>
  <c r="B63" i="15" l="1"/>
  <c r="A64" i="15"/>
  <c r="G62" i="15"/>
  <c r="H62" i="15"/>
  <c r="F62" i="15"/>
  <c r="B58" i="11"/>
  <c r="A59" i="11"/>
  <c r="H57" i="11"/>
  <c r="G57" i="11"/>
  <c r="F57" i="11"/>
  <c r="B64" i="15" l="1"/>
  <c r="A65" i="15"/>
  <c r="H63" i="15"/>
  <c r="G63" i="15"/>
  <c r="F63" i="15"/>
  <c r="B59" i="11"/>
  <c r="A60" i="11"/>
  <c r="H58" i="11"/>
  <c r="G58" i="11"/>
  <c r="F58" i="11"/>
  <c r="B65" i="15" l="1"/>
  <c r="A66" i="15"/>
  <c r="G64" i="15"/>
  <c r="H64" i="15"/>
  <c r="F64" i="15"/>
  <c r="B60" i="11"/>
  <c r="A61" i="11"/>
  <c r="H59" i="11"/>
  <c r="G59" i="11"/>
  <c r="F59" i="11"/>
  <c r="B66" i="15" l="1"/>
  <c r="A67" i="15"/>
  <c r="F65" i="15"/>
  <c r="H65" i="15"/>
  <c r="G65" i="15"/>
  <c r="B61" i="11"/>
  <c r="A62" i="11"/>
  <c r="H60" i="11"/>
  <c r="G60" i="11"/>
  <c r="F60" i="11"/>
  <c r="B67" i="15" l="1"/>
  <c r="A68" i="15"/>
  <c r="G66" i="15"/>
  <c r="H66" i="15"/>
  <c r="F66" i="15"/>
  <c r="B62" i="11"/>
  <c r="A63" i="11"/>
  <c r="H61" i="11"/>
  <c r="G61" i="11"/>
  <c r="F61" i="11"/>
  <c r="B68" i="15" l="1"/>
  <c r="A69" i="15"/>
  <c r="H67" i="15"/>
  <c r="G67" i="15"/>
  <c r="F67" i="15"/>
  <c r="B63" i="11"/>
  <c r="A64" i="11"/>
  <c r="H62" i="11"/>
  <c r="G62" i="11"/>
  <c r="F62" i="11"/>
  <c r="B69" i="15" l="1"/>
  <c r="A70" i="15"/>
  <c r="G68" i="15"/>
  <c r="H68" i="15"/>
  <c r="F68" i="15"/>
  <c r="B64" i="11"/>
  <c r="A65" i="11"/>
  <c r="H63" i="11"/>
  <c r="G63" i="11"/>
  <c r="F63" i="11"/>
  <c r="B70" i="15" l="1"/>
  <c r="A71" i="15"/>
  <c r="G69" i="15"/>
  <c r="H69" i="15"/>
  <c r="F69" i="15"/>
  <c r="B65" i="11"/>
  <c r="A66" i="11"/>
  <c r="H64" i="11"/>
  <c r="G64" i="11"/>
  <c r="F64" i="11"/>
  <c r="B71" i="15" l="1"/>
  <c r="A72" i="15"/>
  <c r="H70" i="15"/>
  <c r="G70" i="15"/>
  <c r="F70" i="15"/>
  <c r="B66" i="11"/>
  <c r="A67" i="11"/>
  <c r="H65" i="11"/>
  <c r="G65" i="11"/>
  <c r="F65" i="11"/>
  <c r="H71" i="15" l="1"/>
  <c r="F71" i="15"/>
  <c r="G71" i="15"/>
  <c r="B72" i="15"/>
  <c r="A73" i="15"/>
  <c r="B73" i="15" s="1"/>
  <c r="B67" i="11"/>
  <c r="A68" i="11"/>
  <c r="H66" i="11"/>
  <c r="G66" i="11"/>
  <c r="F66" i="11"/>
  <c r="H73" i="15" l="1"/>
  <c r="G73" i="15"/>
  <c r="F73" i="15"/>
  <c r="G72" i="15"/>
  <c r="H72" i="15"/>
  <c r="F72" i="15"/>
  <c r="B68" i="11"/>
  <c r="A69" i="11"/>
  <c r="H67" i="11"/>
  <c r="G67" i="11"/>
  <c r="F67" i="11"/>
  <c r="B69" i="11" l="1"/>
  <c r="A70" i="11"/>
  <c r="H68" i="11"/>
  <c r="G68" i="11"/>
  <c r="F68" i="11"/>
  <c r="B70" i="11" l="1"/>
  <c r="A71" i="11"/>
  <c r="H69" i="11"/>
  <c r="G69" i="11"/>
  <c r="F69" i="11"/>
  <c r="B71" i="11" l="1"/>
  <c r="A72" i="11"/>
  <c r="H70" i="11"/>
  <c r="G70" i="11"/>
  <c r="F70" i="11"/>
  <c r="B72" i="11" l="1"/>
  <c r="A73" i="11"/>
  <c r="B73" i="11" s="1"/>
  <c r="H71" i="11"/>
  <c r="G71" i="11"/>
  <c r="F71" i="11"/>
  <c r="H73" i="11" l="1"/>
  <c r="G73" i="11"/>
  <c r="F73" i="11"/>
  <c r="H72" i="11"/>
  <c r="G72" i="11"/>
  <c r="F72" i="11"/>
</calcChain>
</file>

<file path=xl/sharedStrings.xml><?xml version="1.0" encoding="utf-8"?>
<sst xmlns="http://schemas.openxmlformats.org/spreadsheetml/2006/main" count="1494" uniqueCount="319">
  <si>
    <t>#2016/11/18</t>
    <phoneticPr fontId="1"/>
  </si>
  <si>
    <t>h [m2 kg /s] =</t>
    <phoneticPr fontId="1"/>
  </si>
  <si>
    <t>c [m/s] =</t>
    <phoneticPr fontId="1"/>
  </si>
  <si>
    <t>1 erg =</t>
    <phoneticPr fontId="1"/>
  </si>
  <si>
    <t>J</t>
    <phoneticPr fontId="1"/>
  </si>
  <si>
    <t>WSO-UV/WUVS BoL</t>
    <phoneticPr fontId="1"/>
  </si>
  <si>
    <t>WSO-UV/WUVS EoL</t>
    <phoneticPr fontId="1"/>
  </si>
  <si>
    <t>Diameter, cm</t>
    <phoneticPr fontId="1"/>
  </si>
  <si>
    <t>Reflectivity</t>
    <phoneticPr fontId="1"/>
  </si>
  <si>
    <t>Shustov+2014 Fig8から読み取った</t>
    <rPh sb="19" eb="20">
      <t>ヨ</t>
    </rPh>
    <rPh sb="21" eb="22">
      <t>ト</t>
    </rPh>
    <phoneticPr fontId="1"/>
  </si>
  <si>
    <t>Diffraction efficiency</t>
    <phoneticPr fontId="1"/>
  </si>
  <si>
    <t>Cross-dispersion grating</t>
    <phoneticPr fontId="1"/>
  </si>
  <si>
    <t>MgF2 in transmitance</t>
    <phoneticPr fontId="1"/>
  </si>
  <si>
    <t>Quantum efficiency</t>
    <phoneticPr fontId="1"/>
  </si>
  <si>
    <r>
      <t xml:space="preserve">Throughput </t>
    </r>
    <r>
      <rPr>
        <sz val="11"/>
        <color rgb="FFFF0000"/>
        <rFont val="游ゴシック"/>
        <family val="3"/>
        <charset val="128"/>
        <scheme val="minor"/>
      </rPr>
      <t>@120 nm</t>
    </r>
    <phoneticPr fontId="1"/>
  </si>
  <si>
    <t>Effective area, cm2</t>
    <phoneticPr fontId="1"/>
  </si>
  <si>
    <t>Detecter pix size, um</t>
    <phoneticPr fontId="1"/>
  </si>
  <si>
    <t>resolution element (3x3 pixel)</t>
    <phoneticPr fontId="1"/>
  </si>
  <si>
    <t>Readout noise, e-</t>
    <phoneticPr fontId="1"/>
  </si>
  <si>
    <t>the Number of CCD readouts (10m)</t>
    <phoneticPr fontId="1"/>
  </si>
  <si>
    <t>the Number of CCD readouts (1h)</t>
    <phoneticPr fontId="1"/>
  </si>
  <si>
    <t>the Number of CCD readouts (10h)</t>
    <phoneticPr fontId="1"/>
  </si>
  <si>
    <t>Readout noise (10min), e-</t>
    <phoneticPr fontId="1"/>
  </si>
  <si>
    <t>Readout noise (1h), e-</t>
    <phoneticPr fontId="1"/>
  </si>
  <si>
    <t>Readout noise (10h), e-</t>
    <phoneticPr fontId="1"/>
  </si>
  <si>
    <t>Dark noise, e-/pix/hour</t>
    <phoneticPr fontId="1"/>
  </si>
  <si>
    <t>Dark noise (10m), e-</t>
    <phoneticPr fontId="1"/>
  </si>
  <si>
    <t>Dark noise (1h), e-</t>
    <phoneticPr fontId="1"/>
  </si>
  <si>
    <t>Dark noise (10h), e-</t>
    <phoneticPr fontId="1"/>
  </si>
  <si>
    <t>WSO-UV/WUVS (10m BoL)</t>
    <phoneticPr fontId="1"/>
  </si>
  <si>
    <t>WSO-UV/WUVS (1h BoL)</t>
    <phoneticPr fontId="1"/>
  </si>
  <si>
    <t>WSO-UV/WUVS (10h BoL)</t>
    <phoneticPr fontId="1"/>
  </si>
  <si>
    <t>WSO-UV/WUVS (10m EoL)</t>
    <phoneticPr fontId="1"/>
  </si>
  <si>
    <t>WSO-UV/WUVS (1h EoL)</t>
    <phoneticPr fontId="1"/>
  </si>
  <si>
    <t>WSO-UV/WUVS (10h BoL)</t>
    <phoneticPr fontId="1"/>
  </si>
  <si>
    <t>Stellar Flux, erg/cm2/s</t>
    <phoneticPr fontId="1"/>
  </si>
  <si>
    <t>Stellar Flux, photons/cm2/s</t>
    <phoneticPr fontId="1"/>
  </si>
  <si>
    <t>incoming flux, photons/h</t>
    <phoneticPr fontId="1"/>
  </si>
  <si>
    <t>Signal count, e-</t>
    <phoneticPr fontId="1"/>
  </si>
  <si>
    <t>S/N</t>
    <phoneticPr fontId="1"/>
  </si>
  <si>
    <t>Signal count, count</t>
    <phoneticPr fontId="1"/>
  </si>
  <si>
    <t>S/N</t>
    <phoneticPr fontId="1"/>
  </si>
  <si>
    <t>Signal count, count</t>
    <phoneticPr fontId="1"/>
  </si>
  <si>
    <t>S/N</t>
    <phoneticPr fontId="1"/>
  </si>
  <si>
    <t>#2018/01/11</t>
    <phoneticPr fontId="1"/>
  </si>
  <si>
    <t>@130nm, Shustov+2014 Fig8から読み取った</t>
    <rPh sb="27" eb="28">
      <t>ヨ</t>
    </rPh>
    <rPh sb="29" eb="30">
      <t>ト</t>
    </rPh>
    <phoneticPr fontId="1"/>
  </si>
  <si>
    <r>
      <t xml:space="preserve">Throughput </t>
    </r>
    <r>
      <rPr>
        <sz val="11"/>
        <color rgb="FFFF0000"/>
        <rFont val="游ゴシック"/>
        <family val="3"/>
        <charset val="128"/>
        <scheme val="minor"/>
      </rPr>
      <t>@130 nm</t>
    </r>
    <phoneticPr fontId="1"/>
  </si>
  <si>
    <t>UVSPEX_normal</t>
    <phoneticPr fontId="1"/>
  </si>
  <si>
    <t>UVSPEX_funnel</t>
    <phoneticPr fontId="1"/>
  </si>
  <si>
    <t>Background count rate [count/s]</t>
    <phoneticPr fontId="1"/>
  </si>
  <si>
    <t>Signal size [cm2]</t>
    <phoneticPr fontId="1"/>
  </si>
  <si>
    <t>MCP noise [count/sec/cm2]</t>
    <phoneticPr fontId="1"/>
  </si>
  <si>
    <t>100um角</t>
    <rPh sb="5" eb="6">
      <t>カク</t>
    </rPh>
    <phoneticPr fontId="1"/>
  </si>
  <si>
    <t>Exposure time [h]</t>
    <phoneticPr fontId="1"/>
  </si>
  <si>
    <t>Background count [count]</t>
    <phoneticPr fontId="1"/>
  </si>
  <si>
    <t>Signal count</t>
    <phoneticPr fontId="1"/>
  </si>
  <si>
    <t>WSO-UV/UVSPEX_normal</t>
    <phoneticPr fontId="1"/>
  </si>
  <si>
    <t># Proxima-Cen b</t>
    <phoneticPr fontId="1"/>
  </si>
  <si>
    <t>erg/cm2/s</t>
    <phoneticPr fontId="1"/>
  </si>
  <si>
    <t>WSO-UV/UVSPEX_funnel</t>
    <phoneticPr fontId="1"/>
  </si>
  <si>
    <t>WSO-UV/WUVS</t>
    <phoneticPr fontId="1"/>
  </si>
  <si>
    <t>S/N</t>
    <phoneticPr fontId="1"/>
  </si>
  <si>
    <t>#Stellar Flux, erg/cm2/s</t>
    <phoneticPr fontId="1"/>
  </si>
  <si>
    <t># 130nm, 10h exp.</t>
    <phoneticPr fontId="1"/>
  </si>
  <si>
    <t>WSO-UV/WUVS (50h BoL)</t>
    <phoneticPr fontId="1"/>
  </si>
  <si>
    <t># 130nm, 50h exp.</t>
    <phoneticPr fontId="1"/>
  </si>
  <si>
    <t>UVSPEX_normal</t>
    <phoneticPr fontId="1"/>
  </si>
  <si>
    <t>UVSPEX_funnel</t>
    <phoneticPr fontId="1"/>
  </si>
  <si>
    <t>WUVS</t>
    <phoneticPr fontId="1"/>
  </si>
  <si>
    <t># 50h積分</t>
    <rPh sb="5" eb="7">
      <t>セキブン</t>
    </rPh>
    <phoneticPr fontId="1"/>
  </si>
  <si>
    <t>SNR</t>
    <phoneticPr fontId="1"/>
  </si>
  <si>
    <t>Stellar flux [erg/s/cm2]</t>
    <phoneticPr fontId="1"/>
  </si>
  <si>
    <t>Detectable range [pc]</t>
    <phoneticPr fontId="1"/>
  </si>
  <si>
    <t>Proxima Cen</t>
    <phoneticPr fontId="1"/>
  </si>
  <si>
    <t>erg/s/cm2</t>
    <phoneticPr fontId="1"/>
  </si>
  <si>
    <t>pc</t>
    <phoneticPr fontId="1"/>
  </si>
  <si>
    <t># 2018/01/15</t>
    <phoneticPr fontId="1"/>
  </si>
  <si>
    <t>h [m2 kg /s] =</t>
    <phoneticPr fontId="1"/>
  </si>
  <si>
    <t>c [m/s] =</t>
    <phoneticPr fontId="1"/>
  </si>
  <si>
    <t>1 erg =</t>
    <phoneticPr fontId="1"/>
  </si>
  <si>
    <t>J</t>
    <phoneticPr fontId="1"/>
  </si>
  <si>
    <t>Primary mirror diameter [cm]</t>
    <phoneticPr fontId="1"/>
  </si>
  <si>
    <t>Secondary mirror diameter [cm]</t>
    <phoneticPr fontId="1"/>
  </si>
  <si>
    <t>Reflectivity (T-170M primary mirror)</t>
    <phoneticPr fontId="1"/>
  </si>
  <si>
    <t>Shustov et al. 2014</t>
    <phoneticPr fontId="1"/>
  </si>
  <si>
    <t>Reflectivity (T-170M secondary mirror)</t>
    <phoneticPr fontId="1"/>
  </si>
  <si>
    <t>Reflectivity (third mirror)</t>
    <phoneticPr fontId="1"/>
  </si>
  <si>
    <t>Diffraction efficiency (grating)</t>
    <phoneticPr fontId="1"/>
  </si>
  <si>
    <t>CLASP</t>
    <phoneticPr fontId="1"/>
  </si>
  <si>
    <t># Throughput</t>
    <phoneticPr fontId="1"/>
  </si>
  <si>
    <t>Quantum efficiency (detector)</t>
    <phoneticPr fontId="1"/>
  </si>
  <si>
    <t>PROCYON/LAICA</t>
    <phoneticPr fontId="1"/>
  </si>
  <si>
    <t>Effective area [cm2]</t>
    <phoneticPr fontId="1"/>
  </si>
  <si>
    <t>Focal length of primary mirror [mm]</t>
    <phoneticPr fontId="1"/>
  </si>
  <si>
    <t>Slit length [mm]</t>
    <phoneticPr fontId="1"/>
  </si>
  <si>
    <t>Slit width [mm]</t>
    <phoneticPr fontId="1"/>
  </si>
  <si>
    <t>Apparture size of slit [cm2]</t>
    <phoneticPr fontId="1"/>
  </si>
  <si>
    <t>FoV (spatial axis) [arc-sec]</t>
    <phoneticPr fontId="1"/>
  </si>
  <si>
    <t>FoV (spectral axis) [arc-sec]</t>
    <phoneticPr fontId="1"/>
  </si>
  <si>
    <t>FoV (spatial axis) [°]</t>
    <phoneticPr fontId="1"/>
  </si>
  <si>
    <t>485 arc-sec</t>
    <phoneticPr fontId="1"/>
  </si>
  <si>
    <t>FoV (spectral axis) [°]</t>
    <phoneticPr fontId="1"/>
  </si>
  <si>
    <t>2.5 arc-sec</t>
    <phoneticPr fontId="1"/>
  </si>
  <si>
    <t>5 arc-sec</t>
    <phoneticPr fontId="1"/>
  </si>
  <si>
    <t>20 arc-sec</t>
    <phoneticPr fontId="1"/>
  </si>
  <si>
    <t>惑星間空間Ly-α [R]</t>
    <rPh sb="0" eb="3">
      <t>ワクセイカン</t>
    </rPh>
    <rPh sb="3" eb="5">
      <t>クウカン</t>
    </rPh>
    <phoneticPr fontId="1"/>
  </si>
  <si>
    <t>ジオコロナ [R] (高度550km）</t>
    <rPh sb="11" eb="13">
      <t>コウド</t>
    </rPh>
    <phoneticPr fontId="1"/>
  </si>
  <si>
    <t>Background count rate (total) [count/s]</t>
    <phoneticPr fontId="1"/>
  </si>
  <si>
    <t>Background count rate (/cm2) [count/s/cm2]</t>
    <phoneticPr fontId="1"/>
  </si>
  <si>
    <t>Stellar flux [photons/s/cm2]</t>
    <phoneticPr fontId="1"/>
  </si>
  <si>
    <t>Signal count rate [count/s]</t>
    <phoneticPr fontId="1"/>
  </si>
  <si>
    <t>Signal size [cm2]</t>
    <phoneticPr fontId="1"/>
  </si>
  <si>
    <t>Local count rate of sig [cps/cm2]</t>
    <phoneticPr fontId="1"/>
  </si>
  <si>
    <t>#</t>
    <phoneticPr fontId="1"/>
  </si>
  <si>
    <t>Slit width = 2.5"</t>
    <phoneticPr fontId="1"/>
  </si>
  <si>
    <t>UVSPEX_Funnel_Blaze</t>
    <phoneticPr fontId="1"/>
  </si>
  <si>
    <t>WSO-UV/UVSPEX_funnel_blaze</t>
    <phoneticPr fontId="1"/>
  </si>
  <si>
    <t>#2018/09/10</t>
    <phoneticPr fontId="1"/>
  </si>
  <si>
    <t># 2018/09/10</t>
    <phoneticPr fontId="1"/>
  </si>
  <si>
    <t>@122nm, Shustov+2014 Fig8から読み取った</t>
    <rPh sb="27" eb="28">
      <t>ヨ</t>
    </rPh>
    <rPh sb="29" eb="30">
      <t>ト</t>
    </rPh>
    <phoneticPr fontId="1"/>
  </si>
  <si>
    <t>Geocorona</t>
    <phoneticPr fontId="1"/>
  </si>
  <si>
    <t>Slit width = 5"</t>
    <phoneticPr fontId="1"/>
  </si>
  <si>
    <t>Slit width = 20"</t>
    <phoneticPr fontId="1"/>
  </si>
  <si>
    <t># Geocorona [R]</t>
    <phoneticPr fontId="1"/>
  </si>
  <si>
    <t>Total count rate [count/sec]</t>
    <phoneticPr fontId="1"/>
  </si>
  <si>
    <t>Count rate [count/sec/cm2]</t>
    <phoneticPr fontId="1"/>
  </si>
  <si>
    <t>TBD</t>
    <phoneticPr fontId="1"/>
  </si>
  <si>
    <t>Signal count rate (total) [count/s]</t>
    <phoneticPr fontId="1"/>
  </si>
  <si>
    <t>Interplanetary Ly-α [R]</t>
    <phoneticPr fontId="1"/>
  </si>
  <si>
    <t>Geocorona [R]</t>
    <phoneticPr fontId="1"/>
  </si>
  <si>
    <t># Count rate (signal) [count/sec]</t>
    <phoneticPr fontId="1"/>
  </si>
  <si>
    <t># Count rate (bg) [count/sec]</t>
    <phoneticPr fontId="1"/>
  </si>
  <si>
    <t># Count rate (total) [count/sec]</t>
    <phoneticPr fontId="1"/>
  </si>
  <si>
    <t># Burst mode</t>
    <phoneticPr fontId="1"/>
  </si>
  <si>
    <t># Byte/count</t>
    <phoneticPr fontId="1"/>
  </si>
  <si>
    <t># Data rate [kbps]</t>
    <phoneticPr fontId="1"/>
  </si>
  <si>
    <t># IMG/PHA mode</t>
    <phoneticPr fontId="1"/>
  </si>
  <si>
    <t># Data size / image [Byte]</t>
    <phoneticPr fontId="1"/>
  </si>
  <si>
    <t># Exposure time [min]</t>
    <phoneticPr fontId="1"/>
  </si>
  <si>
    <t>15 bit</t>
    <phoneticPr fontId="1"/>
  </si>
  <si>
    <t># Burst mode with 5x5 pix raw image</t>
    <phoneticPr fontId="1"/>
  </si>
  <si>
    <t># ROI_x</t>
    <phoneticPr fontId="1"/>
  </si>
  <si>
    <t># ROI_y</t>
    <phoneticPr fontId="1"/>
  </si>
  <si>
    <t># Data rage [KB/min]</t>
    <phoneticPr fontId="1"/>
  </si>
  <si>
    <t># 1e-11</t>
    <phoneticPr fontId="1"/>
  </si>
  <si>
    <t>3e-12 (Prox Cen)</t>
    <phoneticPr fontId="1"/>
  </si>
  <si>
    <t># 2020/07/20</t>
    <phoneticPr fontId="1"/>
  </si>
  <si>
    <t># 2020/07/31</t>
    <phoneticPr fontId="1"/>
  </si>
  <si>
    <t>5e-13 (GJ667C)</t>
    <phoneticPr fontId="1"/>
  </si>
  <si>
    <t># Stellar flux [erg/s/cm2]</t>
    <phoneticPr fontId="1"/>
  </si>
  <si>
    <t>Signal count rate [count/sec]</t>
    <phoneticPr fontId="1"/>
  </si>
  <si>
    <t>BG count rate [count/sec]</t>
    <phoneticPr fontId="1"/>
  </si>
  <si>
    <t>UVSPEX目標値</t>
    <rPh sb="6" eb="8">
      <t>モクヒョウ</t>
    </rPh>
    <rPh sb="8" eb="9">
      <t>チ</t>
    </rPh>
    <phoneticPr fontId="1"/>
  </si>
  <si>
    <t>Andreyから口頭で教えてもらった値</t>
    <rPh sb="8" eb="10">
      <t>コウトウ</t>
    </rPh>
    <rPh sb="11" eb="12">
      <t>オシ</t>
    </rPh>
    <rPh sb="18" eb="19">
      <t>アタイ</t>
    </rPh>
    <phoneticPr fontId="1"/>
  </si>
  <si>
    <t>Total count rate [cps]</t>
    <phoneticPr fontId="1"/>
  </si>
  <si>
    <t>Slit: 2.4"</t>
    <phoneticPr fontId="1"/>
  </si>
  <si>
    <t>Slit: 10"</t>
    <phoneticPr fontId="1"/>
  </si>
  <si>
    <t>Slit: 30"</t>
    <phoneticPr fontId="1"/>
  </si>
  <si>
    <t>Jovian aurora [R]</t>
    <phoneticPr fontId="1"/>
  </si>
  <si>
    <t>2.4"x2.4"を仮定</t>
    <rPh sb="10" eb="12">
      <t>カテイ</t>
    </rPh>
    <phoneticPr fontId="1"/>
  </si>
  <si>
    <t>500 kR</t>
    <phoneticPr fontId="1"/>
  </si>
  <si>
    <t>波長方向：10mmを仮定</t>
    <rPh sb="0" eb="2">
      <t>ハチョウ</t>
    </rPh>
    <rPh sb="2" eb="4">
      <t>ホウコウ</t>
    </rPh>
    <rPh sb="10" eb="12">
      <t>カテイ</t>
    </rPh>
    <phoneticPr fontId="1"/>
  </si>
  <si>
    <t># 2020/07/27</t>
    <phoneticPr fontId="1"/>
  </si>
  <si>
    <t># 実力値Max</t>
    <rPh sb="2" eb="4">
      <t>ジツリョク</t>
    </rPh>
    <rPh sb="4" eb="5">
      <t>チ</t>
    </rPh>
    <phoneticPr fontId="1"/>
  </si>
  <si>
    <t>平面ブレーズ型実測値@131nm</t>
    <rPh sb="0" eb="2">
      <t>ヘイメン</t>
    </rPh>
    <rPh sb="6" eb="7">
      <t>ガタ</t>
    </rPh>
    <rPh sb="7" eb="10">
      <t>ジッソクチ</t>
    </rPh>
    <phoneticPr fontId="1"/>
  </si>
  <si>
    <t>Funnel 実測値@130nm</t>
    <rPh sb="7" eb="10">
      <t>ジッソクチ</t>
    </rPh>
    <phoneticPr fontId="1"/>
  </si>
  <si>
    <t># 2020/07/28</t>
    <phoneticPr fontId="1"/>
  </si>
  <si>
    <t># Nature系論文向け</t>
    <rPh sb="8" eb="9">
      <t>ケイ</t>
    </rPh>
    <rPh sb="9" eb="11">
      <t>ロンブン</t>
    </rPh>
    <rPh sb="11" eb="12">
      <t>ム</t>
    </rPh>
    <phoneticPr fontId="1"/>
  </si>
  <si>
    <t># 標準品</t>
    <rPh sb="2" eb="4">
      <t>ヒョウジュン</t>
    </rPh>
    <rPh sb="4" eb="5">
      <t>ヒン</t>
    </rPh>
    <phoneticPr fontId="1"/>
  </si>
  <si>
    <t>ラミナー型標準値</t>
    <rPh sb="4" eb="5">
      <t>ガタ</t>
    </rPh>
    <rPh sb="5" eb="8">
      <t>ヒョウジュンチ</t>
    </rPh>
    <phoneticPr fontId="1"/>
  </si>
  <si>
    <t>通常MCP標準値（高め）</t>
    <rPh sb="0" eb="2">
      <t>ツウジョウ</t>
    </rPh>
    <rPh sb="5" eb="8">
      <t>ヒョウジュンチ</t>
    </rPh>
    <rPh sb="9" eb="10">
      <t>タカ</t>
    </rPh>
    <phoneticPr fontId="1"/>
  </si>
  <si>
    <t># 2020/10/22</t>
    <phoneticPr fontId="1"/>
  </si>
  <si>
    <t>#WSO-UV/UVSPEX</t>
    <phoneticPr fontId="1"/>
  </si>
  <si>
    <t>最低値</t>
    <rPh sb="0" eb="2">
      <t>サイテイ</t>
    </rPh>
    <rPh sb="2" eb="3">
      <t>チ</t>
    </rPh>
    <phoneticPr fontId="1"/>
  </si>
  <si>
    <t># HST</t>
    <phoneticPr fontId="1"/>
  </si>
  <si>
    <t>鍵谷設計からえいや</t>
    <rPh sb="0" eb="2">
      <t>カギタニ</t>
    </rPh>
    <rPh sb="2" eb="4">
      <t>セッケイ</t>
    </rPh>
    <phoneticPr fontId="1"/>
  </si>
  <si>
    <t>なし</t>
    <phoneticPr fontId="1"/>
  </si>
  <si>
    <t>ブレーズ型目標値@131nm</t>
    <rPh sb="4" eb="5">
      <t>ガタ</t>
    </rPh>
    <rPh sb="5" eb="8">
      <t>モクヒョウチ</t>
    </rPh>
    <phoneticPr fontId="1"/>
  </si>
  <si>
    <t>ファネル型目標値@130nm</t>
    <rPh sb="4" eb="5">
      <t>ガタ</t>
    </rPh>
    <rPh sb="5" eb="8">
      <t>モクヒョウチ</t>
    </rPh>
    <phoneticPr fontId="1"/>
  </si>
  <si>
    <t># Wavelength [nm]</t>
    <phoneticPr fontId="1"/>
  </si>
  <si>
    <t>Mirror</t>
    <phoneticPr fontId="1"/>
  </si>
  <si>
    <t>Al+MgF2</t>
    <phoneticPr fontId="1"/>
  </si>
  <si>
    <t>Quijada+2018</t>
    <phoneticPr fontId="1"/>
  </si>
  <si>
    <t>Grating</t>
    <phoneticPr fontId="1"/>
  </si>
  <si>
    <t>Reflectance</t>
    <phoneticPr fontId="1"/>
  </si>
  <si>
    <t>Blazed</t>
    <phoneticPr fontId="1"/>
  </si>
  <si>
    <t>Absolute efficiency (meas)</t>
    <phoneticPr fontId="1"/>
  </si>
  <si>
    <t>Target efficiency</t>
    <phoneticPr fontId="1"/>
  </si>
  <si>
    <t>Enya+2019</t>
    <phoneticPr fontId="1"/>
  </si>
  <si>
    <t>s</t>
    <phoneticPr fontId="1"/>
  </si>
  <si>
    <t>Detector</t>
    <phoneticPr fontId="1"/>
  </si>
  <si>
    <t>Funnel+CsI</t>
    <phoneticPr fontId="1"/>
  </si>
  <si>
    <t>Abs. QE (meas)</t>
    <phoneticPr fontId="1"/>
  </si>
  <si>
    <t>Throughphut</t>
    <phoneticPr fontId="1"/>
  </si>
  <si>
    <t>Effective area</t>
    <phoneticPr fontId="1"/>
  </si>
  <si>
    <t>Spectrograph</t>
    <phoneticPr fontId="1"/>
  </si>
  <si>
    <t>Telescope + spectrograph</t>
    <phoneticPr fontId="1"/>
  </si>
  <si>
    <t>Telescope + Wide FOV imager</t>
    <phoneticPr fontId="1"/>
  </si>
  <si>
    <t>Wide-FOV imager</t>
    <phoneticPr fontId="1"/>
  </si>
  <si>
    <t>Reflectance (target)</t>
    <phoneticPr fontId="1"/>
  </si>
  <si>
    <t>Reflectance (nominal)</t>
    <phoneticPr fontId="1"/>
  </si>
  <si>
    <t>Quijada+2018 x 0.85</t>
    <phoneticPr fontId="1"/>
  </si>
  <si>
    <t>Abs. QE (nominal)</t>
    <phoneticPr fontId="1"/>
  </si>
  <si>
    <t>Meas x 0.8</t>
    <phoneticPr fontId="1"/>
  </si>
  <si>
    <t># ノミナル</t>
    <phoneticPr fontId="1"/>
  </si>
  <si>
    <t>Wavelength [nm]</t>
    <phoneticPr fontId="1"/>
  </si>
  <si>
    <t>Baseline</t>
    <phoneticPr fontId="1"/>
  </si>
  <si>
    <t>Target</t>
    <phoneticPr fontId="1"/>
  </si>
  <si>
    <t># Geocentric R [Re]</t>
    <phoneticPr fontId="1"/>
  </si>
  <si>
    <t>Geocorona Ly-alpha [R]</t>
    <phoneticPr fontId="1"/>
  </si>
  <si>
    <t>Total Ly-alpha [R]</t>
    <phoneticPr fontId="1"/>
  </si>
  <si>
    <t>BG count rate</t>
    <phoneticPr fontId="1"/>
  </si>
  <si>
    <t>Spectrograph_baseline</t>
    <phoneticPr fontId="1"/>
  </si>
  <si>
    <t>Spectrograph_target</t>
    <phoneticPr fontId="1"/>
  </si>
  <si>
    <t>Imager_baseline</t>
    <phoneticPr fontId="1"/>
  </si>
  <si>
    <t>ジオコロナ [R] (高度1000km）</t>
    <rPh sb="11" eb="13">
      <t>コウド</t>
    </rPh>
    <phoneticPr fontId="1"/>
  </si>
  <si>
    <t>ジオコロナ [R] (高度13000km）</t>
    <rPh sb="11" eb="13">
      <t>コウド</t>
    </rPh>
    <phoneticPr fontId="1"/>
  </si>
  <si>
    <t>MCP dark [count/sec/cm2]</t>
    <phoneticPr fontId="1"/>
  </si>
  <si>
    <t>Background count rate (total) [count/s] (高度1000km）</t>
    <rPh sb="41" eb="43">
      <t>コウド</t>
    </rPh>
    <phoneticPr fontId="1"/>
  </si>
  <si>
    <t>Background count rate (total) [count/s] (高度13000km）</t>
    <rPh sb="41" eb="43">
      <t>コウド</t>
    </rPh>
    <phoneticPr fontId="1"/>
  </si>
  <si>
    <t>高度1000 km</t>
    <rPh sb="0" eb="2">
      <t>コウド</t>
    </rPh>
    <phoneticPr fontId="1"/>
  </si>
  <si>
    <t>高度13000 km</t>
    <rPh sb="0" eb="2">
      <t>コウド</t>
    </rPh>
    <phoneticPr fontId="1"/>
  </si>
  <si>
    <t>Spectrograph 
(baseline)</t>
    <phoneticPr fontId="1"/>
  </si>
  <si>
    <t>Spectrograph
(target)</t>
    <phoneticPr fontId="1"/>
  </si>
  <si>
    <t>Wide-field imager
(baseline)</t>
    <phoneticPr fontId="1"/>
  </si>
  <si>
    <t>Wide-field imager
(target)</t>
    <phoneticPr fontId="1"/>
  </si>
  <si>
    <t>惑星間空間Ly-αのみ</t>
    <rPh sb="0" eb="3">
      <t>ワクセイカン</t>
    </rPh>
    <rPh sb="3" eb="5">
      <t>クウカン</t>
    </rPh>
    <phoneticPr fontId="1"/>
  </si>
  <si>
    <t>Background count rate (total) [count/s] (惑星間空間のみ）</t>
    <rPh sb="41" eb="43">
      <t>ワクセイ</t>
    </rPh>
    <rPh sb="43" eb="44">
      <t>カン</t>
    </rPh>
    <rPh sb="44" eb="46">
      <t>クウカン</t>
    </rPh>
    <phoneticPr fontId="1"/>
  </si>
  <si>
    <t>Background noise [count/sec]</t>
    <phoneticPr fontId="1"/>
  </si>
  <si>
    <t>Radiation noise [count/sec/cm2]</t>
    <phoneticPr fontId="1"/>
  </si>
  <si>
    <t>mm</t>
    <phoneticPr fontId="1"/>
  </si>
  <si>
    <t># 2021/11/03</t>
    <phoneticPr fontId="1"/>
  </si>
  <si>
    <t>Telescope+slit-ref+mirror+detector = UV slit imager w/o filter</t>
    <phoneticPr fontId="1"/>
  </si>
  <si>
    <t># 2022/07/04</t>
    <phoneticPr fontId="1"/>
  </si>
  <si>
    <t># 実力値Max+SiCミラー</t>
    <rPh sb="2" eb="4">
      <t>ジツリョク</t>
    </rPh>
    <rPh sb="4" eb="5">
      <t>チ</t>
    </rPh>
    <phoneticPr fontId="1"/>
  </si>
  <si>
    <t>SiC</t>
    <phoneticPr fontId="1"/>
  </si>
  <si>
    <t>Spectrograph
# 2回反射を追加</t>
    <rPh sb="16" eb="17">
      <t>カイ</t>
    </rPh>
    <rPh sb="17" eb="19">
      <t>ハンシャ</t>
    </rPh>
    <rPh sb="20" eb="22">
      <t>ツイカ</t>
    </rPh>
    <phoneticPr fontId="1"/>
  </si>
  <si>
    <t>Telescope+slit-ref+mirror+detector = UV slit imager w/o filter
# フォトコーディング設計</t>
    <rPh sb="74" eb="76">
      <t>セッケイ</t>
    </rPh>
    <phoneticPr fontId="1"/>
  </si>
  <si>
    <t># 2022/08/12</t>
    <phoneticPr fontId="1"/>
  </si>
  <si>
    <t>UV slit imager w/o filter</t>
  </si>
  <si>
    <t># 口径60 cm</t>
    <rPh sb="2" eb="4">
      <t>コウケイ</t>
    </rPh>
    <phoneticPr fontId="1"/>
  </si>
  <si>
    <t># ワースト</t>
    <phoneticPr fontId="1"/>
  </si>
  <si>
    <t># 口径40 cm</t>
    <rPh sb="2" eb="4">
      <t>コウケイ</t>
    </rPh>
    <phoneticPr fontId="1"/>
  </si>
  <si>
    <t>Reflectivity (primary mirror)</t>
    <phoneticPr fontId="1"/>
  </si>
  <si>
    <t>Reflectivity (secondary mirror)</t>
    <phoneticPr fontId="1"/>
  </si>
  <si>
    <t>Hisaki</t>
    <phoneticPr fontId="1"/>
  </si>
  <si>
    <t>-</t>
    <phoneticPr fontId="1"/>
  </si>
  <si>
    <t>WSO-UV/
UVSPEX
(baseline)</t>
    <phoneticPr fontId="1"/>
  </si>
  <si>
    <t>WSO-UV/
UVSPEX
(developed)</t>
    <phoneticPr fontId="1"/>
  </si>
  <si>
    <t>LAPYUTA
(target)</t>
    <phoneticPr fontId="1"/>
  </si>
  <si>
    <t>29% @130nm</t>
    <phoneticPr fontId="1"/>
  </si>
  <si>
    <t>18% @130nm</t>
    <phoneticPr fontId="1"/>
  </si>
  <si>
    <t>baseline</t>
    <phoneticPr fontId="1"/>
  </si>
  <si>
    <t># WSO-UV/UVSPEX</t>
    <phoneticPr fontId="1"/>
  </si>
  <si>
    <t># Wavelength</t>
    <phoneticPr fontId="1"/>
  </si>
  <si>
    <t># 2023/02/27</t>
    <phoneticPr fontId="1"/>
  </si>
  <si>
    <t># Shustov et al., 2018より読み取り</t>
    <rPh sb="24" eb="25">
      <t>ヨ</t>
    </rPh>
    <rPh sb="26" eb="27">
      <t>ト</t>
    </rPh>
    <phoneticPr fontId="1"/>
  </si>
  <si>
    <t># HST/STIS (E140H)</t>
    <phoneticPr fontId="1"/>
  </si>
  <si>
    <t># HST/COS (G185M)</t>
    <phoneticPr fontId="1"/>
  </si>
  <si>
    <t># WSO-UV/VUVES</t>
    <phoneticPr fontId="1"/>
  </si>
  <si>
    <t># WSO-UV/UVES</t>
    <phoneticPr fontId="1"/>
  </si>
  <si>
    <t>(No heating)</t>
    <phoneticPr fontId="1"/>
  </si>
  <si>
    <t>Reflectance (Measurement)</t>
    <phoneticPr fontId="1"/>
  </si>
  <si>
    <t>Telescope + spectrograph (主鏡非加熱コーティング、実測）</t>
    <rPh sb="26" eb="28">
      <t>シュキョウ</t>
    </rPh>
    <rPh sb="28" eb="29">
      <t>ヒ</t>
    </rPh>
    <rPh sb="29" eb="31">
      <t>カネツ</t>
    </rPh>
    <rPh sb="38" eb="40">
      <t>ジッソク</t>
    </rPh>
    <phoneticPr fontId="1"/>
  </si>
  <si>
    <t>＃Wavelength</t>
    <phoneticPr fontId="1"/>
  </si>
  <si>
    <t>200℃</t>
    <phoneticPr fontId="1"/>
  </si>
  <si>
    <t>RT</t>
    <phoneticPr fontId="1"/>
  </si>
  <si>
    <t>Ratio</t>
    <phoneticPr fontId="1"/>
  </si>
  <si>
    <t># 2023/08/30</t>
    <phoneticPr fontId="1"/>
  </si>
  <si>
    <t>鍵谷設計</t>
    <rPh sb="0" eb="2">
      <t>カギタニ</t>
    </rPh>
    <rPh sb="2" eb="4">
      <t>セッケイ</t>
    </rPh>
    <phoneticPr fontId="1"/>
  </si>
  <si>
    <t>Telescope (非加熱コーティング）+slit-ref+mirror+detector = UV slit imager w/o filter
# フォトコーディング設計</t>
    <rPh sb="11" eb="12">
      <t>ヒ</t>
    </rPh>
    <rPh sb="12" eb="14">
      <t>カネツ</t>
    </rPh>
    <rPh sb="86" eb="88">
      <t>セッケイ</t>
    </rPh>
    <phoneticPr fontId="1"/>
  </si>
  <si>
    <t># 主鏡：常温コート実測、他：200℃コート実測</t>
    <rPh sb="2" eb="4">
      <t>シュキョウ</t>
    </rPh>
    <rPh sb="5" eb="7">
      <t>ジョウオン</t>
    </rPh>
    <rPh sb="10" eb="12">
      <t>ジッソク</t>
    </rPh>
    <rPh sb="13" eb="14">
      <t>ホカ</t>
    </rPh>
    <rPh sb="22" eb="24">
      <t>ジッソク</t>
    </rPh>
    <phoneticPr fontId="1"/>
  </si>
  <si>
    <t># 回折格子：200℃コート実測×UVSPEXブレーズ実測</t>
    <rPh sb="2" eb="4">
      <t>カイセツ</t>
    </rPh>
    <rPh sb="4" eb="6">
      <t>コウシ</t>
    </rPh>
    <rPh sb="14" eb="16">
      <t>ジッソク</t>
    </rPh>
    <rPh sb="27" eb="29">
      <t>ジッソク</t>
    </rPh>
    <phoneticPr fontId="1"/>
  </si>
  <si>
    <t># MCP：ファネルMCP（露出型）実測</t>
    <rPh sb="14" eb="16">
      <t>ロシュツ</t>
    </rPh>
    <rPh sb="16" eb="17">
      <t>ガタ</t>
    </rPh>
    <rPh sb="18" eb="20">
      <t>ジッソク</t>
    </rPh>
    <phoneticPr fontId="1"/>
  </si>
  <si>
    <t>UVSPEX EM-9</t>
    <phoneticPr fontId="1"/>
  </si>
  <si>
    <t>三和研磨 200℃</t>
    <rPh sb="0" eb="2">
      <t>サンワ</t>
    </rPh>
    <rPh sb="2" eb="4">
      <t>ケンマ</t>
    </rPh>
    <phoneticPr fontId="1"/>
  </si>
  <si>
    <t>主鏡</t>
    <rPh sb="0" eb="2">
      <t>シュキョウ</t>
    </rPh>
    <phoneticPr fontId="1"/>
  </si>
  <si>
    <t>主鏡以外の鏡</t>
    <rPh sb="0" eb="2">
      <t>シュキョウ</t>
    </rPh>
    <rPh sb="2" eb="4">
      <t>イガイ</t>
    </rPh>
    <rPh sb="5" eb="6">
      <t>カガミ</t>
    </rPh>
    <phoneticPr fontId="1"/>
  </si>
  <si>
    <t>回折格子</t>
    <rPh sb="0" eb="2">
      <t>カイセツ</t>
    </rPh>
    <rPh sb="2" eb="4">
      <t>コウシ</t>
    </rPh>
    <phoneticPr fontId="1"/>
  </si>
  <si>
    <t>検出器</t>
    <rPh sb="0" eb="3">
      <t>ケンシュツキ</t>
    </rPh>
    <phoneticPr fontId="1"/>
  </si>
  <si>
    <t>LAPYUTA
(baseline)</t>
    <phoneticPr fontId="1"/>
  </si>
  <si>
    <t>LAPYUTA
(new baseline)</t>
    <phoneticPr fontId="1"/>
  </si>
  <si>
    <t>口径</t>
    <rPh sb="0" eb="2">
      <t>コウケイ</t>
    </rPh>
    <phoneticPr fontId="1"/>
  </si>
  <si>
    <t>コーティング</t>
    <phoneticPr fontId="1"/>
  </si>
  <si>
    <t>60 cm</t>
    <phoneticPr fontId="1"/>
  </si>
  <si>
    <t>20 cm</t>
    <phoneticPr fontId="1"/>
  </si>
  <si>
    <t>主鏡の穴</t>
    <rPh sb="0" eb="2">
      <t>シュキョウ</t>
    </rPh>
    <rPh sb="3" eb="4">
      <t>アナ</t>
    </rPh>
    <phoneticPr fontId="1"/>
  </si>
  <si>
    <t>19 cm 
(最新設計値)</t>
    <rPh sb="8" eb="10">
      <t>サイシン</t>
    </rPh>
    <rPh sb="10" eb="12">
      <t>セッケイ</t>
    </rPh>
    <rPh sb="12" eb="13">
      <t>チ</t>
    </rPh>
    <phoneticPr fontId="1"/>
  </si>
  <si>
    <t>文献値</t>
    <rPh sb="0" eb="2">
      <t>ブンケン</t>
    </rPh>
    <rPh sb="2" eb="3">
      <t>チ</t>
    </rPh>
    <phoneticPr fontId="1"/>
  </si>
  <si>
    <t>文献値</t>
    <phoneticPr fontId="1"/>
  </si>
  <si>
    <t>200℃加熱
実測値</t>
    <rPh sb="4" eb="6">
      <t>カネツ</t>
    </rPh>
    <rPh sb="7" eb="10">
      <t>ジッソクチ</t>
    </rPh>
    <phoneticPr fontId="1"/>
  </si>
  <si>
    <t>Enya 2019 ×
反射率文献値</t>
    <rPh sb="12" eb="14">
      <t>ハンシャ</t>
    </rPh>
    <rPh sb="14" eb="15">
      <t>リツ</t>
    </rPh>
    <rPh sb="15" eb="17">
      <t>ブンケン</t>
    </rPh>
    <rPh sb="17" eb="18">
      <t>チ</t>
    </rPh>
    <phoneticPr fontId="1"/>
  </si>
  <si>
    <t>文献値
×0.85</t>
    <rPh sb="0" eb="2">
      <t>ブンケン</t>
    </rPh>
    <rPh sb="2" eb="3">
      <t>チ</t>
    </rPh>
    <phoneticPr fontId="1"/>
  </si>
  <si>
    <t>試作MCP ASSY
実測値</t>
    <rPh sb="0" eb="2">
      <t>シサク</t>
    </rPh>
    <rPh sb="11" eb="14">
      <t>ジッソクチ</t>
    </rPh>
    <phoneticPr fontId="1"/>
  </si>
  <si>
    <t>試作MCP ASSY
実測値×0.8</t>
    <rPh sb="0" eb="2">
      <t>シサク</t>
    </rPh>
    <rPh sb="11" eb="14">
      <t>ジッソクチ</t>
    </rPh>
    <phoneticPr fontId="1"/>
  </si>
  <si>
    <t>Enya 2019</t>
    <phoneticPr fontId="1"/>
  </si>
  <si>
    <t>UVSPEX EM-9
実測値×反射率実測値</t>
    <rPh sb="12" eb="15">
      <t>ジッソクチ</t>
    </rPh>
    <rPh sb="16" eb="18">
      <t>ハンシャ</t>
    </rPh>
    <rPh sb="18" eb="19">
      <t>リツ</t>
    </rPh>
    <rPh sb="19" eb="22">
      <t>ジッソクチ</t>
    </rPh>
    <phoneticPr fontId="1"/>
  </si>
  <si>
    <t>Target brightness [R]</t>
    <phoneticPr fontId="1"/>
  </si>
  <si>
    <t>0.1"</t>
    <phoneticPr fontId="1"/>
  </si>
  <si>
    <t>0.5"</t>
    <phoneticPr fontId="1"/>
  </si>
  <si>
    <t>1.0"</t>
    <phoneticPr fontId="1"/>
  </si>
  <si>
    <t>2.0"</t>
    <phoneticPr fontId="1"/>
  </si>
  <si>
    <t>Count rate [count/hour/bin]</t>
    <phoneticPr fontId="1"/>
  </si>
  <si>
    <t># 2024/03/28</t>
    <phoneticPr fontId="1"/>
  </si>
  <si>
    <t>旧Baseline</t>
    <rPh sb="0" eb="1">
      <t>キュウ</t>
    </rPh>
    <phoneticPr fontId="1"/>
  </si>
  <si>
    <t>FoV size @slit [cm2]</t>
    <phoneticPr fontId="1"/>
  </si>
  <si>
    <t>分光器倍率</t>
    <rPh sb="0" eb="2">
      <t>ブンコウ</t>
    </rPh>
    <rPh sb="2" eb="3">
      <t>キ</t>
    </rPh>
    <rPh sb="3" eb="5">
      <t>バイリツ</t>
    </rPh>
    <phoneticPr fontId="1"/>
  </si>
  <si>
    <t>FoV size @MCP [cm2]</t>
    <phoneticPr fontId="1"/>
  </si>
  <si>
    <t>FoV size [um]</t>
    <phoneticPr fontId="1"/>
  </si>
  <si>
    <t>#2024/08/30</t>
    <phoneticPr fontId="1"/>
  </si>
  <si>
    <t>LAPYUTA_baselin</t>
    <phoneticPr fontId="1"/>
  </si>
  <si>
    <t>90um角</t>
    <rPh sb="4" eb="5">
      <t>カク</t>
    </rPh>
    <phoneticPr fontId="1"/>
  </si>
  <si>
    <t>Geocorona brightness [R]</t>
    <phoneticPr fontId="1"/>
  </si>
  <si>
    <t>Interplanetary [R]</t>
    <phoneticPr fontId="1"/>
  </si>
  <si>
    <t>Target S/N</t>
    <phoneticPr fontId="1"/>
  </si>
  <si>
    <t>Signal total count [count]</t>
    <phoneticPr fontId="1"/>
  </si>
  <si>
    <t>Background count rate [count]</t>
    <phoneticPr fontId="1"/>
  </si>
  <si>
    <t># Flux [erg/s/cm2]</t>
    <phoneticPr fontId="1"/>
  </si>
  <si>
    <t>Background total count [count]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</si>
</sst>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_ "/>
    <numFmt numFmtId="178" formatCode="0.00_ "/>
    <numFmt numFmtId="179" formatCode="0.00000_ "/>
    <numFmt numFmtId="180" formatCode="0_ "/>
    <numFmt numFmtId="181" formatCode="0.0000_ "/>
    <numFmt numFmtId="182" formatCode="0.0E+00"/>
    <numFmt numFmtId="183" formatCode="0.E+00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11"/>
      <color theme="8"/>
      <name val="游ゴシック"/>
      <family val="3"/>
      <charset val="128"/>
      <scheme val="minor"/>
    </font>
    <font>
      <b/>
      <sz val="11"/>
      <color theme="8"/>
      <name val="游ゴシック"/>
      <family val="3"/>
      <charset val="128"/>
      <scheme val="minor"/>
    </font>
    <font>
      <b/>
      <sz val="11"/>
      <color theme="0" tint="-0.499984740745262"/>
      <name val="游ゴシック"/>
      <family val="3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5" fillId="0" borderId="1" xfId="0" applyFont="1" applyBorder="1" applyAlignment="1"/>
    <xf numFmtId="11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5" fillId="0" borderId="6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6" fillId="0" borderId="12" xfId="0" applyFont="1" applyBorder="1" applyAlignment="1"/>
    <xf numFmtId="178" fontId="5" fillId="0" borderId="1" xfId="0" applyNumberFormat="1" applyFont="1" applyBorder="1">
      <alignment vertical="center"/>
    </xf>
    <xf numFmtId="178" fontId="5" fillId="0" borderId="13" xfId="0" applyNumberFormat="1" applyFont="1" applyBorder="1">
      <alignment vertical="center"/>
    </xf>
    <xf numFmtId="0" fontId="6" fillId="0" borderId="15" xfId="0" applyFont="1" applyBorder="1" applyAlignment="1"/>
    <xf numFmtId="0" fontId="6" fillId="0" borderId="10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11" fontId="7" fillId="0" borderId="1" xfId="0" applyNumberFormat="1" applyFont="1" applyBorder="1">
      <alignment vertical="center"/>
    </xf>
    <xf numFmtId="11" fontId="5" fillId="0" borderId="1" xfId="0" applyNumberFormat="1" applyFont="1" applyBorder="1">
      <alignment vertical="center"/>
    </xf>
    <xf numFmtId="11" fontId="6" fillId="2" borderId="1" xfId="0" applyNumberFormat="1" applyFont="1" applyFill="1" applyBorder="1">
      <alignment vertical="center"/>
    </xf>
    <xf numFmtId="177" fontId="5" fillId="0" borderId="0" xfId="0" applyNumberFormat="1" applyFont="1">
      <alignment vertical="center"/>
    </xf>
    <xf numFmtId="0" fontId="0" fillId="0" borderId="1" xfId="0" applyBorder="1" applyAlignment="1">
      <alignment vertical="center" wrapText="1"/>
    </xf>
    <xf numFmtId="177" fontId="4" fillId="0" borderId="1" xfId="0" applyNumberFormat="1" applyFont="1" applyBorder="1">
      <alignment vertical="center"/>
    </xf>
    <xf numFmtId="177" fontId="5" fillId="0" borderId="16" xfId="0" applyNumberFormat="1" applyFont="1" applyBorder="1">
      <alignment vertical="center"/>
    </xf>
    <xf numFmtId="177" fontId="5" fillId="0" borderId="17" xfId="0" applyNumberFormat="1" applyFont="1" applyBorder="1">
      <alignment vertical="center"/>
    </xf>
    <xf numFmtId="179" fontId="5" fillId="0" borderId="1" xfId="0" applyNumberFormat="1" applyFont="1" applyBorder="1">
      <alignment vertical="center"/>
    </xf>
    <xf numFmtId="0" fontId="6" fillId="2" borderId="1" xfId="0" applyFont="1" applyFill="1" applyBorder="1" applyAlignment="1"/>
    <xf numFmtId="0" fontId="7" fillId="0" borderId="0" xfId="0" applyFont="1">
      <alignment vertical="center"/>
    </xf>
    <xf numFmtId="0" fontId="5" fillId="3" borderId="1" xfId="0" applyFont="1" applyFill="1" applyBorder="1" applyAlignment="1"/>
    <xf numFmtId="11" fontId="5" fillId="3" borderId="1" xfId="0" applyNumberFormat="1" applyFont="1" applyFill="1" applyBorder="1">
      <alignment vertical="center"/>
    </xf>
    <xf numFmtId="182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183" fontId="0" fillId="0" borderId="0" xfId="0" applyNumberFormat="1">
      <alignment vertical="center"/>
    </xf>
    <xf numFmtId="0" fontId="6" fillId="4" borderId="12" xfId="0" applyFont="1" applyFill="1" applyBorder="1" applyAlignment="1"/>
    <xf numFmtId="0" fontId="5" fillId="0" borderId="0" xfId="0" applyFont="1" applyAlignment="1">
      <alignment horizontal="center"/>
    </xf>
    <xf numFmtId="0" fontId="5" fillId="0" borderId="14" xfId="0" applyFont="1" applyBorder="1">
      <alignment vertical="center"/>
    </xf>
    <xf numFmtId="178" fontId="4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178" fontId="4" fillId="4" borderId="0" xfId="0" applyNumberFormat="1" applyFont="1" applyFill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77" fontId="6" fillId="0" borderId="1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2" xfId="0" applyNumberFormat="1" applyFont="1" applyBorder="1">
      <alignment vertical="center"/>
    </xf>
    <xf numFmtId="177" fontId="6" fillId="0" borderId="19" xfId="0" applyNumberFormat="1" applyFont="1" applyBorder="1">
      <alignment vertical="center"/>
    </xf>
    <xf numFmtId="179" fontId="6" fillId="0" borderId="10" xfId="0" applyNumberFormat="1" applyFont="1" applyBorder="1">
      <alignment vertical="center"/>
    </xf>
    <xf numFmtId="180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82" fontId="5" fillId="0" borderId="1" xfId="0" applyNumberFormat="1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82" fontId="0" fillId="0" borderId="13" xfId="0" applyNumberFormat="1" applyBorder="1" applyAlignment="1">
      <alignment horizontal="center" vertical="center"/>
    </xf>
    <xf numFmtId="0" fontId="5" fillId="0" borderId="15" xfId="0" applyFont="1" applyBorder="1">
      <alignment vertical="center"/>
    </xf>
    <xf numFmtId="182" fontId="5" fillId="0" borderId="16" xfId="0" applyNumberFormat="1" applyFont="1" applyBorder="1" applyAlignment="1">
      <alignment horizontal="center" vertical="center"/>
    </xf>
    <xf numFmtId="182" fontId="0" fillId="0" borderId="16" xfId="0" applyNumberFormat="1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10" xfId="0" applyNumberFormat="1" applyFont="1" applyBorder="1" applyAlignment="1">
      <alignment horizontal="center" vertical="center"/>
    </xf>
    <xf numFmtId="182" fontId="0" fillId="0" borderId="10" xfId="0" applyNumberFormat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178" fontId="5" fillId="0" borderId="2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178" fontId="5" fillId="0" borderId="30" xfId="0" applyNumberFormat="1" applyFont="1" applyBorder="1" applyAlignment="1">
      <alignment horizontal="center"/>
    </xf>
    <xf numFmtId="178" fontId="6" fillId="0" borderId="30" xfId="0" applyNumberFormat="1" applyFont="1" applyBorder="1" applyAlignment="1">
      <alignment horizontal="center"/>
    </xf>
    <xf numFmtId="178" fontId="6" fillId="0" borderId="2" xfId="0" applyNumberFormat="1" applyFont="1" applyBorder="1" applyAlignment="1">
      <alignment horizontal="center"/>
    </xf>
    <xf numFmtId="0" fontId="6" fillId="4" borderId="10" xfId="0" applyFont="1" applyFill="1" applyBorder="1" applyAlignment="1"/>
    <xf numFmtId="177" fontId="5" fillId="4" borderId="10" xfId="0" applyNumberFormat="1" applyFont="1" applyFill="1" applyBorder="1" applyAlignment="1">
      <alignment horizontal="center" vertical="center"/>
    </xf>
    <xf numFmtId="180" fontId="5" fillId="4" borderId="10" xfId="0" applyNumberFormat="1" applyFont="1" applyFill="1" applyBorder="1" applyAlignment="1">
      <alignment horizontal="center" vertical="center"/>
    </xf>
    <xf numFmtId="180" fontId="5" fillId="4" borderId="26" xfId="0" applyNumberFormat="1" applyFont="1" applyFill="1" applyBorder="1" applyAlignment="1">
      <alignment horizontal="center" vertical="center"/>
    </xf>
    <xf numFmtId="180" fontId="6" fillId="4" borderId="31" xfId="0" applyNumberFormat="1" applyFont="1" applyFill="1" applyBorder="1" applyAlignment="1">
      <alignment horizontal="center" vertical="center"/>
    </xf>
    <xf numFmtId="0" fontId="5" fillId="0" borderId="23" xfId="0" applyFont="1" applyBorder="1" applyAlignment="1"/>
    <xf numFmtId="178" fontId="5" fillId="0" borderId="23" xfId="0" applyNumberFormat="1" applyFont="1" applyBorder="1" applyAlignment="1">
      <alignment horizontal="center"/>
    </xf>
    <xf numFmtId="178" fontId="6" fillId="0" borderId="32" xfId="0" applyNumberFormat="1" applyFont="1" applyBorder="1" applyAlignment="1">
      <alignment horizontal="center"/>
    </xf>
    <xf numFmtId="178" fontId="5" fillId="0" borderId="33" xfId="0" applyNumberFormat="1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178" fontId="4" fillId="3" borderId="0" xfId="0" applyNumberFormat="1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180" fontId="0" fillId="0" borderId="35" xfId="0" applyNumberFormat="1" applyBorder="1" applyAlignment="1">
      <alignment horizontal="center" vertical="center"/>
    </xf>
    <xf numFmtId="180" fontId="0" fillId="0" borderId="36" xfId="0" applyNumberForma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80" fontId="0" fillId="0" borderId="0" xfId="0" applyNumberFormat="1">
      <alignment vertical="center"/>
    </xf>
    <xf numFmtId="178" fontId="9" fillId="0" borderId="0" xfId="0" applyNumberFormat="1" applyFont="1">
      <alignment vertical="center"/>
    </xf>
    <xf numFmtId="0" fontId="4" fillId="4" borderId="37" xfId="0" applyFont="1" applyFill="1" applyBorder="1">
      <alignment vertical="center"/>
    </xf>
    <xf numFmtId="0" fontId="0" fillId="4" borderId="38" xfId="0" applyFill="1" applyBorder="1">
      <alignment vertical="center"/>
    </xf>
    <xf numFmtId="178" fontId="4" fillId="4" borderId="38" xfId="0" applyNumberFormat="1" applyFont="1" applyFill="1" applyBorder="1">
      <alignment vertical="center"/>
    </xf>
    <xf numFmtId="178" fontId="4" fillId="4" borderId="31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0" fillId="2" borderId="0" xfId="0" applyNumberFormat="1" applyFill="1">
      <alignment vertical="center"/>
    </xf>
    <xf numFmtId="0" fontId="4" fillId="4" borderId="39" xfId="0" applyFont="1" applyFill="1" applyBorder="1">
      <alignment vertical="center"/>
    </xf>
    <xf numFmtId="0" fontId="4" fillId="4" borderId="40" xfId="0" applyFont="1" applyFill="1" applyBorder="1">
      <alignment vertical="center"/>
    </xf>
    <xf numFmtId="0" fontId="4" fillId="4" borderId="41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42" xfId="0" applyFont="1" applyFill="1" applyBorder="1">
      <alignment vertical="center"/>
    </xf>
    <xf numFmtId="0" fontId="4" fillId="4" borderId="43" xfId="0" applyFont="1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180" fontId="4" fillId="4" borderId="0" xfId="0" applyNumberFormat="1" applyFont="1" applyFill="1">
      <alignment vertical="center"/>
    </xf>
    <xf numFmtId="180" fontId="4" fillId="4" borderId="42" xfId="0" applyNumberFormat="1" applyFont="1" applyFill="1" applyBorder="1">
      <alignment vertical="center"/>
    </xf>
    <xf numFmtId="180" fontId="4" fillId="4" borderId="44" xfId="0" applyNumberFormat="1" applyFont="1" applyFill="1" applyBorder="1">
      <alignment vertical="center"/>
    </xf>
    <xf numFmtId="180" fontId="4" fillId="4" borderId="45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80" fontId="0" fillId="5" borderId="10" xfId="0" applyNumberFormat="1" applyFill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80" fontId="0" fillId="5" borderId="16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8" fontId="13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8" fontId="13" fillId="2" borderId="0" xfId="0" applyNumberFormat="1" applyFont="1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8" fontId="15" fillId="0" borderId="0" xfId="0" applyNumberFormat="1" applyFont="1">
      <alignment vertical="center"/>
    </xf>
    <xf numFmtId="178" fontId="15" fillId="2" borderId="0" xfId="0" applyNumberFormat="1" applyFont="1" applyFill="1">
      <alignment vertical="center"/>
    </xf>
    <xf numFmtId="0" fontId="13" fillId="4" borderId="37" xfId="0" applyFont="1" applyFill="1" applyBorder="1">
      <alignment vertical="center"/>
    </xf>
    <xf numFmtId="0" fontId="12" fillId="4" borderId="38" xfId="0" applyFont="1" applyFill="1" applyBorder="1">
      <alignment vertical="center"/>
    </xf>
    <xf numFmtId="178" fontId="13" fillId="4" borderId="38" xfId="0" applyNumberFormat="1" applyFont="1" applyFill="1" applyBorder="1">
      <alignment vertical="center"/>
    </xf>
    <xf numFmtId="178" fontId="13" fillId="4" borderId="31" xfId="0" applyNumberFormat="1" applyFont="1" applyFill="1" applyBorder="1">
      <alignment vertical="center"/>
    </xf>
    <xf numFmtId="178" fontId="5" fillId="0" borderId="0" xfId="0" applyNumberFormat="1" applyFont="1">
      <alignment vertical="center"/>
    </xf>
    <xf numFmtId="0" fontId="16" fillId="0" borderId="0" xfId="0" applyFont="1">
      <alignment vertical="center"/>
    </xf>
    <xf numFmtId="0" fontId="16" fillId="0" borderId="1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11" fontId="6" fillId="0" borderId="10" xfId="0" applyNumberFormat="1" applyFont="1" applyBorder="1">
      <alignment vertical="center"/>
    </xf>
    <xf numFmtId="11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/>
    <xf numFmtId="11" fontId="6" fillId="4" borderId="10" xfId="0" applyNumberFormat="1" applyFont="1" applyFill="1" applyBorder="1">
      <alignment vertical="center"/>
    </xf>
    <xf numFmtId="11" fontId="6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9" fontId="5" fillId="0" borderId="10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11" fontId="5" fillId="3" borderId="2" xfId="0" applyNumberFormat="1" applyFont="1" applyFill="1" applyBorder="1" applyAlignment="1">
      <alignment horizontal="center" vertical="center"/>
    </xf>
    <xf numFmtId="11" fontId="5" fillId="3" borderId="5" xfId="0" applyNumberFormat="1" applyFont="1" applyFill="1" applyBorder="1" applyAlignment="1">
      <alignment horizontal="center" vertical="center"/>
    </xf>
    <xf numFmtId="11" fontId="5" fillId="3" borderId="3" xfId="0" applyNumberFormat="1" applyFont="1" applyFill="1" applyBorder="1" applyAlignment="1">
      <alignment horizontal="center" vertical="center"/>
    </xf>
    <xf numFmtId="11" fontId="6" fillId="2" borderId="2" xfId="0" applyNumberFormat="1" applyFont="1" applyFill="1" applyBorder="1" applyAlignment="1">
      <alignment horizontal="center" vertical="center"/>
    </xf>
    <xf numFmtId="11" fontId="6" fillId="2" borderId="5" xfId="0" applyNumberFormat="1" applyFont="1" applyFill="1" applyBorder="1" applyAlignment="1">
      <alignment horizontal="center" vertical="center"/>
    </xf>
    <xf numFmtId="11" fontId="6" fillId="2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20" xfId="0" applyNumberFormat="1" applyFont="1" applyBorder="1" applyAlignment="1">
      <alignment horizontal="center" vertical="center"/>
    </xf>
    <xf numFmtId="177" fontId="5" fillId="0" borderId="21" xfId="0" applyNumberFormat="1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5" xfId="0" applyNumberFormat="1" applyFont="1" applyBorder="1" applyAlignment="1">
      <alignment horizontal="center" vertical="center"/>
    </xf>
    <xf numFmtId="181" fontId="5" fillId="0" borderId="18" xfId="0" applyNumberFormat="1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1" fontId="5" fillId="0" borderId="2" xfId="0" applyNumberFormat="1" applyFont="1" applyBorder="1" applyAlignment="1">
      <alignment horizontal="center" vertical="center"/>
    </xf>
    <xf numFmtId="11" fontId="5" fillId="0" borderId="5" xfId="0" applyNumberFormat="1" applyFont="1" applyBorder="1" applyAlignment="1">
      <alignment horizontal="center" vertical="center"/>
    </xf>
    <xf numFmtId="11" fontId="5" fillId="0" borderId="3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5" fillId="0" borderId="19" xfId="0" applyNumberFormat="1" applyFont="1" applyBorder="1" applyAlignment="1">
      <alignment horizontal="center" vertical="center"/>
    </xf>
    <xf numFmtId="178" fontId="5" fillId="0" borderId="20" xfId="0" applyNumberFormat="1" applyFont="1" applyBorder="1" applyAlignment="1">
      <alignment horizontal="center" vertical="center"/>
    </xf>
    <xf numFmtId="178" fontId="5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77" fontId="7" fillId="0" borderId="2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7" fontId="6" fillId="4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1" fontId="6" fillId="6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SNR caluculation for WUVS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10min BoL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'WSO-UV_WUVS_122nm'!$E$30:$E$200</c:f>
              <c:numCache>
                <c:formatCode>0.00E+00</c:formatCode>
                <c:ptCount val="171"/>
                <c:pt idx="0">
                  <c:v>571.79947263989288</c:v>
                </c:pt>
                <c:pt idx="1">
                  <c:v>542.42350305278569</c:v>
                </c:pt>
                <c:pt idx="2">
                  <c:v>511.36277472543588</c:v>
                </c:pt>
                <c:pt idx="3">
                  <c:v>478.28917375654902</c:v>
                </c:pt>
                <c:pt idx="4">
                  <c:v>442.75185323915787</c:v>
                </c:pt>
                <c:pt idx="5">
                  <c:v>404.10136211062468</c:v>
                </c:pt>
                <c:pt idx="6">
                  <c:v>361.34012193318409</c:v>
                </c:pt>
                <c:pt idx="7">
                  <c:v>312.78680827431441</c:v>
                </c:pt>
                <c:pt idx="8">
                  <c:v>255.15645631744792</c:v>
                </c:pt>
                <c:pt idx="9">
                  <c:v>248.65996424338906</c:v>
                </c:pt>
                <c:pt idx="10">
                  <c:v>241.98915226293468</c:v>
                </c:pt>
                <c:pt idx="11">
                  <c:v>235.12918828113988</c:v>
                </c:pt>
                <c:pt idx="12">
                  <c:v>228.0630097459017</c:v>
                </c:pt>
                <c:pt idx="13">
                  <c:v>220.77082384326357</c:v>
                </c:pt>
                <c:pt idx="14">
                  <c:v>213.22945378752038</c:v>
                </c:pt>
                <c:pt idx="15">
                  <c:v>205.41146899969908</c:v>
                </c:pt>
                <c:pt idx="16">
                  <c:v>197.28400487970003</c:v>
                </c:pt>
                <c:pt idx="17">
                  <c:v>188.80712503094006</c:v>
                </c:pt>
                <c:pt idx="18">
                  <c:v>179.93148852329415</c:v>
                </c:pt>
                <c:pt idx="19">
                  <c:v>170.59492387695914</c:v>
                </c:pt>
                <c:pt idx="20">
                  <c:v>160.71720991069515</c:v>
                </c:pt>
                <c:pt idx="21">
                  <c:v>150.19176349762321</c:v>
                </c:pt>
                <c:pt idx="22">
                  <c:v>138.87164885230644</c:v>
                </c:pt>
                <c:pt idx="23">
                  <c:v>126.54430298852947</c:v>
                </c:pt>
                <c:pt idx="24">
                  <c:v>112.88136915816447</c:v>
                </c:pt>
                <c:pt idx="25">
                  <c:v>97.325016326766615</c:v>
                </c:pt>
                <c:pt idx="26">
                  <c:v>78.772141929466059</c:v>
                </c:pt>
                <c:pt idx="27">
                  <c:v>76.672483441011522</c:v>
                </c:pt>
                <c:pt idx="28">
                  <c:v>74.514339903385462</c:v>
                </c:pt>
                <c:pt idx="29">
                  <c:v>72.292585722865581</c:v>
                </c:pt>
                <c:pt idx="30">
                  <c:v>70.001307193673256</c:v>
                </c:pt>
                <c:pt idx="31">
                  <c:v>67.633623204330675</c:v>
                </c:pt>
                <c:pt idx="32">
                  <c:v>65.181450284458009</c:v>
                </c:pt>
                <c:pt idx="33">
                  <c:v>62.635189472788831</c:v>
                </c:pt>
                <c:pt idx="34">
                  <c:v>59.983300945102947</c:v>
                </c:pt>
                <c:pt idx="35">
                  <c:v>57.211713438007081</c:v>
                </c:pt>
                <c:pt idx="36">
                  <c:v>54.302983464607188</c:v>
                </c:pt>
                <c:pt idx="37">
                  <c:v>51.235062818861763</c:v>
                </c:pt>
                <c:pt idx="38">
                  <c:v>47.979428534254424</c:v>
                </c:pt>
                <c:pt idx="39">
                  <c:v>44.498126027252432</c:v>
                </c:pt>
                <c:pt idx="40">
                  <c:v>40.738852684909155</c:v>
                </c:pt>
                <c:pt idx="41">
                  <c:v>36.626254117239441</c:v>
                </c:pt>
                <c:pt idx="42">
                  <c:v>32.045222734993715</c:v>
                </c:pt>
                <c:pt idx="43">
                  <c:v>26.805207072418376</c:v>
                </c:pt>
                <c:pt idx="44">
                  <c:v>20.55139812770302</c:v>
                </c:pt>
                <c:pt idx="45">
                  <c:v>19.84657287676982</c:v>
                </c:pt>
                <c:pt idx="46">
                  <c:v>19.123457016917168</c:v>
                </c:pt>
                <c:pt idx="47">
                  <c:v>18.380747821541249</c:v>
                </c:pt>
                <c:pt idx="48">
                  <c:v>17.616992616620657</c:v>
                </c:pt>
                <c:pt idx="49">
                  <c:v>16.830564727433025</c:v>
                </c:pt>
                <c:pt idx="50">
                  <c:v>16.019634414249907</c:v>
                </c:pt>
                <c:pt idx="51">
                  <c:v>15.182133496013311</c:v>
                </c:pt>
                <c:pt idx="52">
                  <c:v>14.315711951222823</c:v>
                </c:pt>
                <c:pt idx="53">
                  <c:v>13.417684221807445</c:v>
                </c:pt>
                <c:pt idx="54">
                  <c:v>12.484962160910714</c:v>
                </c:pt>
                <c:pt idx="55">
                  <c:v>11.513970456873958</c:v>
                </c:pt>
                <c:pt idx="56">
                  <c:v>10.500538775617555</c:v>
                </c:pt>
                <c:pt idx="57">
                  <c:v>9.4397625447304403</c:v>
                </c:pt>
                <c:pt idx="58">
                  <c:v>8.3258208584980711</c:v>
                </c:pt>
                <c:pt idx="59">
                  <c:v>7.1517347638254778</c:v>
                </c:pt>
                <c:pt idx="60">
                  <c:v>5.9090410991438951</c:v>
                </c:pt>
                <c:pt idx="61">
                  <c:v>4.5873442098788226</c:v>
                </c:pt>
                <c:pt idx="62">
                  <c:v>3.1736868756518724</c:v>
                </c:pt>
                <c:pt idx="63">
                  <c:v>3.0266672872900782</c:v>
                </c:pt>
                <c:pt idx="64">
                  <c:v>2.87854909418007</c:v>
                </c:pt>
                <c:pt idx="65">
                  <c:v>2.7293131510508672</c:v>
                </c:pt>
                <c:pt idx="66">
                  <c:v>2.5789398108115043</c:v>
                </c:pt>
                <c:pt idx="67">
                  <c:v>2.4274089070983353</c:v>
                </c:pt>
                <c:pt idx="68">
                  <c:v>2.2746997360660002</c:v>
                </c:pt>
                <c:pt idx="69">
                  <c:v>2.1207910373827454</c:v>
                </c:pt>
                <c:pt idx="70">
                  <c:v>1.9656609743884386</c:v>
                </c:pt>
                <c:pt idx="71">
                  <c:v>1.809287113371012</c:v>
                </c:pt>
                <c:pt idx="72">
                  <c:v>1.6516464019144115</c:v>
                </c:pt>
                <c:pt idx="73">
                  <c:v>1.4927151462681369</c:v>
                </c:pt>
                <c:pt idx="74">
                  <c:v>1.332468987685373</c:v>
                </c:pt>
                <c:pt idx="75">
                  <c:v>1.1708828776733495</c:v>
                </c:pt>
                <c:pt idx="76">
                  <c:v>1.0079310520959488</c:v>
                </c:pt>
                <c:pt idx="77">
                  <c:v>0.84358700406474618</c:v>
                </c:pt>
                <c:pt idx="78">
                  <c:v>0.67782345555049917</c:v>
                </c:pt>
                <c:pt idx="79">
                  <c:v>0.51061232764265563</c:v>
                </c:pt>
                <c:pt idx="80">
                  <c:v>0.34192470937966746</c:v>
                </c:pt>
                <c:pt idx="81">
                  <c:v>0.32497360189166891</c:v>
                </c:pt>
                <c:pt idx="82">
                  <c:v>0.30800740222323242</c:v>
                </c:pt>
                <c:pt idx="83">
                  <c:v>0.29102608002268415</c:v>
                </c:pt>
                <c:pt idx="84">
                  <c:v>0.27402960484777183</c:v>
                </c:pt>
                <c:pt idx="85">
                  <c:v>0.25701794616530899</c:v>
                </c:pt>
                <c:pt idx="86">
                  <c:v>0.23999107335081851</c:v>
                </c:pt>
                <c:pt idx="87">
                  <c:v>0.22294895568817386</c:v>
                </c:pt>
                <c:pt idx="88">
                  <c:v>0.20589156236923845</c:v>
                </c:pt>
                <c:pt idx="89">
                  <c:v>0.18881886249350371</c:v>
                </c:pt>
                <c:pt idx="90">
                  <c:v>0.17173082506772525</c:v>
                </c:pt>
                <c:pt idx="91">
                  <c:v>0.15462741900555654</c:v>
                </c:pt>
                <c:pt idx="92">
                  <c:v>0.13750861312718241</c:v>
                </c:pt>
                <c:pt idx="93">
                  <c:v>0.12037437615894896</c:v>
                </c:pt>
                <c:pt idx="94">
                  <c:v>0.10322467673299304</c:v>
                </c:pt>
                <c:pt idx="95">
                  <c:v>8.6059483386869043E-2</c:v>
                </c:pt>
                <c:pt idx="96">
                  <c:v>6.887876456317428E-2</c:v>
                </c:pt>
                <c:pt idx="97">
                  <c:v>5.1682488609172503E-2</c:v>
                </c:pt>
                <c:pt idx="98">
                  <c:v>3.4470623776415542E-2</c:v>
                </c:pt>
                <c:pt idx="99">
                  <c:v>3.2748578679627952E-2</c:v>
                </c:pt>
                <c:pt idx="100">
                  <c:v>3.1026377343789494E-2</c:v>
                </c:pt>
                <c:pt idx="101">
                  <c:v>2.9304019736992992E-2</c:v>
                </c:pt>
                <c:pt idx="102">
                  <c:v>2.7581505827321665E-2</c:v>
                </c:pt>
                <c:pt idx="103">
                  <c:v>2.5858835582849009E-2</c:v>
                </c:pt>
                <c:pt idx="104">
                  <c:v>2.4136008971638916E-2</c:v>
                </c:pt>
                <c:pt idx="105">
                  <c:v>2.2413025961745572E-2</c:v>
                </c:pt>
                <c:pt idx="106">
                  <c:v>2.0689886521213504E-2</c:v>
                </c:pt>
                <c:pt idx="107">
                  <c:v>1.896659061807757E-2</c:v>
                </c:pt>
                <c:pt idx="108">
                  <c:v>1.7243138220362955E-2</c:v>
                </c:pt>
                <c:pt idx="109">
                  <c:v>1.5519529296085134E-2</c:v>
                </c:pt>
                <c:pt idx="110">
                  <c:v>1.3795763813249927E-2</c:v>
                </c:pt>
                <c:pt idx="111">
                  <c:v>1.2071841739853454E-2</c:v>
                </c:pt>
                <c:pt idx="112">
                  <c:v>1.0347763043882137E-2</c:v>
                </c:pt>
                <c:pt idx="113">
                  <c:v>8.6235276933127065E-3</c:v>
                </c:pt>
                <c:pt idx="114">
                  <c:v>6.8991356561121852E-3</c:v>
                </c:pt>
                <c:pt idx="115">
                  <c:v>5.1745869002378991E-3</c:v>
                </c:pt>
                <c:pt idx="116">
                  <c:v>3.4498813936374583E-3</c:v>
                </c:pt>
                <c:pt idx="117">
                  <c:v>3.2774022204531696E-3</c:v>
                </c:pt>
                <c:pt idx="118">
                  <c:v>3.1049214794089384E-3</c:v>
                </c:pt>
                <c:pt idx="119">
                  <c:v>2.9324391704726965E-3</c:v>
                </c:pt>
                <c:pt idx="120">
                  <c:v>2.7599552936123767E-3</c:v>
                </c:pt>
                <c:pt idx="121">
                  <c:v>2.587469848795904E-3</c:v>
                </c:pt>
                <c:pt idx="122">
                  <c:v>2.4149828359912116E-3</c:v>
                </c:pt>
                <c:pt idx="123">
                  <c:v>2.2424942551662243E-3</c:v>
                </c:pt>
                <c:pt idx="124">
                  <c:v>2.0700041062888708E-3</c:v>
                </c:pt>
                <c:pt idx="125">
                  <c:v>1.8975123893270761E-3</c:v>
                </c:pt>
                <c:pt idx="126">
                  <c:v>1.7250191042487647E-3</c:v>
                </c:pt>
                <c:pt idx="127">
                  <c:v>1.5525242510218606E-3</c:v>
                </c:pt>
                <c:pt idx="128">
                  <c:v>1.3800278296142868E-3</c:v>
                </c:pt>
                <c:pt idx="129">
                  <c:v>1.2075298399939649E-3</c:v>
                </c:pt>
                <c:pt idx="130">
                  <c:v>1.0350302821288155E-3</c:v>
                </c:pt>
                <c:pt idx="131">
                  <c:v>8.6252915598675932E-4</c:v>
                </c:pt>
                <c:pt idx="132">
                  <c:v>6.9002646153571508E-4</c:v>
                </c:pt>
                <c:pt idx="133">
                  <c:v>5.1752219874360021E-4</c:v>
                </c:pt>
                <c:pt idx="134">
                  <c:v>3.4501636757833189E-4</c:v>
                </c:pt>
                <c:pt idx="135">
                  <c:v>3.2776569820004687E-4</c:v>
                </c:pt>
                <c:pt idx="136">
                  <c:v>3.1051501313767701E-4</c:v>
                </c:pt>
                <c:pt idx="137">
                  <c:v>2.9326431239119061E-4</c:v>
                </c:pt>
                <c:pt idx="138">
                  <c:v>2.7601359596055551E-4</c:v>
                </c:pt>
                <c:pt idx="139">
                  <c:v>2.5876286384573968E-4</c:v>
                </c:pt>
                <c:pt idx="140">
                  <c:v>2.4151211604671115E-4</c:v>
                </c:pt>
                <c:pt idx="141">
                  <c:v>2.2426135256343769E-4</c:v>
                </c:pt>
                <c:pt idx="142">
                  <c:v>2.0701057339588769E-4</c:v>
                </c:pt>
                <c:pt idx="143">
                  <c:v>1.8975977854402817E-4</c:v>
                </c:pt>
                <c:pt idx="144">
                  <c:v>1.7250896800782755E-4</c:v>
                </c:pt>
                <c:pt idx="145">
                  <c:v>1.5525814178725378E-4</c:v>
                </c:pt>
                <c:pt idx="146">
                  <c:v>1.3800729988227463E-4</c:v>
                </c:pt>
                <c:pt idx="147">
                  <c:v>1.2075644229285809E-4</c:v>
                </c:pt>
                <c:pt idx="148">
                  <c:v>1.0350556901897212E-4</c:v>
                </c:pt>
                <c:pt idx="149">
                  <c:v>8.6254680060584565E-5</c:v>
                </c:pt>
                <c:pt idx="150">
                  <c:v>6.900377541766335E-5</c:v>
                </c:pt>
                <c:pt idx="151">
                  <c:v>5.1752855090176443E-5</c:v>
                </c:pt>
                <c:pt idx="152">
                  <c:v>3.4501919078091668E-5</c:v>
                </c:pt>
                <c:pt idx="153">
                  <c:v>3.2776824614228733E-5</c:v>
                </c:pt>
                <c:pt idx="154">
                  <c:v>3.105172999351982E-5</c:v>
                </c:pt>
                <c:pt idx="155">
                  <c:v>2.9326635215964522E-5</c:v>
                </c:pt>
                <c:pt idx="156">
                  <c:v>2.7601540281562848E-5</c:v>
                </c:pt>
                <c:pt idx="157">
                  <c:v>2.5876445190314739E-5</c:v>
                </c:pt>
                <c:pt idx="158">
                  <c:v>2.4151349942220166E-5</c:v>
                </c:pt>
                <c:pt idx="159">
                  <c:v>2.2426254537279107E-5</c:v>
                </c:pt>
                <c:pt idx="160">
                  <c:v>2.0701158975491527E-5</c:v>
                </c:pt>
                <c:pt idx="161">
                  <c:v>1.8976063256857386E-5</c:v>
                </c:pt>
                <c:pt idx="162">
                  <c:v>1.725096738137666E-5</c:v>
                </c:pt>
                <c:pt idx="163">
                  <c:v>1.5525871349049315E-5</c:v>
                </c:pt>
                <c:pt idx="164">
                  <c:v>1.3800775159875312E-5</c:v>
                </c:pt>
                <c:pt idx="165">
                  <c:v>1.207567881385463E-5</c:v>
                </c:pt>
                <c:pt idx="166">
                  <c:v>1.0350582310987233E-5</c:v>
                </c:pt>
                <c:pt idx="167">
                  <c:v>8.6254856512730855E-6</c:v>
                </c:pt>
                <c:pt idx="168">
                  <c:v>6.9003888347121565E-6</c:v>
                </c:pt>
                <c:pt idx="169">
                  <c:v>5.1752918613044163E-6</c:v>
                </c:pt>
                <c:pt idx="170">
                  <c:v>3.4501947310498281E-6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9-4B82-B152-BF25CA638DA7}"/>
            </c:ext>
          </c:extLst>
        </c:ser>
        <c:ser>
          <c:idx val="0"/>
          <c:order val="1"/>
          <c:tx>
            <c:v>1h BoL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'WSO-UV_WUVS_122nm'!$G$30:$G$200</c:f>
              <c:numCache>
                <c:formatCode>0.00E+00</c:formatCode>
                <c:ptCount val="171"/>
                <c:pt idx="0">
                  <c:v>1400.963299516927</c:v>
                </c:pt>
                <c:pt idx="1">
                  <c:v>1329.0258468154229</c:v>
                </c:pt>
                <c:pt idx="2">
                  <c:v>1252.9649860772188</c:v>
                </c:pt>
                <c:pt idx="3">
                  <c:v>1171.9781736961029</c:v>
                </c:pt>
                <c:pt idx="4">
                  <c:v>1084.9628867242857</c:v>
                </c:pt>
                <c:pt idx="5">
                  <c:v>990.33133836628724</c:v>
                </c:pt>
                <c:pt idx="6">
                  <c:v>885.6455121891313</c:v>
                </c:pt>
                <c:pt idx="7">
                  <c:v>766.79855580800631</c:v>
                </c:pt>
                <c:pt idx="8">
                  <c:v>625.77365882928086</c:v>
                </c:pt>
                <c:pt idx="9">
                  <c:v>609.88032067794404</c:v>
                </c:pt>
                <c:pt idx="10">
                  <c:v>593.56158890986376</c:v>
                </c:pt>
                <c:pt idx="11">
                  <c:v>576.78136115985239</c:v>
                </c:pt>
                <c:pt idx="12">
                  <c:v>559.49812008469769</c:v>
                </c:pt>
                <c:pt idx="13">
                  <c:v>541.6637231765701</c:v>
                </c:pt>
                <c:pt idx="14">
                  <c:v>523.22182092733328</c:v>
                </c:pt>
                <c:pt idx="15">
                  <c:v>504.10575354076104</c:v>
                </c:pt>
                <c:pt idx="16">
                  <c:v>484.23569933229084</c:v>
                </c:pt>
                <c:pt idx="17">
                  <c:v>463.5147211918694</c:v>
                </c:pt>
                <c:pt idx="18">
                  <c:v>441.82314121711215</c:v>
                </c:pt>
                <c:pt idx="19">
                  <c:v>419.01028869169875</c:v>
                </c:pt>
                <c:pt idx="20">
                  <c:v>394.88194636427386</c:v>
                </c:pt>
                <c:pt idx="21">
                  <c:v>369.18038929333983</c:v>
                </c:pt>
                <c:pt idx="22">
                  <c:v>341.55085248192722</c:v>
                </c:pt>
                <c:pt idx="23">
                  <c:v>311.4810966711446</c:v>
                </c:pt>
                <c:pt idx="24">
                  <c:v>278.18180475964982</c:v>
                </c:pt>
                <c:pt idx="25">
                  <c:v>240.31655150993907</c:v>
                </c:pt>
                <c:pt idx="26">
                  <c:v>195.25518302496144</c:v>
                </c:pt>
                <c:pt idx="27">
                  <c:v>190.16435015193863</c:v>
                </c:pt>
                <c:pt idx="28">
                  <c:v>184.93394734620807</c:v>
                </c:pt>
                <c:pt idx="29">
                  <c:v>179.55186861751744</c:v>
                </c:pt>
                <c:pt idx="30">
                  <c:v>174.00415637856062</c:v>
                </c:pt>
                <c:pt idx="31">
                  <c:v>168.274580448395</c:v>
                </c:pt>
                <c:pt idx="32">
                  <c:v>162.34408584202444</c:v>
                </c:pt>
                <c:pt idx="33">
                  <c:v>156.19005580812282</c:v>
                </c:pt>
                <c:pt idx="34">
                  <c:v>149.78530877780435</c:v>
                </c:pt>
                <c:pt idx="35">
                  <c:v>143.09670204345949</c:v>
                </c:pt>
                <c:pt idx="36">
                  <c:v>136.08313661088039</c:v>
                </c:pt>
                <c:pt idx="37">
                  <c:v>128.6926179640914</c:v>
                </c:pt>
                <c:pt idx="38">
                  <c:v>120.85776596904741</c:v>
                </c:pt>
                <c:pt idx="39">
                  <c:v>112.48864823198058</c:v>
                </c:pt>
                <c:pt idx="40">
                  <c:v>103.46070614080753</c:v>
                </c:pt>
                <c:pt idx="41">
                  <c:v>93.592973395441291</c:v>
                </c:pt>
                <c:pt idx="42">
                  <c:v>82.605101380438001</c:v>
                </c:pt>
                <c:pt idx="43">
                  <c:v>70.021485233691067</c:v>
                </c:pt>
                <c:pt idx="44">
                  <c:v>54.914951502869222</c:v>
                </c:pt>
                <c:pt idx="45">
                  <c:v>53.200346847921054</c:v>
                </c:pt>
                <c:pt idx="46">
                  <c:v>51.437513819751814</c:v>
                </c:pt>
                <c:pt idx="47">
                  <c:v>49.622513846811131</c:v>
                </c:pt>
                <c:pt idx="48">
                  <c:v>47.750873302153266</c:v>
                </c:pt>
                <c:pt idx="49">
                  <c:v>45.817480205677512</c:v>
                </c:pt>
                <c:pt idx="50">
                  <c:v>43.816454614930542</c:v>
                </c:pt>
                <c:pt idx="51">
                  <c:v>41.740984232186904</c:v>
                </c:pt>
                <c:pt idx="52">
                  <c:v>39.583113399440585</c:v>
                </c:pt>
                <c:pt idx="53">
                  <c:v>37.333468691123144</c:v>
                </c:pt>
                <c:pt idx="54">
                  <c:v>34.980896830531861</c:v>
                </c:pt>
                <c:pt idx="55">
                  <c:v>32.511979115659727</c:v>
                </c:pt>
                <c:pt idx="56">
                  <c:v>29.91036830045438</c:v>
                </c:pt>
                <c:pt idx="57">
                  <c:v>27.155864241209045</c:v>
                </c:pt>
                <c:pt idx="58">
                  <c:v>24.223094936001008</c:v>
                </c:pt>
                <c:pt idx="59">
                  <c:v>21.079583282156541</c:v>
                </c:pt>
                <c:pt idx="60">
                  <c:v>17.682823692772551</c:v>
                </c:pt>
                <c:pt idx="61">
                  <c:v>13.975696268216785</c:v>
                </c:pt>
                <c:pt idx="62">
                  <c:v>9.878951000613192</c:v>
                </c:pt>
                <c:pt idx="63">
                  <c:v>9.4438498362150902</c:v>
                </c:pt>
                <c:pt idx="64">
                  <c:v>9.0036163262548889</c:v>
                </c:pt>
                <c:pt idx="65">
                  <c:v>8.5581057240109857</c:v>
                </c:pt>
                <c:pt idx="66">
                  <c:v>8.1071670779036307</c:v>
                </c:pt>
                <c:pt idx="67">
                  <c:v>7.6506428759378124</c:v>
                </c:pt>
                <c:pt idx="68">
                  <c:v>7.188368664594428</c:v>
                </c:pt>
                <c:pt idx="69">
                  <c:v>6.7201726399547077</c:v>
                </c:pt>
                <c:pt idx="70">
                  <c:v>6.2458752086175604</c:v>
                </c:pt>
                <c:pt idx="71">
                  <c:v>5.7652885157171738</c:v>
                </c:pt>
                <c:pt idx="72">
                  <c:v>5.278215937066526</c:v>
                </c:pt>
                <c:pt idx="73">
                  <c:v>4.7844515321361065</c:v>
                </c:pt>
                <c:pt idx="74">
                  <c:v>4.2837794542225414</c:v>
                </c:pt>
                <c:pt idx="75">
                  <c:v>3.7759733137628699</c:v>
                </c:pt>
                <c:pt idx="76">
                  <c:v>3.2607954903009433</c:v>
                </c:pt>
                <c:pt idx="77">
                  <c:v>2.7379963881056204</c:v>
                </c:pt>
                <c:pt idx="78">
                  <c:v>2.2073136298676967</c:v>
                </c:pt>
                <c:pt idx="79">
                  <c:v>1.6684711822539289</c:v>
                </c:pt>
                <c:pt idx="80">
                  <c:v>1.1211784063610204</c:v>
                </c:pt>
                <c:pt idx="81">
                  <c:v>1.0659727103914118</c:v>
                </c:pt>
                <c:pt idx="82">
                  <c:v>1.0106791469824377</c:v>
                </c:pt>
                <c:pt idx="83">
                  <c:v>0.95529739924273727</c:v>
                </c:pt>
                <c:pt idx="84">
                  <c:v>0.89982714858278179</c:v>
                </c:pt>
                <c:pt idx="85">
                  <c:v>0.84426807470290277</c:v>
                </c:pt>
                <c:pt idx="86">
                  <c:v>0.78861985558121894</c:v>
                </c:pt>
                <c:pt idx="87">
                  <c:v>0.73288216746145729</c:v>
                </c:pt>
                <c:pt idx="88">
                  <c:v>0.67705468484066567</c:v>
                </c:pt>
                <c:pt idx="89">
                  <c:v>0.62113708045681892</c:v>
                </c:pt>
                <c:pt idx="90">
                  <c:v>0.56512902527631825</c:v>
                </c:pt>
                <c:pt idx="91">
                  <c:v>0.50903018848137604</c:v>
                </c:pt>
                <c:pt idx="92">
                  <c:v>0.45284023745729557</c:v>
                </c:pt>
                <c:pt idx="93">
                  <c:v>0.39655883777963308</c:v>
                </c:pt>
                <c:pt idx="94">
                  <c:v>0.34018565320124999</c:v>
                </c:pt>
                <c:pt idx="95">
                  <c:v>0.28372034563924886</c:v>
                </c:pt>
                <c:pt idx="96">
                  <c:v>0.22716257516179442</c:v>
                </c:pt>
                <c:pt idx="97">
                  <c:v>0.17051199997481725</c:v>
                </c:pt>
                <c:pt idx="98">
                  <c:v>0.11376827640859928</c:v>
                </c:pt>
                <c:pt idx="99">
                  <c:v>0.10808876760353972</c:v>
                </c:pt>
                <c:pt idx="100">
                  <c:v>0.10240832351406651</c:v>
                </c:pt>
                <c:pt idx="101">
                  <c:v>9.6726943793387143E-2</c:v>
                </c:pt>
                <c:pt idx="102">
                  <c:v>9.1044628094518645E-2</c:v>
                </c:pt>
                <c:pt idx="103">
                  <c:v>8.5361376070287168E-2</c:v>
                </c:pt>
                <c:pt idx="104">
                  <c:v>7.9677187373328254E-2</c:v>
                </c:pt>
                <c:pt idx="105">
                  <c:v>7.3992061656086308E-2</c:v>
                </c:pt>
                <c:pt idx="106">
                  <c:v>6.8305998570814708E-2</c:v>
                </c:pt>
                <c:pt idx="107">
                  <c:v>6.2618997769575552E-2</c:v>
                </c:pt>
                <c:pt idx="108">
                  <c:v>5.69310589042396E-2</c:v>
                </c:pt>
                <c:pt idx="109">
                  <c:v>5.1242181626486021E-2</c:v>
                </c:pt>
                <c:pt idx="110">
                  <c:v>4.5552365587802401E-2</c:v>
                </c:pt>
                <c:pt idx="111">
                  <c:v>3.9861610439484461E-2</c:v>
                </c:pt>
                <c:pt idx="112">
                  <c:v>3.4169915832636046E-2</c:v>
                </c:pt>
                <c:pt idx="113">
                  <c:v>2.8477281418168882E-2</c:v>
                </c:pt>
                <c:pt idx="114">
                  <c:v>2.2783706846802494E-2</c:v>
                </c:pt>
                <c:pt idx="115">
                  <c:v>1.7089191769064059E-2</c:v>
                </c:pt>
                <c:pt idx="116">
                  <c:v>1.1393735835288259E-2</c:v>
                </c:pt>
                <c:pt idx="117">
                  <c:v>1.0824138481360759E-2</c:v>
                </c:pt>
                <c:pt idx="118">
                  <c:v>1.0254531715024507E-2</c:v>
                </c:pt>
                <c:pt idx="119">
                  <c:v>9.6849155359295096E-3</c:v>
                </c:pt>
                <c:pt idx="120">
                  <c:v>9.115289943725775E-3</c:v>
                </c:pt>
                <c:pt idx="121">
                  <c:v>8.5456549380632657E-3</c:v>
                </c:pt>
                <c:pt idx="122">
                  <c:v>7.9760105185919562E-3</c:v>
                </c:pt>
                <c:pt idx="123">
                  <c:v>7.4063566849617733E-3</c:v>
                </c:pt>
                <c:pt idx="124">
                  <c:v>6.8366934368226497E-3</c:v>
                </c:pt>
                <c:pt idx="125">
                  <c:v>6.2670207738244801E-3</c:v>
                </c:pt>
                <c:pt idx="126">
                  <c:v>5.6973386956171461E-3</c:v>
                </c:pt>
                <c:pt idx="127">
                  <c:v>5.1276472018505102E-3</c:v>
                </c:pt>
                <c:pt idx="128">
                  <c:v>4.5579462921744186E-3</c:v>
                </c:pt>
                <c:pt idx="129">
                  <c:v>3.9882359662386895E-3</c:v>
                </c:pt>
                <c:pt idx="130">
                  <c:v>3.4185162236931312E-3</c:v>
                </c:pt>
                <c:pt idx="131">
                  <c:v>2.8487870641875314E-3</c:v>
                </c:pt>
                <c:pt idx="132">
                  <c:v>2.2790484873716527E-3</c:v>
                </c:pt>
                <c:pt idx="133">
                  <c:v>1.7093004928952409E-3</c:v>
                </c:pt>
                <c:pt idx="134">
                  <c:v>1.1395430804080257E-3</c:v>
                </c:pt>
                <c:pt idx="135">
                  <c:v>1.0825668211552251E-3</c:v>
                </c:pt>
                <c:pt idx="136">
                  <c:v>1.0255904677184623E-3</c:v>
                </c:pt>
                <c:pt idx="137">
                  <c:v>9.6861402009738797E-4</c:v>
                </c:pt>
                <c:pt idx="138">
                  <c:v>9.1163747829165137E-4</c:v>
                </c:pt>
                <c:pt idx="139">
                  <c:v>8.5466084230090267E-4</c:v>
                </c:pt>
                <c:pt idx="140">
                  <c:v>7.9768411212479177E-4</c:v>
                </c:pt>
                <c:pt idx="141">
                  <c:v>7.4070728776296814E-4</c:v>
                </c:pt>
                <c:pt idx="142">
                  <c:v>6.8373036921508246E-4</c:v>
                </c:pt>
                <c:pt idx="143">
                  <c:v>6.2675335648078214E-4</c:v>
                </c:pt>
                <c:pt idx="144">
                  <c:v>5.6977624955971797E-4</c:v>
                </c:pt>
                <c:pt idx="145">
                  <c:v>5.1279904845154007E-4</c:v>
                </c:pt>
                <c:pt idx="146">
                  <c:v>4.5582175315589748E-4</c:v>
                </c:pt>
                <c:pt idx="147">
                  <c:v>3.9884436367244023E-4</c:v>
                </c:pt>
                <c:pt idx="148">
                  <c:v>3.4186688000081812E-4</c:v>
                </c:pt>
                <c:pt idx="149">
                  <c:v>2.8488930214068067E-4</c:v>
                </c:pt>
                <c:pt idx="150">
                  <c:v>2.2791163009167742E-4</c:v>
                </c:pt>
                <c:pt idx="151">
                  <c:v>1.7093386385345823E-4</c:v>
                </c:pt>
                <c:pt idx="152">
                  <c:v>1.1395600342567263E-4</c:v>
                </c:pt>
                <c:pt idx="153">
                  <c:v>1.082582122024533E-4</c:v>
                </c:pt>
                <c:pt idx="154">
                  <c:v>1.0256042003733562E-4</c:v>
                </c:pt>
                <c:pt idx="155">
                  <c:v>9.6862626930317998E-5</c:v>
                </c:pt>
                <c:pt idx="156">
                  <c:v>9.1164832881400238E-5</c:v>
                </c:pt>
                <c:pt idx="157">
                  <c:v>8.546703789058188E-5</c:v>
                </c:pt>
                <c:pt idx="158">
                  <c:v>7.9769241957862588E-5</c:v>
                </c:pt>
                <c:pt idx="159">
                  <c:v>7.4071445083242048E-5</c:v>
                </c:pt>
                <c:pt idx="160">
                  <c:v>6.8373647266719868E-5</c:v>
                </c:pt>
                <c:pt idx="161">
                  <c:v>6.2675848508295708E-5</c:v>
                </c:pt>
                <c:pt idx="162">
                  <c:v>5.6978048807969272E-5</c:v>
                </c:pt>
                <c:pt idx="163">
                  <c:v>5.1280248165740138E-5</c:v>
                </c:pt>
                <c:pt idx="164">
                  <c:v>4.5582446581607982E-5</c:v>
                </c:pt>
                <c:pt idx="165">
                  <c:v>3.9884644055572457E-5</c:v>
                </c:pt>
                <c:pt idx="166">
                  <c:v>3.4186840587633219E-5</c:v>
                </c:pt>
                <c:pt idx="167">
                  <c:v>2.8489036177789905E-5</c:v>
                </c:pt>
                <c:pt idx="168">
                  <c:v>2.2791230826042168E-5</c:v>
                </c:pt>
                <c:pt idx="169">
                  <c:v>1.7093424532389664E-5</c:v>
                </c:pt>
                <c:pt idx="170">
                  <c:v>1.1395617296832017E-5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9-4B82-B152-BF25CA638DA7}"/>
            </c:ext>
          </c:extLst>
        </c:ser>
        <c:ser>
          <c:idx val="2"/>
          <c:order val="2"/>
          <c:tx>
            <c:v>10h BoL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'WSO-UV_WUVS_122nm'!$I$30:$I$200</c:f>
              <c:numCache>
                <c:formatCode>0.00E+00</c:formatCode>
                <c:ptCount val="171"/>
                <c:pt idx="0">
                  <c:v>4430.2349447781598</c:v>
                </c:pt>
                <c:pt idx="1">
                  <c:v>4202.7487451707748</c:v>
                </c:pt>
                <c:pt idx="2">
                  <c:v>3962.2231844451735</c:v>
                </c:pt>
                <c:pt idx="3">
                  <c:v>3706.1203968841223</c:v>
                </c:pt>
                <c:pt idx="4">
                  <c:v>3430.9538988000045</c:v>
                </c:pt>
                <c:pt idx="5">
                  <c:v>3131.7026674803619</c:v>
                </c:pt>
                <c:pt idx="6">
                  <c:v>2800.6570180240724</c:v>
                </c:pt>
                <c:pt idx="7">
                  <c:v>2424.8299428810346</c:v>
                </c:pt>
                <c:pt idx="8">
                  <c:v>1978.8700616376639</c:v>
                </c:pt>
                <c:pt idx="9">
                  <c:v>1928.6109134561896</c:v>
                </c:pt>
                <c:pt idx="10">
                  <c:v>1877.0065525437094</c:v>
                </c:pt>
                <c:pt idx="11">
                  <c:v>1823.9428131973114</c:v>
                </c:pt>
                <c:pt idx="12">
                  <c:v>1769.2884060500451</c:v>
                </c:pt>
                <c:pt idx="13">
                  <c:v>1712.8910911248968</c:v>
                </c:pt>
                <c:pt idx="14">
                  <c:v>1654.5726756311265</c:v>
                </c:pt>
                <c:pt idx="15">
                  <c:v>1594.1223627842955</c:v>
                </c:pt>
                <c:pt idx="16">
                  <c:v>1531.2877342545155</c:v>
                </c:pt>
                <c:pt idx="17">
                  <c:v>1465.7622479842237</c:v>
                </c:pt>
                <c:pt idx="18">
                  <c:v>1397.1674492162927</c:v>
                </c:pt>
                <c:pt idx="19">
                  <c:v>1325.0268753104622</c:v>
                </c:pt>
                <c:pt idx="20">
                  <c:v>1248.7263573915513</c:v>
                </c:pt>
                <c:pt idx="21">
                  <c:v>1167.4508976345942</c:v>
                </c:pt>
                <c:pt idx="22">
                  <c:v>1080.078630615064</c:v>
                </c:pt>
                <c:pt idx="23">
                  <c:v>984.98971356790798</c:v>
                </c:pt>
                <c:pt idx="24">
                  <c:v>879.68810665676233</c:v>
                </c:pt>
                <c:pt idx="25">
                  <c:v>759.94766220858401</c:v>
                </c:pt>
                <c:pt idx="26">
                  <c:v>617.4511033119237</c:v>
                </c:pt>
                <c:pt idx="27">
                  <c:v>601.35247624591284</c:v>
                </c:pt>
                <c:pt idx="28">
                  <c:v>584.81249029966909</c:v>
                </c:pt>
                <c:pt idx="29">
                  <c:v>567.79286297066335</c:v>
                </c:pt>
                <c:pt idx="30">
                  <c:v>550.24945649236747</c:v>
                </c:pt>
                <c:pt idx="31">
                  <c:v>532.13094652616621</c:v>
                </c:pt>
                <c:pt idx="32">
                  <c:v>513.37707591869162</c:v>
                </c:pt>
                <c:pt idx="33">
                  <c:v>493.9163242224792</c:v>
                </c:pt>
                <c:pt idx="34">
                  <c:v>473.66273576947339</c:v>
                </c:pt>
                <c:pt idx="35">
                  <c:v>452.51150411580278</c:v>
                </c:pt>
                <c:pt idx="36">
                  <c:v>430.33266283022874</c:v>
                </c:pt>
                <c:pt idx="37">
                  <c:v>406.96179081643004</c:v>
                </c:pt>
                <c:pt idx="38">
                  <c:v>382.18581338177682</c:v>
                </c:pt>
                <c:pt idx="39">
                  <c:v>355.72033932653142</c:v>
                </c:pt>
                <c:pt idx="40">
                  <c:v>327.17147973432111</c:v>
                </c:pt>
                <c:pt idx="41">
                  <c:v>295.96696891713742</c:v>
                </c:pt>
                <c:pt idx="42">
                  <c:v>261.22026671130322</c:v>
                </c:pt>
                <c:pt idx="43">
                  <c:v>221.42737848631131</c:v>
                </c:pt>
                <c:pt idx="44">
                  <c:v>173.65632434675331</c:v>
                </c:pt>
                <c:pt idx="45">
                  <c:v>168.23426835038998</c:v>
                </c:pt>
                <c:pt idx="46">
                  <c:v>162.65970084680342</c:v>
                </c:pt>
                <c:pt idx="47">
                  <c:v>156.92016697916691</c:v>
                </c:pt>
                <c:pt idx="48">
                  <c:v>151.00151989692998</c:v>
                </c:pt>
                <c:pt idx="49">
                  <c:v>144.88759409962091</c:v>
                </c:pt>
                <c:pt idx="50">
                  <c:v>138.55979557657653</c:v>
                </c:pt>
                <c:pt idx="51">
                  <c:v>131.99658195088523</c:v>
                </c:pt>
                <c:pt idx="52">
                  <c:v>125.17279522296259</c:v>
                </c:pt>
                <c:pt idx="53">
                  <c:v>118.05879401853434</c:v>
                </c:pt>
                <c:pt idx="54">
                  <c:v>110.61930857984575</c:v>
                </c:pt>
                <c:pt idx="55">
                  <c:v>102.81190524531165</c:v>
                </c:pt>
                <c:pt idx="56">
                  <c:v>94.584889483935356</c:v>
                </c:pt>
                <c:pt idx="57">
                  <c:v>85.874382832540704</c:v>
                </c:pt>
                <c:pt idx="58">
                  <c:v>76.600151976253784</c:v>
                </c:pt>
                <c:pt idx="59">
                  <c:v>66.659495298822478</c:v>
                </c:pt>
                <c:pt idx="60">
                  <c:v>55.91799833235077</c:v>
                </c:pt>
                <c:pt idx="61">
                  <c:v>44.195032094280521</c:v>
                </c:pt>
                <c:pt idx="62">
                  <c:v>31.239986055137155</c:v>
                </c:pt>
                <c:pt idx="63">
                  <c:v>29.864075363047792</c:v>
                </c:pt>
                <c:pt idx="64">
                  <c:v>28.471934769243127</c:v>
                </c:pt>
                <c:pt idx="65">
                  <c:v>27.063106544399069</c:v>
                </c:pt>
                <c:pt idx="66">
                  <c:v>25.637113337707209</c:v>
                </c:pt>
                <c:pt idx="67">
                  <c:v>24.193457052504503</c:v>
                </c:pt>
                <c:pt idx="68">
                  <c:v>22.731617641101362</c:v>
                </c:pt>
                <c:pt idx="69">
                  <c:v>21.251051811803535</c:v>
                </c:pt>
                <c:pt idx="70">
                  <c:v>19.751191640410827</c:v>
                </c:pt>
                <c:pt idx="71">
                  <c:v>18.231443077677735</c:v>
                </c:pt>
                <c:pt idx="72">
                  <c:v>16.691184343330182</c:v>
                </c:pt>
                <c:pt idx="73">
                  <c:v>15.129764196232385</c:v>
                </c:pt>
                <c:pt idx="74">
                  <c:v>13.546500069176235</c:v>
                </c:pt>
                <c:pt idx="75">
                  <c:v>11.940676055504291</c:v>
                </c:pt>
                <c:pt idx="76">
                  <c:v>10.31154073335647</c:v>
                </c:pt>
                <c:pt idx="77">
                  <c:v>8.6583048117281134</c:v>
                </c:pt>
                <c:pt idx="78">
                  <c:v>6.9801385807157921</c:v>
                </c:pt>
                <c:pt idx="79">
                  <c:v>5.2761691462763238</c:v>
                </c:pt>
                <c:pt idx="80">
                  <c:v>3.54547742749864</c:v>
                </c:pt>
                <c:pt idx="81">
                  <c:v>3.3709016884198992</c:v>
                </c:pt>
                <c:pt idx="82">
                  <c:v>3.1960480881005968</c:v>
                </c:pt>
                <c:pt idx="83">
                  <c:v>3.020915624442261</c:v>
                </c:pt>
                <c:pt idx="84">
                  <c:v>2.8455032899763437</c:v>
                </c:pt>
                <c:pt idx="85">
                  <c:v>2.6698100718263578</c:v>
                </c:pt>
                <c:pt idx="86">
                  <c:v>2.4938349516697023</c:v>
                </c:pt>
                <c:pt idx="87">
                  <c:v>2.3175769056991475</c:v>
                </c:pt>
                <c:pt idx="88">
                  <c:v>2.1410349045839796</c:v>
                </c:pt>
                <c:pt idx="89">
                  <c:v>1.9642079134308075</c:v>
                </c:pt>
                <c:pt idx="90">
                  <c:v>1.7870948917440328</c:v>
                </c:pt>
                <c:pt idx="91">
                  <c:v>1.6096947933859549</c:v>
                </c:pt>
                <c:pt idx="92">
                  <c:v>1.43200656653655</c:v>
                </c:pt>
                <c:pt idx="93">
                  <c:v>1.25402915365287</c:v>
                </c:pt>
                <c:pt idx="94">
                  <c:v>1.0757614914281004</c:v>
                </c:pt>
                <c:pt idx="95">
                  <c:v>0.89720251075024782</c:v>
                </c:pt>
                <c:pt idx="96">
                  <c:v>0.7183511366604628</c:v>
                </c:pt>
                <c:pt idx="97">
                  <c:v>0.53920628831099582</c:v>
                </c:pt>
                <c:pt idx="98">
                  <c:v>0.35976687892277476</c:v>
                </c:pt>
                <c:pt idx="99">
                  <c:v>0.34180669510780531</c:v>
                </c:pt>
                <c:pt idx="100">
                  <c:v>0.32384355366382872</c:v>
                </c:pt>
                <c:pt idx="101">
                  <c:v>0.30587745349419065</c:v>
                </c:pt>
                <c:pt idx="102">
                  <c:v>0.28790839350163472</c:v>
                </c:pt>
                <c:pt idx="103">
                  <c:v>0.26993637258830083</c:v>
                </c:pt>
                <c:pt idx="104">
                  <c:v>0.25196138965572601</c:v>
                </c:pt>
                <c:pt idx="105">
                  <c:v>0.23398344360484305</c:v>
                </c:pt>
                <c:pt idx="106">
                  <c:v>0.21600253333598057</c:v>
                </c:pt>
                <c:pt idx="107">
                  <c:v>0.19801865774886232</c:v>
                </c:pt>
                <c:pt idx="108">
                  <c:v>0.18003181574260696</c:v>
                </c:pt>
                <c:pt idx="109">
                  <c:v>0.16204200621572737</c:v>
                </c:pt>
                <c:pt idx="110">
                  <c:v>0.14404922806613038</c:v>
                </c:pt>
                <c:pt idx="111">
                  <c:v>0.12605348019111637</c:v>
                </c:pt>
                <c:pt idx="112">
                  <c:v>0.10805476148737876</c:v>
                </c:pt>
                <c:pt idx="113">
                  <c:v>9.0053070851003544E-2</c:v>
                </c:pt>
                <c:pt idx="114">
                  <c:v>7.2048407177468868E-2</c:v>
                </c:pt>
                <c:pt idx="115">
                  <c:v>5.4040769361644606E-2</c:v>
                </c:pt>
                <c:pt idx="116">
                  <c:v>3.6030156297791972E-2</c:v>
                </c:pt>
                <c:pt idx="117">
                  <c:v>3.4228931310176021E-2</c:v>
                </c:pt>
                <c:pt idx="118">
                  <c:v>3.2427676557910137E-2</c:v>
                </c:pt>
                <c:pt idx="119">
                  <c:v>3.0626392039887554E-2</c:v>
                </c:pt>
                <c:pt idx="120">
                  <c:v>2.8825077755001503E-2</c:v>
                </c:pt>
                <c:pt idx="121">
                  <c:v>2.7023733702145059E-2</c:v>
                </c:pt>
                <c:pt idx="122">
                  <c:v>2.5222359880211355E-2</c:v>
                </c:pt>
                <c:pt idx="123">
                  <c:v>2.3420956288093351E-2</c:v>
                </c:pt>
                <c:pt idx="124">
                  <c:v>2.1619522924684047E-2</c:v>
                </c:pt>
                <c:pt idx="125">
                  <c:v>1.9818059788876304E-2</c:v>
                </c:pt>
                <c:pt idx="126">
                  <c:v>1.8016566879562955E-2</c:v>
                </c:pt>
                <c:pt idx="127">
                  <c:v>1.6215044195636769E-2</c:v>
                </c:pt>
                <c:pt idx="128">
                  <c:v>1.4413491735990458E-2</c:v>
                </c:pt>
                <c:pt idx="129">
                  <c:v>1.2611909499516662E-2</c:v>
                </c:pt>
                <c:pt idx="130">
                  <c:v>1.0810297485107961E-2</c:v>
                </c:pt>
                <c:pt idx="131">
                  <c:v>9.0086556916568923E-3</c:v>
                </c:pt>
                <c:pt idx="132">
                  <c:v>7.2069841180559127E-3</c:v>
                </c:pt>
                <c:pt idx="133">
                  <c:v>5.4052827631974202E-3</c:v>
                </c:pt>
                <c:pt idx="134">
                  <c:v>3.6035516259737585E-3</c:v>
                </c:pt>
                <c:pt idx="135">
                  <c:v>3.4233768741786653E-3</c:v>
                </c:pt>
                <c:pt idx="136">
                  <c:v>3.2432018245477329E-3</c:v>
                </c:pt>
                <c:pt idx="137">
                  <c:v>3.0630264770798552E-3</c:v>
                </c:pt>
                <c:pt idx="138">
                  <c:v>2.8828508317739246E-3</c:v>
                </c:pt>
                <c:pt idx="139">
                  <c:v>2.7026748886288354E-3</c:v>
                </c:pt>
                <c:pt idx="140">
                  <c:v>2.5224986476434772E-3</c:v>
                </c:pt>
                <c:pt idx="141">
                  <c:v>2.3423221088167451E-3</c:v>
                </c:pt>
                <c:pt idx="142">
                  <c:v>2.1621452721475331E-3</c:v>
                </c:pt>
                <c:pt idx="143">
                  <c:v>1.9819681376347254E-3</c:v>
                </c:pt>
                <c:pt idx="144">
                  <c:v>1.8017907052772194E-3</c:v>
                </c:pt>
                <c:pt idx="145">
                  <c:v>1.6216129750739074E-3</c:v>
                </c:pt>
                <c:pt idx="146">
                  <c:v>1.4414349470236799E-3</c:v>
                </c:pt>
                <c:pt idx="147">
                  <c:v>1.2612566211254305E-3</c:v>
                </c:pt>
                <c:pt idx="148">
                  <c:v>1.0810779973780512E-3</c:v>
                </c:pt>
                <c:pt idx="149">
                  <c:v>9.0089907578043405E-4</c:v>
                </c:pt>
                <c:pt idx="150">
                  <c:v>7.2071985633147078E-4</c:v>
                </c:pt>
                <c:pt idx="151">
                  <c:v>5.4054033903005419E-4</c:v>
                </c:pt>
                <c:pt idx="152">
                  <c:v>3.6036052387507591E-4</c:v>
                </c:pt>
                <c:pt idx="153">
                  <c:v>3.4234252597758585E-4</c:v>
                </c:pt>
                <c:pt idx="154">
                  <c:v>3.2432452510155189E-4</c:v>
                </c:pt>
                <c:pt idx="155">
                  <c:v>3.0630652124696866E-4</c:v>
                </c:pt>
                <c:pt idx="156">
                  <c:v>2.8828851441383568E-4</c:v>
                </c:pt>
                <c:pt idx="157">
                  <c:v>2.7027050460215148E-4</c:v>
                </c:pt>
                <c:pt idx="158">
                  <c:v>2.5225249181191499E-4</c:v>
                </c:pt>
                <c:pt idx="159">
                  <c:v>2.3423447604312521E-4</c:v>
                </c:pt>
                <c:pt idx="160">
                  <c:v>2.16216457295781E-4</c:v>
                </c:pt>
                <c:pt idx="161">
                  <c:v>1.9819843556988118E-4</c:v>
                </c:pt>
                <c:pt idx="162">
                  <c:v>1.8018041086542474E-4</c:v>
                </c:pt>
                <c:pt idx="163">
                  <c:v>1.6216238318241056E-4</c:v>
                </c:pt>
                <c:pt idx="164">
                  <c:v>1.4414435252083744E-4</c:v>
                </c:pt>
                <c:pt idx="165">
                  <c:v>1.2612631888070432E-4</c:v>
                </c:pt>
                <c:pt idx="166">
                  <c:v>1.0810828226201017E-4</c:v>
                </c:pt>
                <c:pt idx="167">
                  <c:v>9.0090242664753769E-5</c:v>
                </c:pt>
                <c:pt idx="168">
                  <c:v>7.207220008893408E-5</c:v>
                </c:pt>
                <c:pt idx="169">
                  <c:v>5.4054154534549953E-5</c:v>
                </c:pt>
                <c:pt idx="170">
                  <c:v>3.6036106001600264E-5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9-4B82-B152-BF25CA638DA7}"/>
            </c:ext>
          </c:extLst>
        </c:ser>
        <c:ser>
          <c:idx val="3"/>
          <c:order val="3"/>
          <c:tx>
            <c:v>10min EoL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'WSO-UV_WUVS_122nm'!$M$30:$M$200</c:f>
              <c:numCache>
                <c:formatCode>0.00E+00</c:formatCode>
                <c:ptCount val="171"/>
                <c:pt idx="0">
                  <c:v>571.73666212045339</c:v>
                </c:pt>
                <c:pt idx="1">
                  <c:v>542.35730828375665</c:v>
                </c:pt>
                <c:pt idx="2">
                  <c:v>511.29258223927508</c:v>
                </c:pt>
                <c:pt idx="3">
                  <c:v>478.2141591064829</c:v>
                </c:pt>
                <c:pt idx="4">
                  <c:v>442.67086309310525</c:v>
                </c:pt>
                <c:pt idx="5">
                  <c:v>404.01269538396861</c:v>
                </c:pt>
                <c:pt idx="6">
                  <c:v>361.24107918392548</c:v>
                </c:pt>
                <c:pt idx="7">
                  <c:v>312.67261577101903</c:v>
                </c:pt>
                <c:pt idx="8">
                  <c:v>255.01701987880017</c:v>
                </c:pt>
                <c:pt idx="9">
                  <c:v>248.51697335604018</c:v>
                </c:pt>
                <c:pt idx="10">
                  <c:v>241.84232051590959</c:v>
                </c:pt>
                <c:pt idx="11">
                  <c:v>234.97818861874907</c:v>
                </c:pt>
                <c:pt idx="12">
                  <c:v>227.90746590747005</c:v>
                </c:pt>
                <c:pt idx="13">
                  <c:v>220.6102993367044</c:v>
                </c:pt>
                <c:pt idx="14">
                  <c:v>213.06343746912071</c:v>
                </c:pt>
                <c:pt idx="15">
                  <c:v>205.23935588992066</c:v>
                </c:pt>
                <c:pt idx="16">
                  <c:v>197.10507013938027</c:v>
                </c:pt>
                <c:pt idx="17">
                  <c:v>188.62048786189175</c:v>
                </c:pt>
                <c:pt idx="18">
                  <c:v>179.7360607782482</c:v>
                </c:pt>
                <c:pt idx="19">
                  <c:v>170.38933464386446</c:v>
                </c:pt>
                <c:pt idx="20">
                  <c:v>160.49969075940447</c:v>
                </c:pt>
                <c:pt idx="21">
                  <c:v>149.95996604297258</c:v>
                </c:pt>
                <c:pt idx="22">
                  <c:v>138.62233854117201</c:v>
                </c:pt>
                <c:pt idx="23">
                  <c:v>126.27280845176016</c:v>
                </c:pt>
                <c:pt idx="24">
                  <c:v>112.5804980546738</c:v>
                </c:pt>
                <c:pt idx="25">
                  <c:v>96.982637242602109</c:v>
                </c:pt>
                <c:pt idx="26">
                  <c:v>78.364713757404587</c:v>
                </c:pt>
                <c:pt idx="27">
                  <c:v>76.256345641157338</c:v>
                </c:pt>
                <c:pt idx="28">
                  <c:v>74.08892214963349</c:v>
                </c:pt>
                <c:pt idx="29">
                  <c:v>71.857254872714137</c:v>
                </c:pt>
                <c:pt idx="30">
                  <c:v>69.555357753907202</c:v>
                </c:pt>
                <c:pt idx="31">
                  <c:v>67.176266077685355</c:v>
                </c:pt>
                <c:pt idx="32">
                  <c:v>64.711799522419312</c:v>
                </c:pt>
                <c:pt idx="33">
                  <c:v>62.152246798335057</c:v>
                </c:pt>
                <c:pt idx="34">
                  <c:v>59.485937966790786</c:v>
                </c:pt>
                <c:pt idx="35">
                  <c:v>56.698651906581262</c:v>
                </c:pt>
                <c:pt idx="36">
                  <c:v>53.772774970900471</c:v>
                </c:pt>
                <c:pt idx="37">
                  <c:v>50.686071800700383</c:v>
                </c:pt>
                <c:pt idx="38">
                  <c:v>47.409828298521973</c:v>
                </c:pt>
                <c:pt idx="39">
                  <c:v>43.905931688303468</c:v>
                </c:pt>
                <c:pt idx="40">
                  <c:v>40.122051153857015</c:v>
                </c:pt>
                <c:pt idx="41">
                  <c:v>35.983190536377712</c:v>
                </c:pt>
                <c:pt idx="42">
                  <c:v>31.375702596694115</c:v>
                </c:pt>
                <c:pt idx="43">
                  <c:v>26.113810472911247</c:v>
                </c:pt>
                <c:pt idx="44">
                  <c:v>19.858861875575627</c:v>
                </c:pt>
                <c:pt idx="45">
                  <c:v>19.15664302972467</c:v>
                </c:pt>
                <c:pt idx="46">
                  <c:v>18.436959913531709</c:v>
                </c:pt>
                <c:pt idx="47">
                  <c:v>17.698641773611616</c:v>
                </c:pt>
                <c:pt idx="48">
                  <c:v>16.940392106376986</c:v>
                </c:pt>
                <c:pt idx="49">
                  <c:v>16.160769942289349</c:v>
                </c:pt>
                <c:pt idx="50">
                  <c:v>15.358167529438985</c:v>
                </c:pt>
                <c:pt idx="51">
                  <c:v>14.530783556879877</c:v>
                </c:pt>
                <c:pt idx="52">
                  <c:v>13.676590810258485</c:v>
                </c:pt>
                <c:pt idx="53">
                  <c:v>12.79329681963692</c:v>
                </c:pt>
                <c:pt idx="54">
                  <c:v>11.878295608138528</c:v>
                </c:pt>
                <c:pt idx="55">
                  <c:v>10.928608030573255</c:v>
                </c:pt>
                <c:pt idx="56">
                  <c:v>9.9408073299510171</c:v>
                </c:pt>
                <c:pt idx="57">
                  <c:v>8.9109253257751071</c:v>
                </c:pt>
                <c:pt idx="58">
                  <c:v>7.8343329108821926</c:v>
                </c:pt>
                <c:pt idx="59">
                  <c:v>6.7055860069488054</c:v>
                </c:pt>
                <c:pt idx="60">
                  <c:v>5.5182243872740822</c:v>
                </c:pt>
                <c:pt idx="61">
                  <c:v>4.2645051244462753</c:v>
                </c:pt>
                <c:pt idx="62">
                  <c:v>2.9350436969170883</c:v>
                </c:pt>
                <c:pt idx="63">
                  <c:v>2.7975100502226056</c:v>
                </c:pt>
                <c:pt idx="64">
                  <c:v>2.6590932294134406</c:v>
                </c:pt>
                <c:pt idx="65">
                  <c:v>2.5197800810630957</c:v>
                </c:pt>
                <c:pt idx="66">
                  <c:v>2.3795571577859636</c:v>
                </c:pt>
                <c:pt idx="67">
                  <c:v>2.2384107095348731</c:v>
                </c:pt>
                <c:pt idx="68">
                  <c:v>2.0963266745780715</c:v>
                </c:pt>
                <c:pt idx="69">
                  <c:v>1.9532906701415027</c:v>
                </c:pt>
                <c:pt idx="70">
                  <c:v>1.8092879827015345</c:v>
                </c:pt>
                <c:pt idx="71">
                  <c:v>1.664303557912469</c:v>
                </c:pt>
                <c:pt idx="72">
                  <c:v>1.5183219901524236</c:v>
                </c:pt>
                <c:pt idx="73">
                  <c:v>1.3713275116702366</c:v>
                </c:pt>
                <c:pt idx="74">
                  <c:v>1.2233039813151756</c:v>
                </c:pt>
                <c:pt idx="75">
                  <c:v>1.0742348728302573</c:v>
                </c:pt>
                <c:pt idx="76">
                  <c:v>0.92410326268892784</c:v>
                </c:pt>
                <c:pt idx="77">
                  <c:v>0.77289181745378444</c:v>
                </c:pt>
                <c:pt idx="78">
                  <c:v>0.62058278063485006</c:v>
                </c:pt>
                <c:pt idx="79">
                  <c:v>0.46715795902366652</c:v>
                </c:pt>
                <c:pt idx="80">
                  <c:v>0.31259870847818133</c:v>
                </c:pt>
                <c:pt idx="81">
                  <c:v>0.29707965821835042</c:v>
                </c:pt>
                <c:pt idx="82">
                  <c:v>0.28154905359677623</c:v>
                </c:pt>
                <c:pt idx="83">
                  <c:v>0.26600687519461008</c:v>
                </c:pt>
                <c:pt idx="84">
                  <c:v>0.25045310354458689</c:v>
                </c:pt>
                <c:pt idx="85">
                  <c:v>0.23488771913086601</c:v>
                </c:pt>
                <c:pt idx="86">
                  <c:v>0.21931070238887226</c:v>
                </c:pt>
                <c:pt idx="87">
                  <c:v>0.20372203370513628</c:v>
                </c:pt>
                <c:pt idx="88">
                  <c:v>0.18812169341713347</c:v>
                </c:pt>
                <c:pt idx="89">
                  <c:v>0.17250966181312319</c:v>
                </c:pt>
                <c:pt idx="90">
                  <c:v>0.15688591913198685</c:v>
                </c:pt>
                <c:pt idx="91">
                  <c:v>0.14125044556306515</c:v>
                </c:pt>
                <c:pt idx="92">
                  <c:v>0.12560322124599538</c:v>
                </c:pt>
                <c:pt idx="93">
                  <c:v>0.10994422627054726</c:v>
                </c:pt>
                <c:pt idx="94">
                  <c:v>9.4273440676458514E-2</c:v>
                </c:pt>
                <c:pt idx="95">
                  <c:v>7.8590844453269873E-2</c:v>
                </c:pt>
                <c:pt idx="96">
                  <c:v>6.2896417540158955E-2</c:v>
                </c:pt>
                <c:pt idx="97">
                  <c:v>4.7190139825774025E-2</c:v>
                </c:pt>
                <c:pt idx="98">
                  <c:v>3.1471991148066696E-2</c:v>
                </c:pt>
                <c:pt idx="99">
                  <c:v>2.9899522599557599E-2</c:v>
                </c:pt>
                <c:pt idx="100">
                  <c:v>2.8326935119087314E-2</c:v>
                </c:pt>
                <c:pt idx="101">
                  <c:v>2.6754228686409785E-2</c:v>
                </c:pt>
                <c:pt idx="102">
                  <c:v>2.5181403281273884E-2</c:v>
                </c:pt>
                <c:pt idx="103">
                  <c:v>2.3608458883423323E-2</c:v>
                </c:pt>
                <c:pt idx="104">
                  <c:v>2.2035395472596763E-2</c:v>
                </c:pt>
                <c:pt idx="105">
                  <c:v>2.0462213028527701E-2</c:v>
                </c:pt>
                <c:pt idx="106">
                  <c:v>1.8888911530944547E-2</c:v>
                </c:pt>
                <c:pt idx="107">
                  <c:v>1.7315490959570596E-2</c:v>
                </c:pt>
                <c:pt idx="108">
                  <c:v>1.5741951294124017E-2</c:v>
                </c:pt>
                <c:pt idx="109">
                  <c:v>1.4168292514317869E-2</c:v>
                </c:pt>
                <c:pt idx="110">
                  <c:v>1.2594514599860081E-2</c:v>
                </c:pt>
                <c:pt idx="111">
                  <c:v>1.1020617530453469E-2</c:v>
                </c:pt>
                <c:pt idx="112">
                  <c:v>9.4466012857957211E-3</c:v>
                </c:pt>
                <c:pt idx="113">
                  <c:v>7.8724658455794055E-3</c:v>
                </c:pt>
                <c:pt idx="114">
                  <c:v>6.2982111894919531E-3</c:v>
                </c:pt>
                <c:pt idx="115">
                  <c:v>4.7238372972156746E-3</c:v>
                </c:pt>
                <c:pt idx="116">
                  <c:v>3.1493441484277485E-3</c:v>
                </c:pt>
                <c:pt idx="117">
                  <c:v>2.9918882736582335E-3</c:v>
                </c:pt>
                <c:pt idx="118">
                  <c:v>2.8344312060999965E-3</c:v>
                </c:pt>
                <c:pt idx="119">
                  <c:v>2.6769729457327041E-3</c:v>
                </c:pt>
                <c:pt idx="120">
                  <c:v>2.5195134925360286E-3</c:v>
                </c:pt>
                <c:pt idx="121">
                  <c:v>2.3620528464896322E-3</c:v>
                </c:pt>
                <c:pt idx="122">
                  <c:v>2.204591007573187E-3</c:v>
                </c:pt>
                <c:pt idx="123">
                  <c:v>2.0471279757663559E-3</c:v>
                </c:pt>
                <c:pt idx="124">
                  <c:v>1.889663751048808E-3</c:v>
                </c:pt>
                <c:pt idx="125">
                  <c:v>1.7321983334002077E-3</c:v>
                </c:pt>
                <c:pt idx="126">
                  <c:v>1.5747317228002199E-3</c:v>
                </c:pt>
                <c:pt idx="127">
                  <c:v>1.4172639192285097E-3</c:v>
                </c:pt>
                <c:pt idx="128">
                  <c:v>1.2597949226647409E-3</c:v>
                </c:pt>
                <c:pt idx="129">
                  <c:v>1.1023247330885766E-3</c:v>
                </c:pt>
                <c:pt idx="130">
                  <c:v>9.4485335047968016E-4</c:v>
                </c:pt>
                <c:pt idx="131">
                  <c:v>7.8738077481771494E-4</c:v>
                </c:pt>
                <c:pt idx="132">
                  <c:v>6.2990700608234239E-4</c:v>
                </c:pt>
                <c:pt idx="133">
                  <c:v>4.7243204425322343E-4</c:v>
                </c:pt>
                <c:pt idx="134">
                  <c:v>3.1495588931001962E-4</c:v>
                </c:pt>
                <c:pt idx="135">
                  <c:v>2.9920820819364193E-4</c:v>
                </c:pt>
                <c:pt idx="136">
                  <c:v>2.8346051514589933E-4</c:v>
                </c:pt>
                <c:pt idx="137">
                  <c:v>2.6771281016677175E-4</c:v>
                </c:pt>
                <c:pt idx="138">
                  <c:v>2.5196509325623888E-4</c:v>
                </c:pt>
                <c:pt idx="139">
                  <c:v>2.3621736441428037E-4</c:v>
                </c:pt>
                <c:pt idx="140">
                  <c:v>2.2046962364087599E-4</c:v>
                </c:pt>
                <c:pt idx="141">
                  <c:v>2.047218709360053E-4</c:v>
                </c:pt>
                <c:pt idx="142">
                  <c:v>1.889741062996484E-4</c:v>
                </c:pt>
                <c:pt idx="143">
                  <c:v>1.7322632973178407E-4</c:v>
                </c:pt>
                <c:pt idx="144">
                  <c:v>1.5747854123239249E-4</c:v>
                </c:pt>
                <c:pt idx="145">
                  <c:v>1.4173074080145332E-4</c:v>
                </c:pt>
                <c:pt idx="146">
                  <c:v>1.259829284389461E-4</c:v>
                </c:pt>
                <c:pt idx="147">
                  <c:v>1.1023510414485058E-4</c:v>
                </c:pt>
                <c:pt idx="148">
                  <c:v>9.44872679191464E-5</c:v>
                </c:pt>
                <c:pt idx="149">
                  <c:v>7.8739419761813232E-5</c:v>
                </c:pt>
                <c:pt idx="150">
                  <c:v>6.2991559672830684E-5</c:v>
                </c:pt>
                <c:pt idx="151">
                  <c:v>4.7243687652178494E-5</c:v>
                </c:pt>
                <c:pt idx="152">
                  <c:v>3.1495803699836245E-5</c:v>
                </c:pt>
                <c:pt idx="153">
                  <c:v>2.9921014648357963E-5</c:v>
                </c:pt>
                <c:pt idx="154">
                  <c:v>2.8346225477562893E-5</c:v>
                </c:pt>
                <c:pt idx="155">
                  <c:v>2.6771436187450652E-5</c:v>
                </c:pt>
                <c:pt idx="156">
                  <c:v>2.5196646778021268E-5</c:v>
                </c:pt>
                <c:pt idx="157">
                  <c:v>2.3621857249274689E-5</c:v>
                </c:pt>
                <c:pt idx="158">
                  <c:v>2.2047067601210905E-5</c:v>
                </c:pt>
                <c:pt idx="159">
                  <c:v>2.0472277833829897E-5</c:v>
                </c:pt>
                <c:pt idx="160">
                  <c:v>1.8897487947131646E-5</c:v>
                </c:pt>
                <c:pt idx="161">
                  <c:v>1.732269794111612E-5</c:v>
                </c:pt>
                <c:pt idx="162">
                  <c:v>1.5747907815783315E-5</c:v>
                </c:pt>
                <c:pt idx="163">
                  <c:v>1.4173117571133206E-5</c:v>
                </c:pt>
                <c:pt idx="164">
                  <c:v>1.2598327207165761E-5</c:v>
                </c:pt>
                <c:pt idx="165">
                  <c:v>1.1023536723880971E-5</c:v>
                </c:pt>
                <c:pt idx="166">
                  <c:v>9.448746121278815E-6</c:v>
                </c:pt>
                <c:pt idx="167">
                  <c:v>7.8739553993592682E-6</c:v>
                </c:pt>
                <c:pt idx="168">
                  <c:v>6.2991645581223134E-6</c:v>
                </c:pt>
                <c:pt idx="169">
                  <c:v>4.7243735975679295E-6</c:v>
                </c:pt>
                <c:pt idx="170">
                  <c:v>3.1495825176960928E-6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9-4B82-B152-BF25CA638DA7}"/>
            </c:ext>
          </c:extLst>
        </c:ser>
        <c:ser>
          <c:idx val="4"/>
          <c:order val="4"/>
          <c:tx>
            <c:v>1h EoL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'WSO-UV_WUVS_122nm'!$O$30:$O$200</c:f>
              <c:numCache>
                <c:formatCode>0.00E+00</c:formatCode>
                <c:ptCount val="171"/>
                <c:pt idx="0">
                  <c:v>1400.8093316394072</c:v>
                </c:pt>
                <c:pt idx="1">
                  <c:v>1328.8635697441164</c:v>
                </c:pt>
                <c:pt idx="2">
                  <c:v>1252.7928908625208</c:v>
                </c:pt>
                <c:pt idx="3">
                  <c:v>1171.7942313656561</c:v>
                </c:pt>
                <c:pt idx="4">
                  <c:v>1084.7642569641741</c:v>
                </c:pt>
                <c:pt idx="5">
                  <c:v>990.11382802604919</c:v>
                </c:pt>
                <c:pt idx="6">
                  <c:v>885.40245837834141</c:v>
                </c:pt>
                <c:pt idx="7">
                  <c:v>766.51815160118554</c:v>
                </c:pt>
                <c:pt idx="8">
                  <c:v>625.4308466034538</c:v>
                </c:pt>
                <c:pt idx="9">
                  <c:v>609.52870162678016</c:v>
                </c:pt>
                <c:pt idx="10">
                  <c:v>593.20044748724854</c:v>
                </c:pt>
                <c:pt idx="11">
                  <c:v>576.40987936813531</c:v>
                </c:pt>
                <c:pt idx="12">
                  <c:v>559.11535568894249</c:v>
                </c:pt>
                <c:pt idx="13">
                  <c:v>541.26858157678976</c:v>
                </c:pt>
                <c:pt idx="14">
                  <c:v>522.81301827594075</c:v>
                </c:pt>
                <c:pt idx="15">
                  <c:v>503.6817675269217</c:v>
                </c:pt>
                <c:pt idx="16">
                  <c:v>483.79470218742233</c:v>
                </c:pt>
                <c:pt idx="17">
                  <c:v>463.05448638025047</c:v>
                </c:pt>
                <c:pt idx="18">
                  <c:v>441.34090996798307</c:v>
                </c:pt>
                <c:pt idx="19">
                  <c:v>418.50257301022748</c:v>
                </c:pt>
                <c:pt idx="20">
                  <c:v>394.34422719216525</c:v>
                </c:pt>
                <c:pt idx="21">
                  <c:v>368.60663243675168</c:v>
                </c:pt>
                <c:pt idx="22">
                  <c:v>340.93268694370306</c:v>
                </c:pt>
                <c:pt idx="23">
                  <c:v>310.80631469130697</c:v>
                </c:pt>
                <c:pt idx="24">
                  <c:v>277.43134494902478</c:v>
                </c:pt>
                <c:pt idx="25">
                  <c:v>239.45754480408033</c:v>
                </c:pt>
                <c:pt idx="26">
                  <c:v>194.22121104877377</c:v>
                </c:pt>
                <c:pt idx="27">
                  <c:v>189.10639916399097</c:v>
                </c:pt>
                <c:pt idx="28">
                  <c:v>183.85028005614646</c:v>
                </c:pt>
                <c:pt idx="29">
                  <c:v>178.4405293505005</c:v>
                </c:pt>
                <c:pt idx="30">
                  <c:v>172.86293112483429</c:v>
                </c:pt>
                <c:pt idx="31">
                  <c:v>167.10094718074387</c:v>
                </c:pt>
                <c:pt idx="32">
                  <c:v>161.13515212394029</c:v>
                </c:pt>
                <c:pt idx="33">
                  <c:v>154.94247962926875</c:v>
                </c:pt>
                <c:pt idx="34">
                  <c:v>148.49519702570703</c:v>
                </c:pt>
                <c:pt idx="35">
                  <c:v>141.75947888218101</c:v>
                </c:pt>
                <c:pt idx="36">
                  <c:v>134.69337111019075</c:v>
                </c:pt>
                <c:pt idx="37">
                  <c:v>127.24379656870721</c:v>
                </c:pt>
                <c:pt idx="38">
                  <c:v>119.34199149317716</c:v>
                </c:pt>
                <c:pt idx="39">
                  <c:v>110.89624647178627</c:v>
                </c:pt>
                <c:pt idx="40">
                  <c:v>101.77973782207992</c:v>
                </c:pt>
                <c:pt idx="41">
                  <c:v>91.808737723364359</c:v>
                </c:pt>
                <c:pt idx="42">
                  <c:v>80.700108343050701</c:v>
                </c:pt>
                <c:pt idx="43">
                  <c:v>67.978182901642128</c:v>
                </c:pt>
                <c:pt idx="44">
                  <c:v>52.733535435088676</c:v>
                </c:pt>
                <c:pt idx="45">
                  <c:v>51.007819917584492</c:v>
                </c:pt>
                <c:pt idx="46">
                  <c:v>49.235072680216746</c:v>
                </c:pt>
                <c:pt idx="47">
                  <c:v>47.411675696484586</c:v>
                </c:pt>
                <c:pt idx="48">
                  <c:v>45.53355482802796</c:v>
                </c:pt>
                <c:pt idx="49">
                  <c:v>43.596098936889973</c:v>
                </c:pt>
                <c:pt idx="50">
                  <c:v>41.594060226198266</c:v>
                </c:pt>
                <c:pt idx="51">
                  <c:v>39.521430342676858</c:v>
                </c:pt>
                <c:pt idx="52">
                  <c:v>37.371284829977412</c:v>
                </c:pt>
                <c:pt idx="53">
                  <c:v>35.135585748147435</c:v>
                </c:pt>
                <c:pt idx="54">
                  <c:v>32.804928253110823</c:v>
                </c:pt>
                <c:pt idx="55">
                  <c:v>30.368210994668878</c:v>
                </c:pt>
                <c:pt idx="56">
                  <c:v>27.812201257780316</c:v>
                </c:pt>
                <c:pt idx="57">
                  <c:v>25.120952029965618</c:v>
                </c:pt>
                <c:pt idx="58">
                  <c:v>22.275006523054383</c:v>
                </c:pt>
                <c:pt idx="59">
                  <c:v>19.250290618378454</c:v>
                </c:pt>
                <c:pt idx="60">
                  <c:v>16.016535185081516</c:v>
                </c:pt>
                <c:pt idx="61">
                  <c:v>12.534969094543976</c:v>
                </c:pt>
                <c:pt idx="62">
                  <c:v>8.7548418975602029</c:v>
                </c:pt>
                <c:pt idx="63">
                  <c:v>8.3579745216039569</c:v>
                </c:pt>
                <c:pt idx="64">
                  <c:v>7.9573811367279257</c:v>
                </c:pt>
                <c:pt idx="65">
                  <c:v>7.5529792938396403</c:v>
                </c:pt>
                <c:pt idx="66">
                  <c:v>7.1446837875274829</c:v>
                </c:pt>
                <c:pt idx="67">
                  <c:v>6.7324065334085592</c:v>
                </c:pt>
                <c:pt idx="68">
                  <c:v>6.3160564386570632</c:v>
                </c:pt>
                <c:pt idx="69">
                  <c:v>5.8955392652573444</c:v>
                </c:pt>
                <c:pt idx="70">
                  <c:v>5.4707574854903012</c:v>
                </c:pt>
                <c:pt idx="71">
                  <c:v>5.0416101291227022</c:v>
                </c:pt>
                <c:pt idx="72">
                  <c:v>4.6079926217268445</c:v>
                </c:pt>
                <c:pt idx="73">
                  <c:v>4.1697966135114628</c:v>
                </c:pt>
                <c:pt idx="74">
                  <c:v>3.7269097979943595</c:v>
                </c:pt>
                <c:pt idx="75">
                  <c:v>3.279215719791821</c:v>
                </c:pt>
                <c:pt idx="76">
                  <c:v>2.8265935707393051</c:v>
                </c:pt>
                <c:pt idx="77">
                  <c:v>2.3689179734914516</c:v>
                </c:pt>
                <c:pt idx="78">
                  <c:v>1.9060587516766312</c:v>
                </c:pt>
                <c:pt idx="79">
                  <c:v>1.4378806856011692</c:v>
                </c:pt>
                <c:pt idx="80">
                  <c:v>0.9642432524104334</c:v>
                </c:pt>
                <c:pt idx="81">
                  <c:v>0.91657366883504299</c:v>
                </c:pt>
                <c:pt idx="82">
                  <c:v>0.86884788614874475</c:v>
                </c:pt>
                <c:pt idx="83">
                  <c:v>0.82106575450330221</c:v>
                </c:pt>
                <c:pt idx="84">
                  <c:v>0.7732271234572502</c:v>
                </c:pt>
                <c:pt idx="85">
                  <c:v>0.72533184197280709</c:v>
                </c:pt>
                <c:pt idx="86">
                  <c:v>0.67737975841276832</c:v>
                </c:pt>
                <c:pt idx="87">
                  <c:v>0.62937072053737964</c:v>
                </c:pt>
                <c:pt idx="88">
                  <c:v>0.5813045755011883</c:v>
                </c:pt>
                <c:pt idx="89">
                  <c:v>0.53318116984987662</c:v>
                </c:pt>
                <c:pt idx="90">
                  <c:v>0.48500034951707349</c:v>
                </c:pt>
                <c:pt idx="91">
                  <c:v>0.43676195982114452</c:v>
                </c:pt>
                <c:pt idx="92">
                  <c:v>0.38846584546196461</c:v>
                </c:pt>
                <c:pt idx="93">
                  <c:v>0.34011185051766529</c:v>
                </c:pt>
                <c:pt idx="94">
                  <c:v>0.2916998184413645</c:v>
                </c:pt>
                <c:pt idx="95">
                  <c:v>0.2432295920578729</c:v>
                </c:pt>
                <c:pt idx="96">
                  <c:v>0.19470101356037961</c:v>
                </c:pt>
                <c:pt idx="97">
                  <c:v>0.14611392450711655</c:v>
                </c:pt>
                <c:pt idx="98">
                  <c:v>9.7468165818000538E-2</c:v>
                </c:pt>
                <c:pt idx="99">
                  <c:v>9.260035697540546E-2</c:v>
                </c:pt>
                <c:pt idx="100">
                  <c:v>8.7731959679690538E-2</c:v>
                </c:pt>
                <c:pt idx="101">
                  <c:v>8.2862973770715498E-2</c:v>
                </c:pt>
                <c:pt idx="102">
                  <c:v>7.7993399088275475E-2</c:v>
                </c:pt>
                <c:pt idx="103">
                  <c:v>7.3123235472100992E-2</c:v>
                </c:pt>
                <c:pt idx="104">
                  <c:v>6.8252482761857955E-2</c:v>
                </c:pt>
                <c:pt idx="105">
                  <c:v>6.3381140797147545E-2</c:v>
                </c:pt>
                <c:pt idx="106">
                  <c:v>5.8509209417506272E-2</c:v>
                </c:pt>
                <c:pt idx="107">
                  <c:v>5.3636688462405852E-2</c:v>
                </c:pt>
                <c:pt idx="108">
                  <c:v>4.8763577771253272E-2</c:v>
                </c:pt>
                <c:pt idx="109">
                  <c:v>4.3889877183390651E-2</c:v>
                </c:pt>
                <c:pt idx="110">
                  <c:v>3.9015586538095288E-2</c:v>
                </c:pt>
                <c:pt idx="111">
                  <c:v>3.414070567457958E-2</c:v>
                </c:pt>
                <c:pt idx="112">
                  <c:v>2.926523443199102E-2</c:v>
                </c:pt>
                <c:pt idx="113">
                  <c:v>2.4389172649412129E-2</c:v>
                </c:pt>
                <c:pt idx="114">
                  <c:v>1.9512520165860445E-2</c:v>
                </c:pt>
                <c:pt idx="115">
                  <c:v>1.4635276820288482E-2</c:v>
                </c:pt>
                <c:pt idx="116">
                  <c:v>9.7574424515837008E-3</c:v>
                </c:pt>
                <c:pt idx="117">
                  <c:v>9.2696265022361394E-3</c:v>
                </c:pt>
                <c:pt idx="118">
                  <c:v>8.7818046408843203E-3</c:v>
                </c:pt>
                <c:pt idx="119">
                  <c:v>8.2939768673670096E-3</c:v>
                </c:pt>
                <c:pt idx="120">
                  <c:v>7.8061431815229969E-3</c:v>
                </c:pt>
                <c:pt idx="121">
                  <c:v>7.3183035831910319E-3</c:v>
                </c:pt>
                <c:pt idx="122">
                  <c:v>6.8304580722098893E-3</c:v>
                </c:pt>
                <c:pt idx="123">
                  <c:v>6.3426066484183119E-3</c:v>
                </c:pt>
                <c:pt idx="124">
                  <c:v>5.8547493116550588E-3</c:v>
                </c:pt>
                <c:pt idx="125">
                  <c:v>5.3668860617588632E-3</c:v>
                </c:pt>
                <c:pt idx="126">
                  <c:v>4.87901689856846E-3</c:v>
                </c:pt>
                <c:pt idx="127">
                  <c:v>4.3911418219225789E-3</c:v>
                </c:pt>
                <c:pt idx="128">
                  <c:v>3.9032608316599418E-3</c:v>
                </c:pt>
                <c:pt idx="129">
                  <c:v>3.4153739276192611E-3</c:v>
                </c:pt>
                <c:pt idx="130">
                  <c:v>2.9274811096392456E-3</c:v>
                </c:pt>
                <c:pt idx="131">
                  <c:v>2.4395823775586003E-3</c:v>
                </c:pt>
                <c:pt idx="132">
                  <c:v>1.9516777312160183E-3</c:v>
                </c:pt>
                <c:pt idx="133">
                  <c:v>1.4637671704501869E-3</c:v>
                </c:pt>
                <c:pt idx="134">
                  <c:v>9.7585069509979012E-4</c:v>
                </c:pt>
                <c:pt idx="135">
                  <c:v>9.2705872225638971E-4</c:v>
                </c:pt>
                <c:pt idx="136">
                  <c:v>8.7826669026536814E-4</c:v>
                </c:pt>
                <c:pt idx="137">
                  <c:v>8.2947459912656462E-4</c:v>
                </c:pt>
                <c:pt idx="138">
                  <c:v>7.8068244883981828E-4</c:v>
                </c:pt>
                <c:pt idx="139">
                  <c:v>7.3189023940496776E-4</c:v>
                </c:pt>
                <c:pt idx="140">
                  <c:v>6.8309797082185175E-4</c:v>
                </c:pt>
                <c:pt idx="141">
                  <c:v>6.3430564309030892E-4</c:v>
                </c:pt>
                <c:pt idx="142">
                  <c:v>5.8551325621017912E-4</c:v>
                </c:pt>
                <c:pt idx="143">
                  <c:v>5.3672081018129832E-4</c:v>
                </c:pt>
                <c:pt idx="144">
                  <c:v>4.8792830500350682E-4</c:v>
                </c:pt>
                <c:pt idx="145">
                  <c:v>4.3913574067664328E-4</c:v>
                </c:pt>
                <c:pt idx="146">
                  <c:v>3.9034311720054595E-4</c:v>
                </c:pt>
                <c:pt idx="147">
                  <c:v>3.4155043457505382E-4</c:v>
                </c:pt>
                <c:pt idx="148">
                  <c:v>2.9275769280000567E-4</c:v>
                </c:pt>
                <c:pt idx="149">
                  <c:v>2.4396489187523989E-4</c:v>
                </c:pt>
                <c:pt idx="150">
                  <c:v>1.9517203180059516E-4</c:v>
                </c:pt>
                <c:pt idx="151">
                  <c:v>1.4637911257591035E-4</c:v>
                </c:pt>
                <c:pt idx="152">
                  <c:v>9.7586134201023867E-5</c:v>
                </c:pt>
                <c:pt idx="153">
                  <c:v>9.2706833110266934E-5</c:v>
                </c:pt>
                <c:pt idx="154">
                  <c:v>8.7827531428007243E-5</c:v>
                </c:pt>
                <c:pt idx="155">
                  <c:v>8.294822915424352E-5</c:v>
                </c:pt>
                <c:pt idx="156">
                  <c:v>7.8068926288975751E-5</c:v>
                </c:pt>
                <c:pt idx="157">
                  <c:v>7.3189622832203679E-5</c:v>
                </c:pt>
                <c:pt idx="158">
                  <c:v>6.8310318783927168E-5</c:v>
                </c:pt>
                <c:pt idx="159">
                  <c:v>6.3431014144146069E-5</c:v>
                </c:pt>
                <c:pt idx="160">
                  <c:v>5.8551708912860207E-5</c:v>
                </c:pt>
                <c:pt idx="161">
                  <c:v>5.3672403090069424E-5</c:v>
                </c:pt>
                <c:pt idx="162">
                  <c:v>4.8793096675773566E-5</c:v>
                </c:pt>
                <c:pt idx="163">
                  <c:v>4.3913789669972469E-5</c:v>
                </c:pt>
                <c:pt idx="164">
                  <c:v>3.9034482072665951E-5</c:v>
                </c:pt>
                <c:pt idx="165">
                  <c:v>3.4155173883853877E-5</c:v>
                </c:pt>
                <c:pt idx="166">
                  <c:v>2.9275865103536079E-5</c:v>
                </c:pt>
                <c:pt idx="167">
                  <c:v>2.4396555731712396E-5</c:v>
                </c:pt>
                <c:pt idx="168">
                  <c:v>1.9517245768382658E-5</c:v>
                </c:pt>
                <c:pt idx="169">
                  <c:v>1.4637935213546713E-5</c:v>
                </c:pt>
                <c:pt idx="170">
                  <c:v>9.7586240672043859E-6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9-4B82-B152-BF25CA638DA7}"/>
            </c:ext>
          </c:extLst>
        </c:ser>
        <c:ser>
          <c:idx val="5"/>
          <c:order val="5"/>
          <c:tx>
            <c:v>10h EoL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'WSO-UV_WUVS_122nm'!$C$30:$C$200</c:f>
              <c:numCache>
                <c:formatCode>0.00E+00</c:formatCode>
                <c:ptCount val="171"/>
                <c:pt idx="0">
                  <c:v>7273649.8088110322</c:v>
                </c:pt>
                <c:pt idx="1">
                  <c:v>6546284.8279299298</c:v>
                </c:pt>
                <c:pt idx="2">
                  <c:v>5818919.8470488256</c:v>
                </c:pt>
                <c:pt idx="3">
                  <c:v>5091554.8661677213</c:v>
                </c:pt>
                <c:pt idx="4">
                  <c:v>4364189.8852866217</c:v>
                </c:pt>
                <c:pt idx="5">
                  <c:v>3636824.9044055161</c:v>
                </c:pt>
                <c:pt idx="6">
                  <c:v>2909459.9235244128</c:v>
                </c:pt>
                <c:pt idx="7">
                  <c:v>2182094.9426433109</c:v>
                </c:pt>
                <c:pt idx="8">
                  <c:v>1454729.9617622064</c:v>
                </c:pt>
                <c:pt idx="9">
                  <c:v>1381993.4636740964</c:v>
                </c:pt>
                <c:pt idx="10">
                  <c:v>1309256.9655859859</c:v>
                </c:pt>
                <c:pt idx="11">
                  <c:v>1236520.4674978757</c:v>
                </c:pt>
                <c:pt idx="12">
                  <c:v>1163783.9694097652</c:v>
                </c:pt>
                <c:pt idx="13">
                  <c:v>1091047.4713216554</c:v>
                </c:pt>
                <c:pt idx="14">
                  <c:v>1018310.9732335446</c:v>
                </c:pt>
                <c:pt idx="15">
                  <c:v>945574.4751454345</c:v>
                </c:pt>
                <c:pt idx="16">
                  <c:v>872837.97705732402</c:v>
                </c:pt>
                <c:pt idx="17">
                  <c:v>800101.47896921379</c:v>
                </c:pt>
                <c:pt idx="18">
                  <c:v>727364.9808811032</c:v>
                </c:pt>
                <c:pt idx="19">
                  <c:v>654628.48279299296</c:v>
                </c:pt>
                <c:pt idx="20">
                  <c:v>581891.98470488261</c:v>
                </c:pt>
                <c:pt idx="21">
                  <c:v>509155.48661677231</c:v>
                </c:pt>
                <c:pt idx="22">
                  <c:v>436418.98852866201</c:v>
                </c:pt>
                <c:pt idx="23">
                  <c:v>363682.4904405516</c:v>
                </c:pt>
                <c:pt idx="24">
                  <c:v>290945.9923524413</c:v>
                </c:pt>
                <c:pt idx="25">
                  <c:v>218209.49426433101</c:v>
                </c:pt>
                <c:pt idx="26">
                  <c:v>145472.99617622065</c:v>
                </c:pt>
                <c:pt idx="27">
                  <c:v>138199.34636740963</c:v>
                </c:pt>
                <c:pt idx="28">
                  <c:v>130925.6965585986</c:v>
                </c:pt>
                <c:pt idx="29">
                  <c:v>123652.04674978757</c:v>
                </c:pt>
                <c:pt idx="30">
                  <c:v>116378.39694097651</c:v>
                </c:pt>
                <c:pt idx="31">
                  <c:v>109104.7471321655</c:v>
                </c:pt>
                <c:pt idx="32">
                  <c:v>101831.09732335448</c:v>
                </c:pt>
                <c:pt idx="33">
                  <c:v>94557.447514543441</c:v>
                </c:pt>
                <c:pt idx="34">
                  <c:v>87283.797705732402</c:v>
                </c:pt>
                <c:pt idx="35">
                  <c:v>80010.147896921364</c:v>
                </c:pt>
                <c:pt idx="36">
                  <c:v>72736.498088110326</c:v>
                </c:pt>
                <c:pt idx="37">
                  <c:v>65462.848279299302</c:v>
                </c:pt>
                <c:pt idx="38">
                  <c:v>58189.198470488256</c:v>
                </c:pt>
                <c:pt idx="39">
                  <c:v>50915.54866167724</c:v>
                </c:pt>
                <c:pt idx="40">
                  <c:v>43641.898852866201</c:v>
                </c:pt>
                <c:pt idx="41">
                  <c:v>36368.249044055163</c:v>
                </c:pt>
                <c:pt idx="42">
                  <c:v>29094.599235244128</c:v>
                </c:pt>
                <c:pt idx="43">
                  <c:v>21820.949426433101</c:v>
                </c:pt>
                <c:pt idx="44">
                  <c:v>14547.299617622064</c:v>
                </c:pt>
                <c:pt idx="45">
                  <c:v>13819.93463674096</c:v>
                </c:pt>
                <c:pt idx="46">
                  <c:v>13092.569655859859</c:v>
                </c:pt>
                <c:pt idx="47">
                  <c:v>12365.204674978755</c:v>
                </c:pt>
                <c:pt idx="48">
                  <c:v>11637.839694097651</c:v>
                </c:pt>
                <c:pt idx="49">
                  <c:v>10910.47471321655</c:v>
                </c:pt>
                <c:pt idx="50">
                  <c:v>10183.109732335444</c:v>
                </c:pt>
                <c:pt idx="51">
                  <c:v>9455.7447514543437</c:v>
                </c:pt>
                <c:pt idx="52">
                  <c:v>8728.3797705732395</c:v>
                </c:pt>
                <c:pt idx="53">
                  <c:v>8001.0147896921353</c:v>
                </c:pt>
                <c:pt idx="54">
                  <c:v>7273.649808811032</c:v>
                </c:pt>
                <c:pt idx="55">
                  <c:v>6546.2848279299296</c:v>
                </c:pt>
                <c:pt idx="56">
                  <c:v>5818.9198470488254</c:v>
                </c:pt>
                <c:pt idx="57">
                  <c:v>5091.5548661677221</c:v>
                </c:pt>
                <c:pt idx="58">
                  <c:v>4364.1898852866198</c:v>
                </c:pt>
                <c:pt idx="59">
                  <c:v>3636.824904405516</c:v>
                </c:pt>
                <c:pt idx="60">
                  <c:v>2909.4599235244127</c:v>
                </c:pt>
                <c:pt idx="61">
                  <c:v>2182.0949426433099</c:v>
                </c:pt>
                <c:pt idx="62">
                  <c:v>1454.7299617622064</c:v>
                </c:pt>
                <c:pt idx="63">
                  <c:v>1381.9934636740963</c:v>
                </c:pt>
                <c:pt idx="64">
                  <c:v>1309.2569655859861</c:v>
                </c:pt>
                <c:pt idx="65">
                  <c:v>1236.5204674978759</c:v>
                </c:pt>
                <c:pt idx="66">
                  <c:v>1163.7839694097656</c:v>
                </c:pt>
                <c:pt idx="67">
                  <c:v>1091.0474713216549</c:v>
                </c:pt>
                <c:pt idx="68">
                  <c:v>1018.3109732335448</c:v>
                </c:pt>
                <c:pt idx="69">
                  <c:v>945.57447514543423</c:v>
                </c:pt>
                <c:pt idx="70">
                  <c:v>872.83797705732422</c:v>
                </c:pt>
                <c:pt idx="71">
                  <c:v>800.10147896921376</c:v>
                </c:pt>
                <c:pt idx="72">
                  <c:v>727.36498088110318</c:v>
                </c:pt>
                <c:pt idx="73">
                  <c:v>654.62848279299305</c:v>
                </c:pt>
                <c:pt idx="74">
                  <c:v>581.89198470488282</c:v>
                </c:pt>
                <c:pt idx="75">
                  <c:v>509.15548661677241</c:v>
                </c:pt>
                <c:pt idx="76">
                  <c:v>436.41898852866211</c:v>
                </c:pt>
                <c:pt idx="77">
                  <c:v>363.68249044055159</c:v>
                </c:pt>
                <c:pt idx="78">
                  <c:v>290.94599235244141</c:v>
                </c:pt>
                <c:pt idx="79">
                  <c:v>218.20949426433106</c:v>
                </c:pt>
                <c:pt idx="80">
                  <c:v>145.4729961762207</c:v>
                </c:pt>
                <c:pt idx="81">
                  <c:v>138.19934636740965</c:v>
                </c:pt>
                <c:pt idx="82">
                  <c:v>130.92569655859859</c:v>
                </c:pt>
                <c:pt idx="83">
                  <c:v>123.65204674978756</c:v>
                </c:pt>
                <c:pt idx="84">
                  <c:v>116.37839694097654</c:v>
                </c:pt>
                <c:pt idx="85">
                  <c:v>109.10474713216553</c:v>
                </c:pt>
                <c:pt idx="86">
                  <c:v>101.83109732335447</c:v>
                </c:pt>
                <c:pt idx="87">
                  <c:v>94.557447514543426</c:v>
                </c:pt>
                <c:pt idx="88">
                  <c:v>87.283797705732397</c:v>
                </c:pt>
                <c:pt idx="89">
                  <c:v>80.010147896921339</c:v>
                </c:pt>
                <c:pt idx="90">
                  <c:v>72.736498088110352</c:v>
                </c:pt>
                <c:pt idx="91">
                  <c:v>65.462848279299294</c:v>
                </c:pt>
                <c:pt idx="92">
                  <c:v>58.189198470488272</c:v>
                </c:pt>
                <c:pt idx="93">
                  <c:v>50.915548661677235</c:v>
                </c:pt>
                <c:pt idx="94">
                  <c:v>43.641898852866198</c:v>
                </c:pt>
                <c:pt idx="95">
                  <c:v>36.368249044055176</c:v>
                </c:pt>
                <c:pt idx="96">
                  <c:v>29.094599235244136</c:v>
                </c:pt>
                <c:pt idx="97">
                  <c:v>21.820949426433099</c:v>
                </c:pt>
                <c:pt idx="98">
                  <c:v>14.547299617622068</c:v>
                </c:pt>
                <c:pt idx="99">
                  <c:v>13.819934636740964</c:v>
                </c:pt>
                <c:pt idx="100">
                  <c:v>13.092569655859862</c:v>
                </c:pt>
                <c:pt idx="101">
                  <c:v>12.365204674978756</c:v>
                </c:pt>
                <c:pt idx="102">
                  <c:v>11.637839694097655</c:v>
                </c:pt>
                <c:pt idx="103">
                  <c:v>10.91047471321655</c:v>
                </c:pt>
                <c:pt idx="104">
                  <c:v>10.183109732335447</c:v>
                </c:pt>
                <c:pt idx="105">
                  <c:v>9.4557447514543433</c:v>
                </c:pt>
                <c:pt idx="106">
                  <c:v>8.7283797705732393</c:v>
                </c:pt>
                <c:pt idx="107">
                  <c:v>8.0010147896921353</c:v>
                </c:pt>
                <c:pt idx="108">
                  <c:v>7.273649808811034</c:v>
                </c:pt>
                <c:pt idx="109">
                  <c:v>6.5462848279299308</c:v>
                </c:pt>
                <c:pt idx="110">
                  <c:v>5.8189198470488277</c:v>
                </c:pt>
                <c:pt idx="111">
                  <c:v>5.0915548661677237</c:v>
                </c:pt>
                <c:pt idx="112">
                  <c:v>4.3641898852866197</c:v>
                </c:pt>
                <c:pt idx="113">
                  <c:v>3.636824904405517</c:v>
                </c:pt>
                <c:pt idx="114">
                  <c:v>2.9094599235244138</c:v>
                </c:pt>
                <c:pt idx="115">
                  <c:v>2.1820949426433098</c:v>
                </c:pt>
                <c:pt idx="116">
                  <c:v>1.4547299617622069</c:v>
                </c:pt>
                <c:pt idx="117">
                  <c:v>1.3819934636740963</c:v>
                </c:pt>
                <c:pt idx="118">
                  <c:v>1.3092569655859863</c:v>
                </c:pt>
                <c:pt idx="119">
                  <c:v>1.2365204674978756</c:v>
                </c:pt>
                <c:pt idx="120">
                  <c:v>1.1637839694097658</c:v>
                </c:pt>
                <c:pt idx="121">
                  <c:v>1.0910474713216549</c:v>
                </c:pt>
                <c:pt idx="122">
                  <c:v>1.0183109732335449</c:v>
                </c:pt>
                <c:pt idx="123">
                  <c:v>0.94557447514543413</c:v>
                </c:pt>
                <c:pt idx="124">
                  <c:v>0.87283797705732391</c:v>
                </c:pt>
                <c:pt idx="125">
                  <c:v>0.8001014789692138</c:v>
                </c:pt>
                <c:pt idx="126">
                  <c:v>0.72736498088110346</c:v>
                </c:pt>
                <c:pt idx="127">
                  <c:v>0.65462848279299313</c:v>
                </c:pt>
                <c:pt idx="128">
                  <c:v>0.5818919847048829</c:v>
                </c:pt>
                <c:pt idx="129">
                  <c:v>0.50915548661677246</c:v>
                </c:pt>
                <c:pt idx="130">
                  <c:v>0.43641898852866196</c:v>
                </c:pt>
                <c:pt idx="131">
                  <c:v>0.36368249044055173</c:v>
                </c:pt>
                <c:pt idx="132">
                  <c:v>0.29094599235244145</c:v>
                </c:pt>
                <c:pt idx="133">
                  <c:v>0.21820949426433098</c:v>
                </c:pt>
                <c:pt idx="134">
                  <c:v>0.1454729961762205</c:v>
                </c:pt>
                <c:pt idx="135">
                  <c:v>0.13819934636740963</c:v>
                </c:pt>
                <c:pt idx="136">
                  <c:v>0.13092569655859862</c:v>
                </c:pt>
                <c:pt idx="137">
                  <c:v>0.12365204674978759</c:v>
                </c:pt>
                <c:pt idx="138">
                  <c:v>0.11637839694097654</c:v>
                </c:pt>
                <c:pt idx="139">
                  <c:v>0.10910474713216549</c:v>
                </c:pt>
                <c:pt idx="140">
                  <c:v>0.10183109732335446</c:v>
                </c:pt>
                <c:pt idx="141">
                  <c:v>9.4557447514543438E-2</c:v>
                </c:pt>
                <c:pt idx="142">
                  <c:v>8.7283797705732566E-2</c:v>
                </c:pt>
                <c:pt idx="143">
                  <c:v>8.0010147896921513E-2</c:v>
                </c:pt>
                <c:pt idx="144">
                  <c:v>7.2736498088110474E-2</c:v>
                </c:pt>
                <c:pt idx="145">
                  <c:v>6.5462848279299463E-2</c:v>
                </c:pt>
                <c:pt idx="146">
                  <c:v>5.818919847048841E-2</c:v>
                </c:pt>
                <c:pt idx="147">
                  <c:v>5.0915548661677364E-2</c:v>
                </c:pt>
                <c:pt idx="148">
                  <c:v>4.3641898852866345E-2</c:v>
                </c:pt>
                <c:pt idx="149">
                  <c:v>3.6368249044055313E-2</c:v>
                </c:pt>
                <c:pt idx="150">
                  <c:v>2.9094599235244278E-2</c:v>
                </c:pt>
                <c:pt idx="151">
                  <c:v>2.1820949426433249E-2</c:v>
                </c:pt>
                <c:pt idx="152">
                  <c:v>1.4547299617622212E-2</c:v>
                </c:pt>
                <c:pt idx="153">
                  <c:v>1.3819934636740961E-2</c:v>
                </c:pt>
                <c:pt idx="154">
                  <c:v>1.3092569655859861E-2</c:v>
                </c:pt>
                <c:pt idx="155">
                  <c:v>1.2365204674978755E-2</c:v>
                </c:pt>
                <c:pt idx="156">
                  <c:v>1.1637839694097653E-2</c:v>
                </c:pt>
                <c:pt idx="157">
                  <c:v>1.091047471321655E-2</c:v>
                </c:pt>
                <c:pt idx="158">
                  <c:v>1.0183109732335445E-2</c:v>
                </c:pt>
                <c:pt idx="159">
                  <c:v>9.4557447514543435E-3</c:v>
                </c:pt>
                <c:pt idx="160">
                  <c:v>8.7283797705732403E-3</c:v>
                </c:pt>
                <c:pt idx="161">
                  <c:v>8.0010147896921353E-3</c:v>
                </c:pt>
                <c:pt idx="162">
                  <c:v>7.2736498088110339E-3</c:v>
                </c:pt>
                <c:pt idx="163">
                  <c:v>6.5462848279299306E-3</c:v>
                </c:pt>
                <c:pt idx="164">
                  <c:v>5.8189198470488266E-3</c:v>
                </c:pt>
                <c:pt idx="165">
                  <c:v>5.0915548661677225E-3</c:v>
                </c:pt>
                <c:pt idx="166">
                  <c:v>4.3641898852866201E-3</c:v>
                </c:pt>
                <c:pt idx="167">
                  <c:v>3.6368249044055169E-3</c:v>
                </c:pt>
                <c:pt idx="168">
                  <c:v>2.9094599235244133E-3</c:v>
                </c:pt>
                <c:pt idx="169">
                  <c:v>2.1820949426433101E-3</c:v>
                </c:pt>
                <c:pt idx="170">
                  <c:v>1.4547299617622051E-3</c:v>
                </c:pt>
              </c:numCache>
            </c:numRef>
          </c:xVal>
          <c:yVal>
            <c:numRef>
              <c:f>'WSO-UV_WUVS_122nm'!$Q$30:$Q$200</c:f>
              <c:numCache>
                <c:formatCode>0.00E+00</c:formatCode>
                <c:ptCount val="171"/>
                <c:pt idx="0">
                  <c:v>4429.7480555986949</c:v>
                </c:pt>
                <c:pt idx="1">
                  <c:v>4202.2355800134246</c:v>
                </c:pt>
                <c:pt idx="2">
                  <c:v>3961.6789715923123</c:v>
                </c:pt>
                <c:pt idx="3">
                  <c:v>3705.5387201617914</c:v>
                </c:pt>
                <c:pt idx="4">
                  <c:v>3430.3257763469587</c:v>
                </c:pt>
                <c:pt idx="5">
                  <c:v>3131.014839390572</c:v>
                </c:pt>
                <c:pt idx="6">
                  <c:v>2799.8884143879923</c:v>
                </c:pt>
                <c:pt idx="7">
                  <c:v>2423.9432269219874</c:v>
                </c:pt>
                <c:pt idx="8">
                  <c:v>1977.7859941942984</c:v>
                </c:pt>
                <c:pt idx="9">
                  <c:v>1927.4989963858045</c:v>
                </c:pt>
                <c:pt idx="10">
                  <c:v>1875.8645230908119</c:v>
                </c:pt>
                <c:pt idx="11">
                  <c:v>1822.7680846262049</c:v>
                </c:pt>
                <c:pt idx="12">
                  <c:v>1768.0779987522401</c:v>
                </c:pt>
                <c:pt idx="13">
                  <c:v>1711.641543671308</c:v>
                </c:pt>
                <c:pt idx="14">
                  <c:v>1653.2799281392099</c:v>
                </c:pt>
                <c:pt idx="15">
                  <c:v>1592.7816012845076</c:v>
                </c:pt>
                <c:pt idx="16">
                  <c:v>1529.8931788350999</c:v>
                </c:pt>
                <c:pt idx="17">
                  <c:v>1464.3068577210092</c:v>
                </c:pt>
                <c:pt idx="18">
                  <c:v>1395.6425001101366</c:v>
                </c:pt>
                <c:pt idx="19">
                  <c:v>1323.4213373532284</c:v>
                </c:pt>
                <c:pt idx="20">
                  <c:v>1247.025940066148</c:v>
                </c:pt>
                <c:pt idx="21">
                  <c:v>1165.6365191446371</c:v>
                </c:pt>
                <c:pt idx="22">
                  <c:v>1078.1238195432518</c:v>
                </c:pt>
                <c:pt idx="23">
                  <c:v>982.85586558758314</c:v>
                </c:pt>
                <c:pt idx="24">
                  <c:v>877.31494436276853</c:v>
                </c:pt>
                <c:pt idx="25">
                  <c:v>757.23124449271199</c:v>
                </c:pt>
                <c:pt idx="26">
                  <c:v>614.18139683038532</c:v>
                </c:pt>
                <c:pt idx="27">
                  <c:v>598.00694147117292</c:v>
                </c:pt>
                <c:pt idx="28">
                  <c:v>581.38563343725207</c:v>
                </c:pt>
                <c:pt idx="29">
                  <c:v>564.27849963370772</c:v>
                </c:pt>
                <c:pt idx="30">
                  <c:v>546.64058536728862</c:v>
                </c:pt>
                <c:pt idx="31">
                  <c:v>528.41959226264271</c:v>
                </c:pt>
                <c:pt idx="32">
                  <c:v>509.55409182936978</c:v>
                </c:pt>
                <c:pt idx="33">
                  <c:v>489.9711419427307</c:v>
                </c:pt>
                <c:pt idx="34">
                  <c:v>469.58304419669543</c:v>
                </c:pt>
                <c:pt idx="35">
                  <c:v>448.28283318623215</c:v>
                </c:pt>
                <c:pt idx="36">
                  <c:v>425.93783843452519</c:v>
                </c:pt>
                <c:pt idx="37">
                  <c:v>402.38021528423275</c:v>
                </c:pt>
                <c:pt idx="38">
                  <c:v>377.39251361887887</c:v>
                </c:pt>
                <c:pt idx="39">
                  <c:v>350.68472281425619</c:v>
                </c:pt>
                <c:pt idx="40">
                  <c:v>321.85579117255799</c:v>
                </c:pt>
                <c:pt idx="41">
                  <c:v>290.32472031085308</c:v>
                </c:pt>
                <c:pt idx="42">
                  <c:v>255.19614978639709</c:v>
                </c:pt>
                <c:pt idx="43">
                  <c:v>214.965889168703</c:v>
                </c:pt>
                <c:pt idx="44">
                  <c:v>166.75808104807854</c:v>
                </c:pt>
                <c:pt idx="45">
                  <c:v>161.30088941926917</c:v>
                </c:pt>
                <c:pt idx="46">
                  <c:v>155.6949704334159</c:v>
                </c:pt>
                <c:pt idx="47">
                  <c:v>149.92888288614131</c:v>
                </c:pt>
                <c:pt idx="48">
                  <c:v>143.98974322072485</c:v>
                </c:pt>
                <c:pt idx="49">
                  <c:v>137.86296973861758</c:v>
                </c:pt>
                <c:pt idx="50">
                  <c:v>131.5319674490049</c:v>
                </c:pt>
                <c:pt idx="51">
                  <c:v>124.97773627054777</c:v>
                </c:pt>
                <c:pt idx="52">
                  <c:v>118.17837914962702</c:v>
                </c:pt>
                <c:pt idx="53">
                  <c:v>111.10847788829713</c:v>
                </c:pt>
                <c:pt idx="54">
                  <c:v>103.73829175823886</c:v>
                </c:pt>
                <c:pt idx="55">
                  <c:v>96.032715207721154</c:v>
                </c:pt>
                <c:pt idx="56">
                  <c:v>87.949902717585587</c:v>
                </c:pt>
                <c:pt idx="57">
                  <c:v>79.439425406521764</c:v>
                </c:pt>
                <c:pt idx="58">
                  <c:v>70.439755507959788</c:v>
                </c:pt>
                <c:pt idx="59">
                  <c:v>60.874763974247116</c:v>
                </c:pt>
                <c:pt idx="60">
                  <c:v>50.6487314090841</c:v>
                </c:pt>
                <c:pt idx="61">
                  <c:v>39.639052738577469</c:v>
                </c:pt>
                <c:pt idx="62">
                  <c:v>27.685240950960768</c:v>
                </c:pt>
                <c:pt idx="63">
                  <c:v>26.430236113924689</c:v>
                </c:pt>
                <c:pt idx="64">
                  <c:v>25.163448602119985</c:v>
                </c:pt>
                <c:pt idx="65">
                  <c:v>23.884617688623432</c:v>
                </c:pt>
                <c:pt idx="66">
                  <c:v>22.593473930265365</c:v>
                </c:pt>
                <c:pt idx="67">
                  <c:v>21.289738779769525</c:v>
                </c:pt>
                <c:pt idx="68">
                  <c:v>19.973124176327882</c:v>
                </c:pt>
                <c:pt idx="69">
                  <c:v>18.643332113168803</c:v>
                </c:pt>
                <c:pt idx="70">
                  <c:v>17.300054180564917</c:v>
                </c:pt>
                <c:pt idx="71">
                  <c:v>15.942971082603339</c:v>
                </c:pt>
                <c:pt idx="72">
                  <c:v>14.571752125907519</c:v>
                </c:pt>
                <c:pt idx="73">
                  <c:v>13.186054678353063</c:v>
                </c:pt>
                <c:pt idx="74">
                  <c:v>11.78552359566021</c:v>
                </c:pt>
                <c:pt idx="75">
                  <c:v>10.369790613570647</c:v>
                </c:pt>
                <c:pt idx="76">
                  <c:v>8.9384737031244743</c:v>
                </c:pt>
                <c:pt idx="77">
                  <c:v>7.4911763863433656</c:v>
                </c:pt>
                <c:pt idx="78">
                  <c:v>6.0274870093954398</c:v>
                </c:pt>
                <c:pt idx="79">
                  <c:v>4.5469779700641704</c:v>
                </c:pt>
                <c:pt idx="80">
                  <c:v>3.0492048960656137</c:v>
                </c:pt>
                <c:pt idx="81">
                  <c:v>2.8984604368556268</c:v>
                </c:pt>
                <c:pt idx="82">
                  <c:v>2.747538260452695</c:v>
                </c:pt>
                <c:pt idx="83">
                  <c:v>2.5964378929950875</c:v>
                </c:pt>
                <c:pt idx="84">
                  <c:v>2.4451588587451196</c:v>
                </c:pt>
                <c:pt idx="85">
                  <c:v>2.2937006800793895</c:v>
                </c:pt>
                <c:pt idx="86">
                  <c:v>2.1420628774789514</c:v>
                </c:pt>
                <c:pt idx="87">
                  <c:v>1.9902449695194315</c:v>
                </c:pt>
                <c:pt idx="88">
                  <c:v>1.8382464728610708</c:v>
                </c:pt>
                <c:pt idx="89">
                  <c:v>1.6860669022387069</c:v>
                </c:pt>
                <c:pt idx="90">
                  <c:v>1.5337057704516976</c:v>
                </c:pt>
                <c:pt idx="91">
                  <c:v>1.3811625883537646</c:v>
                </c:pt>
                <c:pt idx="92">
                  <c:v>1.2284368648427928</c:v>
                </c:pt>
                <c:pt idx="93">
                  <c:v>1.0755281068505402</c:v>
                </c:pt>
                <c:pt idx="94">
                  <c:v>0.92243581933229912</c:v>
                </c:pt>
                <c:pt idx="95">
                  <c:v>0.7691595052564798</c:v>
                </c:pt>
                <c:pt idx="96">
                  <c:v>0.61569866559412911</c:v>
                </c:pt>
                <c:pt idx="97">
                  <c:v>0.46205279930838378</c:v>
                </c:pt>
                <c:pt idx="98">
                  <c:v>0.30822140334385029</c:v>
                </c:pt>
                <c:pt idx="99">
                  <c:v>0.29282804018694181</c:v>
                </c:pt>
                <c:pt idx="100">
                  <c:v>0.27743281617787841</c:v>
                </c:pt>
                <c:pt idx="101">
                  <c:v>0.26203573081025194</c:v>
                </c:pt>
                <c:pt idx="102">
                  <c:v>0.24663678357745042</c:v>
                </c:pt>
                <c:pt idx="103">
                  <c:v>0.23123597397265697</c:v>
                </c:pt>
                <c:pt idx="104">
                  <c:v>0.21583330148885083</c:v>
                </c:pt>
                <c:pt idx="105">
                  <c:v>0.20042876561880635</c:v>
                </c:pt>
                <c:pt idx="106">
                  <c:v>0.18502236585509341</c:v>
                </c:pt>
                <c:pt idx="107">
                  <c:v>0.16961410169007707</c:v>
                </c:pt>
                <c:pt idx="108">
                  <c:v>0.15420397261591759</c:v>
                </c:pt>
                <c:pt idx="109">
                  <c:v>0.13879197812457014</c:v>
                </c:pt>
                <c:pt idx="110">
                  <c:v>0.1233781177077849</c:v>
                </c:pt>
                <c:pt idx="111">
                  <c:v>0.10796239085710682</c:v>
                </c:pt>
                <c:pt idx="112">
                  <c:v>9.2544797063875639E-2</c:v>
                </c:pt>
                <c:pt idx="113">
                  <c:v>7.7125335819225607E-2</c:v>
                </c:pt>
                <c:pt idx="114">
                  <c:v>6.170400661408549E-2</c:v>
                </c:pt>
                <c:pt idx="115">
                  <c:v>4.6280808939178374E-2</c:v>
                </c:pt>
                <c:pt idx="116">
                  <c:v>3.0855742285021717E-2</c:v>
                </c:pt>
                <c:pt idx="117">
                  <c:v>2.9313132806126099E-2</c:v>
                </c:pt>
                <c:pt idx="118">
                  <c:v>2.7770504631831477E-2</c:v>
                </c:pt>
                <c:pt idx="119">
                  <c:v>2.6227857761628011E-2</c:v>
                </c:pt>
                <c:pt idx="120">
                  <c:v>2.4685192195005892E-2</c:v>
                </c:pt>
                <c:pt idx="121">
                  <c:v>2.3142507931455201E-2</c:v>
                </c:pt>
                <c:pt idx="122">
                  <c:v>2.1599804970466107E-2</c:v>
                </c:pt>
                <c:pt idx="123">
                  <c:v>2.0057083311528667E-2</c:v>
                </c:pt>
                <c:pt idx="124">
                  <c:v>1.8514342954132988E-2</c:v>
                </c:pt>
                <c:pt idx="125">
                  <c:v>1.6971583897769104E-2</c:v>
                </c:pt>
                <c:pt idx="126">
                  <c:v>1.5428806141927053E-2</c:v>
                </c:pt>
                <c:pt idx="127">
                  <c:v>1.3886009686096847E-2</c:v>
                </c:pt>
                <c:pt idx="128">
                  <c:v>1.2343194529768483E-2</c:v>
                </c:pt>
                <c:pt idx="129">
                  <c:v>1.0800360672431925E-2</c:v>
                </c:pt>
                <c:pt idx="130">
                  <c:v>9.2575081135771245E-3</c:v>
                </c:pt>
                <c:pt idx="131">
                  <c:v>7.7146368526940226E-3</c:v>
                </c:pt>
                <c:pt idx="132">
                  <c:v>6.1717468892725207E-3</c:v>
                </c:pt>
                <c:pt idx="133">
                  <c:v>4.628838222802507E-3</c:v>
                </c:pt>
                <c:pt idx="134">
                  <c:v>3.0859108527738514E-3</c:v>
                </c:pt>
                <c:pt idx="135">
                  <c:v>2.9316170870556232E-3</c:v>
                </c:pt>
                <c:pt idx="136">
                  <c:v>2.7773231342961948E-3</c:v>
                </c:pt>
                <c:pt idx="137">
                  <c:v>2.6230289944950574E-3</c:v>
                </c:pt>
                <c:pt idx="138">
                  <c:v>2.4687346676517011E-3</c:v>
                </c:pt>
                <c:pt idx="139">
                  <c:v>2.3144401537656166E-3</c:v>
                </c:pt>
                <c:pt idx="140">
                  <c:v>2.1601454528362932E-3</c:v>
                </c:pt>
                <c:pt idx="141">
                  <c:v>2.0058505648632213E-3</c:v>
                </c:pt>
                <c:pt idx="142">
                  <c:v>1.8515554898458938E-3</c:v>
                </c:pt>
                <c:pt idx="143">
                  <c:v>1.6972602277837928E-3</c:v>
                </c:pt>
                <c:pt idx="144">
                  <c:v>1.5429647786764128E-3</c:v>
                </c:pt>
                <c:pt idx="145">
                  <c:v>1.3886691425232438E-3</c:v>
                </c:pt>
                <c:pt idx="146">
                  <c:v>1.234373319323774E-3</c:v>
                </c:pt>
                <c:pt idx="147">
                  <c:v>1.0800773090774943E-3</c:v>
                </c:pt>
                <c:pt idx="148">
                  <c:v>9.2578111178389516E-4</c:v>
                </c:pt>
                <c:pt idx="149">
                  <c:v>7.7148472744246522E-4</c:v>
                </c:pt>
                <c:pt idx="150">
                  <c:v>6.1718815605269471E-4</c:v>
                </c:pt>
                <c:pt idx="151">
                  <c:v>4.628913976140735E-4</c:v>
                </c:pt>
                <c:pt idx="152">
                  <c:v>3.0859445212609127E-4</c:v>
                </c:pt>
                <c:pt idx="153">
                  <c:v>2.9316474728955538E-4</c:v>
                </c:pt>
                <c:pt idx="154">
                  <c:v>2.7773504058252354E-4</c:v>
                </c:pt>
                <c:pt idx="155">
                  <c:v>2.6230533200499175E-4</c:v>
                </c:pt>
                <c:pt idx="156">
                  <c:v>2.468756215569599E-4</c:v>
                </c:pt>
                <c:pt idx="157">
                  <c:v>2.3144590923842724E-4</c:v>
                </c:pt>
                <c:pt idx="158">
                  <c:v>2.1601619504939328E-4</c:v>
                </c:pt>
                <c:pt idx="159">
                  <c:v>2.0058647898985762E-4</c:v>
                </c:pt>
                <c:pt idx="160">
                  <c:v>1.8515676105981962E-4</c:v>
                </c:pt>
                <c:pt idx="161">
                  <c:v>1.6972704125927881E-4</c:v>
                </c:pt>
                <c:pt idx="162">
                  <c:v>1.5429731958823475E-4</c:v>
                </c:pt>
                <c:pt idx="163">
                  <c:v>1.3886759604668687E-4</c:v>
                </c:pt>
                <c:pt idx="164">
                  <c:v>1.2343787063463465E-4</c:v>
                </c:pt>
                <c:pt idx="165">
                  <c:v>1.0800814335207758E-4</c:v>
                </c:pt>
                <c:pt idx="166">
                  <c:v>9.2578414199015195E-5</c:v>
                </c:pt>
                <c:pt idx="167">
                  <c:v>7.7148683175446933E-5</c:v>
                </c:pt>
                <c:pt idx="168">
                  <c:v>6.171895028137233E-5</c:v>
                </c:pt>
                <c:pt idx="169">
                  <c:v>4.6289215516790832E-5</c:v>
                </c:pt>
                <c:pt idx="170">
                  <c:v>3.0859478881701916E-5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9-4B82-B152-BF25CA63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28639"/>
        <c:axId val="590221567"/>
      </c:scatterChart>
      <c:valAx>
        <c:axId val="590228639"/>
        <c:scaling>
          <c:logBase val="10"/>
          <c:orientation val="minMax"/>
          <c:max val="5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Incoming</a:t>
                </a:r>
                <a:r>
                  <a:rPr lang="en-US" altLang="ja-JP" baseline="0"/>
                  <a:t> flux, photon/h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1567"/>
        <c:crossesAt val="3"/>
        <c:crossBetween val="midCat"/>
      </c:valAx>
      <c:valAx>
        <c:axId val="590221567"/>
        <c:scaling>
          <c:logBase val="10"/>
          <c:orientation val="minMax"/>
          <c:max val="1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SNR</a:t>
                </a:r>
                <a:r>
                  <a:rPr lang="en-US" altLang="ja-JP" baseline="0"/>
                  <a:t> (resel)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'WSO-UV_funnel_Ly-alpha_jupiter'!$F$31</c:f>
              <c:strCache>
                <c:ptCount val="1"/>
                <c:pt idx="0">
                  <c:v>Slit: 2.4"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'WSO-UV_funnel_Ly-alpha_jupiter'!$A$33:$A$73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'WSO-UV_funnel_Ly-alpha_jupiter'!$F$33:$F$73</c:f>
              <c:numCache>
                <c:formatCode>0.00E+00</c:formatCode>
                <c:ptCount val="41"/>
                <c:pt idx="0">
                  <c:v>90.847330498347048</c:v>
                </c:pt>
                <c:pt idx="1">
                  <c:v>91.020361468529416</c:v>
                </c:pt>
                <c:pt idx="2">
                  <c:v>91.238194553919385</c:v>
                </c:pt>
                <c:pt idx="3">
                  <c:v>91.512430160646346</c:v>
                </c:pt>
                <c:pt idx="4">
                  <c:v>91.85767233477371</c:v>
                </c:pt>
                <c:pt idx="5">
                  <c:v>92.29230648100571</c:v>
                </c:pt>
                <c:pt idx="6">
                  <c:v>92.839478452530642</c:v>
                </c:pt>
                <c:pt idx="7">
                  <c:v>93.528327152104893</c:v>
                </c:pt>
                <c:pt idx="8">
                  <c:v>94.395536284880279</c:v>
                </c:pt>
                <c:pt idx="9">
                  <c:v>95.487287899471212</c:v>
                </c:pt>
                <c:pt idx="10">
                  <c:v>96.861721750447032</c:v>
                </c:pt>
                <c:pt idx="11">
                  <c:v>98.592031452270618</c:v>
                </c:pt>
                <c:pt idx="12">
                  <c:v>100.77036230617031</c:v>
                </c:pt>
                <c:pt idx="13">
                  <c:v>103.51271837343994</c:v>
                </c:pt>
                <c:pt idx="14">
                  <c:v>106.96514011471356</c:v>
                </c:pt>
                <c:pt idx="15">
                  <c:v>111.31148157703362</c:v>
                </c:pt>
                <c:pt idx="16">
                  <c:v>116.78320129228294</c:v>
                </c:pt>
                <c:pt idx="17">
                  <c:v>123.67168828802548</c:v>
                </c:pt>
                <c:pt idx="18">
                  <c:v>132.3437796157794</c:v>
                </c:pt>
                <c:pt idx="19">
                  <c:v>143.26129576168864</c:v>
                </c:pt>
                <c:pt idx="20">
                  <c:v>157.00563427144689</c:v>
                </c:pt>
                <c:pt idx="21">
                  <c:v>174.30873128968278</c:v>
                </c:pt>
                <c:pt idx="22">
                  <c:v>196.09203982867976</c:v>
                </c:pt>
                <c:pt idx="23">
                  <c:v>223.51560050137596</c:v>
                </c:pt>
                <c:pt idx="24">
                  <c:v>258.03981791411235</c:v>
                </c:pt>
                <c:pt idx="25">
                  <c:v>301.50323253731284</c:v>
                </c:pt>
                <c:pt idx="26">
                  <c:v>356.22042968980617</c:v>
                </c:pt>
                <c:pt idx="27">
                  <c:v>425.10529964723145</c:v>
                </c:pt>
                <c:pt idx="28">
                  <c:v>511.82621292477086</c:v>
                </c:pt>
                <c:pt idx="29">
                  <c:v>621.00137438386321</c:v>
                </c:pt>
                <c:pt idx="30">
                  <c:v>758.44475948144577</c:v>
                </c:pt>
                <c:pt idx="31">
                  <c:v>931.47572966380437</c:v>
                </c:pt>
                <c:pt idx="32">
                  <c:v>1149.3088150537747</c:v>
                </c:pt>
                <c:pt idx="33">
                  <c:v>1423.5444217807367</c:v>
                </c:pt>
                <c:pt idx="34">
                  <c:v>1768.7865959081005</c:v>
                </c:pt>
                <c:pt idx="35">
                  <c:v>2203.4207421401065</c:v>
                </c:pt>
                <c:pt idx="36">
                  <c:v>2750.5927136650398</c:v>
                </c:pt>
                <c:pt idx="37">
                  <c:v>3439.4414132392935</c:v>
                </c:pt>
                <c:pt idx="38">
                  <c:v>4306.6505460146864</c:v>
                </c:pt>
                <c:pt idx="39">
                  <c:v>5398.4021606056122</c:v>
                </c:pt>
                <c:pt idx="40">
                  <c:v>6772.8360115814394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F-4927-8350-541F7E3FA6A0}"/>
            </c:ext>
          </c:extLst>
        </c:ser>
        <c:ser>
          <c:idx val="1"/>
          <c:order val="1"/>
          <c:tx>
            <c:strRef>
              <c:f>'WSO-UV_funnel_Ly-alpha_jupiter'!$G$31</c:f>
              <c:strCache>
                <c:ptCount val="1"/>
                <c:pt idx="0">
                  <c:v>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'WSO-UV_funnel_Ly-alpha_jupiter'!$A$33:$A$73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'WSO-UV_funnel_Ly-alpha_jupiter'!$G$33:$G$73</c:f>
              <c:numCache>
                <c:formatCode>0.00E+00</c:formatCode>
                <c:ptCount val="41"/>
                <c:pt idx="0">
                  <c:v>376.41436904329976</c:v>
                </c:pt>
                <c:pt idx="1">
                  <c:v>376.58740001348212</c:v>
                </c:pt>
                <c:pt idx="2">
                  <c:v>376.80523309887212</c:v>
                </c:pt>
                <c:pt idx="3">
                  <c:v>377.07946870559908</c:v>
                </c:pt>
                <c:pt idx="4">
                  <c:v>377.42471087972643</c:v>
                </c:pt>
                <c:pt idx="5">
                  <c:v>377.85934502595842</c:v>
                </c:pt>
                <c:pt idx="6">
                  <c:v>378.40651699748338</c:v>
                </c:pt>
                <c:pt idx="7">
                  <c:v>379.09536569705762</c:v>
                </c:pt>
                <c:pt idx="8">
                  <c:v>379.96257482983299</c:v>
                </c:pt>
                <c:pt idx="9">
                  <c:v>381.05432644442391</c:v>
                </c:pt>
                <c:pt idx="10">
                  <c:v>382.42876029539974</c:v>
                </c:pt>
                <c:pt idx="11">
                  <c:v>384.15906999722336</c:v>
                </c:pt>
                <c:pt idx="12">
                  <c:v>386.33740085112305</c:v>
                </c:pt>
                <c:pt idx="13">
                  <c:v>389.07975691839266</c:v>
                </c:pt>
                <c:pt idx="14">
                  <c:v>392.53217865966627</c:v>
                </c:pt>
                <c:pt idx="15">
                  <c:v>396.87852012198636</c:v>
                </c:pt>
                <c:pt idx="16">
                  <c:v>402.35023983723568</c:v>
                </c:pt>
                <c:pt idx="17">
                  <c:v>409.23872683297822</c:v>
                </c:pt>
                <c:pt idx="18">
                  <c:v>417.91081816073211</c:v>
                </c:pt>
                <c:pt idx="19">
                  <c:v>428.82833430664135</c:v>
                </c:pt>
                <c:pt idx="20">
                  <c:v>442.57267281639963</c:v>
                </c:pt>
                <c:pt idx="21">
                  <c:v>459.87576983463549</c:v>
                </c:pt>
                <c:pt idx="22">
                  <c:v>481.6590783736325</c:v>
                </c:pt>
                <c:pt idx="23">
                  <c:v>509.08263904632867</c:v>
                </c:pt>
                <c:pt idx="24">
                  <c:v>543.60685645906506</c:v>
                </c:pt>
                <c:pt idx="25">
                  <c:v>587.07027108226555</c:v>
                </c:pt>
                <c:pt idx="26">
                  <c:v>641.78746823475888</c:v>
                </c:pt>
                <c:pt idx="27">
                  <c:v>710.67233819218416</c:v>
                </c:pt>
                <c:pt idx="28">
                  <c:v>797.39325146972351</c:v>
                </c:pt>
                <c:pt idx="29">
                  <c:v>906.56841292881597</c:v>
                </c:pt>
                <c:pt idx="30">
                  <c:v>1044.0117980263985</c:v>
                </c:pt>
                <c:pt idx="31">
                  <c:v>1217.042768208757</c:v>
                </c:pt>
                <c:pt idx="32">
                  <c:v>1434.8758535987274</c:v>
                </c:pt>
                <c:pt idx="33">
                  <c:v>1709.1114603256894</c:v>
                </c:pt>
                <c:pt idx="34">
                  <c:v>2054.353634453053</c:v>
                </c:pt>
                <c:pt idx="35">
                  <c:v>2488.9877806850591</c:v>
                </c:pt>
                <c:pt idx="36">
                  <c:v>3036.1597522099923</c:v>
                </c:pt>
                <c:pt idx="37">
                  <c:v>3725.0084517842461</c:v>
                </c:pt>
                <c:pt idx="38">
                  <c:v>4592.2175845596394</c:v>
                </c:pt>
                <c:pt idx="39">
                  <c:v>5683.9691991505642</c:v>
                </c:pt>
                <c:pt idx="40">
                  <c:v>7058.4030501263915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F-4927-8350-541F7E3FA6A0}"/>
            </c:ext>
          </c:extLst>
        </c:ser>
        <c:ser>
          <c:idx val="2"/>
          <c:order val="2"/>
          <c:tx>
            <c:strRef>
              <c:f>'WSO-UV_funnel_Ly-alpha_jupiter'!$H$31</c:f>
              <c:strCache>
                <c:ptCount val="1"/>
                <c:pt idx="0">
                  <c:v>Slit: 30"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'WSO-UV_funnel_Ly-alpha_jupiter'!$A$33:$A$73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'WSO-UV_funnel_Ly-alpha_jupiter'!$H$33:$H$73</c:f>
              <c:numCache>
                <c:formatCode>0.0_ </c:formatCode>
                <c:ptCount val="41"/>
                <c:pt idx="0">
                  <c:v>1127.9065757405438</c:v>
                </c:pt>
                <c:pt idx="1">
                  <c:v>1128.0796067107262</c:v>
                </c:pt>
                <c:pt idx="2">
                  <c:v>1128.2974397961161</c:v>
                </c:pt>
                <c:pt idx="3">
                  <c:v>1128.5716754028431</c:v>
                </c:pt>
                <c:pt idx="4">
                  <c:v>1128.9169175769705</c:v>
                </c:pt>
                <c:pt idx="5">
                  <c:v>1129.3515517232024</c:v>
                </c:pt>
                <c:pt idx="6">
                  <c:v>1129.8987236947273</c:v>
                </c:pt>
                <c:pt idx="7">
                  <c:v>1130.5875723943016</c:v>
                </c:pt>
                <c:pt idx="8">
                  <c:v>1131.4547815270771</c:v>
                </c:pt>
                <c:pt idx="9">
                  <c:v>1132.5465331416679</c:v>
                </c:pt>
                <c:pt idx="10">
                  <c:v>1133.9209669926438</c:v>
                </c:pt>
                <c:pt idx="11">
                  <c:v>1135.6512766944672</c:v>
                </c:pt>
                <c:pt idx="12">
                  <c:v>1137.829607548367</c:v>
                </c:pt>
                <c:pt idx="13">
                  <c:v>1140.5719636156366</c:v>
                </c:pt>
                <c:pt idx="14">
                  <c:v>1144.0243853569102</c:v>
                </c:pt>
                <c:pt idx="15">
                  <c:v>1148.3707268192304</c:v>
                </c:pt>
                <c:pt idx="16">
                  <c:v>1153.8424465344797</c:v>
                </c:pt>
                <c:pt idx="17">
                  <c:v>1160.7309335302223</c:v>
                </c:pt>
                <c:pt idx="18">
                  <c:v>1169.4030248579761</c:v>
                </c:pt>
                <c:pt idx="19">
                  <c:v>1180.3205410038854</c:v>
                </c:pt>
                <c:pt idx="20">
                  <c:v>1194.0648795136435</c:v>
                </c:pt>
                <c:pt idx="21">
                  <c:v>1211.3679765318795</c:v>
                </c:pt>
                <c:pt idx="22">
                  <c:v>1233.1512850708764</c:v>
                </c:pt>
                <c:pt idx="23">
                  <c:v>1260.5748457435727</c:v>
                </c:pt>
                <c:pt idx="24">
                  <c:v>1295.0990631563091</c:v>
                </c:pt>
                <c:pt idx="25">
                  <c:v>1338.5624777795097</c:v>
                </c:pt>
                <c:pt idx="26">
                  <c:v>1393.2796749320028</c:v>
                </c:pt>
                <c:pt idx="27">
                  <c:v>1462.1645448894283</c:v>
                </c:pt>
                <c:pt idx="28">
                  <c:v>1548.8854581669675</c:v>
                </c:pt>
                <c:pt idx="29">
                  <c:v>1658.0606196260601</c:v>
                </c:pt>
                <c:pt idx="30">
                  <c:v>1795.5040047236425</c:v>
                </c:pt>
                <c:pt idx="31">
                  <c:v>1968.534974906001</c:v>
                </c:pt>
                <c:pt idx="32">
                  <c:v>2186.3680602959712</c:v>
                </c:pt>
                <c:pt idx="33">
                  <c:v>2460.6036670229332</c:v>
                </c:pt>
                <c:pt idx="34">
                  <c:v>2805.845841150297</c:v>
                </c:pt>
                <c:pt idx="35">
                  <c:v>3240.4799873823031</c:v>
                </c:pt>
                <c:pt idx="36">
                  <c:v>3787.6519589072363</c:v>
                </c:pt>
                <c:pt idx="37">
                  <c:v>4476.5006584814901</c:v>
                </c:pt>
                <c:pt idx="38">
                  <c:v>5343.7097912568825</c:v>
                </c:pt>
                <c:pt idx="39">
                  <c:v>6435.4614058478091</c:v>
                </c:pt>
                <c:pt idx="40">
                  <c:v>7809.8952568236364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F-4927-8350-541F7E3F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logBase val="10"/>
          <c:orientation val="minMax"/>
          <c:max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Stellar flux [erg/cm2/s]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At val="0"/>
        <c:crossBetween val="midCat"/>
      </c:valAx>
      <c:valAx>
        <c:axId val="39177766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Count rate [cps]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At val="1.0000000000000008E-1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9531676187535"/>
          <c:y val="2.8533641603873887E-2"/>
          <c:w val="8.6126685144749068E-2"/>
          <c:h val="0.111344243682659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'WSO-UV_funnel_Ly-alpha_jupiter'!$F$31:$G$31</c:f>
              <c:strCache>
                <c:ptCount val="1"/>
                <c:pt idx="0">
                  <c:v>Slit: 2.4" 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'WSO-UV_funnel_Ly-alpha_jupiter'!$A$33:$A$272</c:f>
              <c:numCache>
                <c:formatCode>0.00E+00</c:formatCode>
                <c:ptCount val="240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'WSO-UV_funnel_Ly-alpha_jupiter'!$C$33:$C$272</c:f>
              <c:numCache>
                <c:formatCode>0.00E+00</c:formatCode>
                <c:ptCount val="240"/>
                <c:pt idx="0">
                  <c:v>90.179064803669277</c:v>
                </c:pt>
                <c:pt idx="1">
                  <c:v>90.179064803669277</c:v>
                </c:pt>
                <c:pt idx="2">
                  <c:v>90.179064803669277</c:v>
                </c:pt>
                <c:pt idx="3">
                  <c:v>90.179064803669277</c:v>
                </c:pt>
                <c:pt idx="4">
                  <c:v>90.179064803669277</c:v>
                </c:pt>
                <c:pt idx="5">
                  <c:v>90.179064803669277</c:v>
                </c:pt>
                <c:pt idx="6">
                  <c:v>90.179064803669277</c:v>
                </c:pt>
                <c:pt idx="7">
                  <c:v>90.179064803669277</c:v>
                </c:pt>
                <c:pt idx="8">
                  <c:v>90.179064803669277</c:v>
                </c:pt>
                <c:pt idx="9">
                  <c:v>90.179064803669277</c:v>
                </c:pt>
                <c:pt idx="10">
                  <c:v>90.179064803669277</c:v>
                </c:pt>
                <c:pt idx="11">
                  <c:v>90.179064803669277</c:v>
                </c:pt>
                <c:pt idx="12">
                  <c:v>90.179064803669277</c:v>
                </c:pt>
                <c:pt idx="13">
                  <c:v>90.179064803669277</c:v>
                </c:pt>
                <c:pt idx="14">
                  <c:v>90.179064803669277</c:v>
                </c:pt>
                <c:pt idx="15">
                  <c:v>90.179064803669277</c:v>
                </c:pt>
                <c:pt idx="16">
                  <c:v>90.179064803669277</c:v>
                </c:pt>
                <c:pt idx="17">
                  <c:v>90.179064803669277</c:v>
                </c:pt>
                <c:pt idx="18">
                  <c:v>90.179064803669277</c:v>
                </c:pt>
                <c:pt idx="19">
                  <c:v>90.179064803669277</c:v>
                </c:pt>
                <c:pt idx="20">
                  <c:v>90.179064803669277</c:v>
                </c:pt>
                <c:pt idx="21">
                  <c:v>90.179064803669277</c:v>
                </c:pt>
                <c:pt idx="22">
                  <c:v>90.179064803669277</c:v>
                </c:pt>
                <c:pt idx="23">
                  <c:v>90.179064803669277</c:v>
                </c:pt>
                <c:pt idx="24">
                  <c:v>90.179064803669277</c:v>
                </c:pt>
                <c:pt idx="25">
                  <c:v>90.179064803669277</c:v>
                </c:pt>
                <c:pt idx="26">
                  <c:v>90.179064803669277</c:v>
                </c:pt>
                <c:pt idx="27">
                  <c:v>90.179064803669277</c:v>
                </c:pt>
                <c:pt idx="28">
                  <c:v>90.179064803669277</c:v>
                </c:pt>
                <c:pt idx="29">
                  <c:v>90.179064803669277</c:v>
                </c:pt>
                <c:pt idx="30">
                  <c:v>90.179064803669277</c:v>
                </c:pt>
                <c:pt idx="31">
                  <c:v>90.179064803669277</c:v>
                </c:pt>
                <c:pt idx="32">
                  <c:v>90.179064803669277</c:v>
                </c:pt>
                <c:pt idx="33">
                  <c:v>90.179064803669277</c:v>
                </c:pt>
                <c:pt idx="34">
                  <c:v>90.179064803669277</c:v>
                </c:pt>
                <c:pt idx="35">
                  <c:v>90.179064803669277</c:v>
                </c:pt>
                <c:pt idx="36">
                  <c:v>90.179064803669277</c:v>
                </c:pt>
                <c:pt idx="37">
                  <c:v>90.179064803669277</c:v>
                </c:pt>
                <c:pt idx="38">
                  <c:v>90.179064803669277</c:v>
                </c:pt>
                <c:pt idx="39">
                  <c:v>90.179064803669277</c:v>
                </c:pt>
                <c:pt idx="40">
                  <c:v>90.179064803669277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7-4CDB-A46A-5CCEFE61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'WSO-UV_HST_oxygen_20201022'!$F$31</c:f>
              <c:strCache>
                <c:ptCount val="1"/>
                <c:pt idx="0">
                  <c:v>Slit: 2.4"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'WSO-UV_HST_oxygen_20201022'!$A$33:$A$73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'WSO-UV_HST_oxygen_20201022'!$F$33:$F$73</c:f>
              <c:numCache>
                <c:formatCode>0.00E+00</c:formatCode>
                <c:ptCount val="41"/>
                <c:pt idx="0">
                  <c:v>90.51319765100817</c:v>
                </c:pt>
                <c:pt idx="1">
                  <c:v>90.599713136099339</c:v>
                </c:pt>
                <c:pt idx="2">
                  <c:v>90.708629678794324</c:v>
                </c:pt>
                <c:pt idx="3">
                  <c:v>90.845747482157805</c:v>
                </c:pt>
                <c:pt idx="4">
                  <c:v>91.018368569221494</c:v>
                </c:pt>
                <c:pt idx="5">
                  <c:v>91.235685642337501</c:v>
                </c:pt>
                <c:pt idx="6">
                  <c:v>91.509271628099967</c:v>
                </c:pt>
                <c:pt idx="7">
                  <c:v>91.853695977887085</c:v>
                </c:pt>
                <c:pt idx="8">
                  <c:v>92.287300544274785</c:v>
                </c:pt>
                <c:pt idx="9">
                  <c:v>92.833176351570245</c:v>
                </c:pt>
                <c:pt idx="10">
                  <c:v>93.520393277058162</c:v>
                </c:pt>
                <c:pt idx="11">
                  <c:v>94.38554812796994</c:v>
                </c:pt>
                <c:pt idx="12">
                  <c:v>95.474713554919802</c:v>
                </c:pt>
                <c:pt idx="13">
                  <c:v>96.845891588554608</c:v>
                </c:pt>
                <c:pt idx="14">
                  <c:v>98.572102459191427</c:v>
                </c:pt>
                <c:pt idx="15">
                  <c:v>100.74527319035145</c:v>
                </c:pt>
                <c:pt idx="16">
                  <c:v>103.48113304797612</c:v>
                </c:pt>
                <c:pt idx="17">
                  <c:v>106.92537654584737</c:v>
                </c:pt>
                <c:pt idx="18">
                  <c:v>111.26142220972434</c:v>
                </c:pt>
                <c:pt idx="19">
                  <c:v>116.72018028267897</c:v>
                </c:pt>
                <c:pt idx="20">
                  <c:v>123.59234953755808</c:v>
                </c:pt>
                <c:pt idx="21">
                  <c:v>132.24389804667601</c:v>
                </c:pt>
                <c:pt idx="22">
                  <c:v>143.13555231617451</c:v>
                </c:pt>
                <c:pt idx="23">
                  <c:v>156.8473326525226</c:v>
                </c:pt>
                <c:pt idx="24">
                  <c:v>174.10944135889082</c:v>
                </c:pt>
                <c:pt idx="25">
                  <c:v>195.84114867049107</c:v>
                </c:pt>
                <c:pt idx="26">
                  <c:v>223.19974724673773</c:v>
                </c:pt>
                <c:pt idx="27">
                  <c:v>257.64218222545037</c:v>
                </c:pt>
                <c:pt idx="28">
                  <c:v>301.00263886422005</c:v>
                </c:pt>
                <c:pt idx="29">
                  <c:v>355.59021959376628</c:v>
                </c:pt>
                <c:pt idx="30">
                  <c:v>424.31191214255756</c:v>
                </c:pt>
                <c:pt idx="31">
                  <c:v>510.82739723373686</c:v>
                </c:pt>
                <c:pt idx="32">
                  <c:v>619.74393992872194</c:v>
                </c:pt>
                <c:pt idx="33">
                  <c:v>756.86174329220296</c:v>
                </c:pt>
                <c:pt idx="34">
                  <c:v>929.48283035588486</c:v>
                </c:pt>
                <c:pt idx="35">
                  <c:v>1146.7999034718878</c:v>
                </c:pt>
                <c:pt idx="36">
                  <c:v>1420.3858892343544</c:v>
                </c:pt>
                <c:pt idx="37">
                  <c:v>1764.8102390214813</c:v>
                </c:pt>
                <c:pt idx="38">
                  <c:v>2198.4148054091779</c:v>
                </c:pt>
                <c:pt idx="39">
                  <c:v>2744.2906127046408</c:v>
                </c:pt>
                <c:pt idx="40">
                  <c:v>3431.5075381925544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6-4522-A519-2081CFE8765C}"/>
            </c:ext>
          </c:extLst>
        </c:ser>
        <c:ser>
          <c:idx val="1"/>
          <c:order val="1"/>
          <c:tx>
            <c:strRef>
              <c:f>'WSO-UV_HST_oxygen_20201022'!$G$31</c:f>
              <c:strCache>
                <c:ptCount val="1"/>
                <c:pt idx="0">
                  <c:v>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'WSO-UV_HST_oxygen_20201022'!$A$33:$A$73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'WSO-UV_HST_oxygen_20201022'!$G$33:$G$73</c:f>
              <c:numCache>
                <c:formatCode>0.00E+00</c:formatCode>
                <c:ptCount val="41"/>
                <c:pt idx="0">
                  <c:v>376.08023619596088</c:v>
                </c:pt>
                <c:pt idx="1">
                  <c:v>376.16675168105206</c:v>
                </c:pt>
                <c:pt idx="2">
                  <c:v>376.27566822374706</c:v>
                </c:pt>
                <c:pt idx="3">
                  <c:v>376.41278602711054</c:v>
                </c:pt>
                <c:pt idx="4">
                  <c:v>376.58540711417419</c:v>
                </c:pt>
                <c:pt idx="5">
                  <c:v>376.80272418729021</c:v>
                </c:pt>
                <c:pt idx="6">
                  <c:v>377.07631017305266</c:v>
                </c:pt>
                <c:pt idx="7">
                  <c:v>377.42073452283984</c:v>
                </c:pt>
                <c:pt idx="8">
                  <c:v>377.85433908922749</c:v>
                </c:pt>
                <c:pt idx="9">
                  <c:v>378.40021489652298</c:v>
                </c:pt>
                <c:pt idx="10">
                  <c:v>379.0874318220109</c:v>
                </c:pt>
                <c:pt idx="11">
                  <c:v>379.95258667292268</c:v>
                </c:pt>
                <c:pt idx="12">
                  <c:v>381.0417520998725</c:v>
                </c:pt>
                <c:pt idx="13">
                  <c:v>382.4129301335073</c:v>
                </c:pt>
                <c:pt idx="14">
                  <c:v>384.13914100414416</c:v>
                </c:pt>
                <c:pt idx="15">
                  <c:v>386.31231173530415</c:v>
                </c:pt>
                <c:pt idx="16">
                  <c:v>389.04817159292884</c:v>
                </c:pt>
                <c:pt idx="17">
                  <c:v>392.49241509080008</c:v>
                </c:pt>
                <c:pt idx="18">
                  <c:v>396.82846075467705</c:v>
                </c:pt>
                <c:pt idx="19">
                  <c:v>402.2872188276317</c:v>
                </c:pt>
                <c:pt idx="20">
                  <c:v>409.15938808251082</c:v>
                </c:pt>
                <c:pt idx="21">
                  <c:v>417.81093659162877</c:v>
                </c:pt>
                <c:pt idx="22">
                  <c:v>428.70259086112725</c:v>
                </c:pt>
                <c:pt idx="23">
                  <c:v>442.41437119747536</c:v>
                </c:pt>
                <c:pt idx="24">
                  <c:v>459.67647990384353</c:v>
                </c:pt>
                <c:pt idx="25">
                  <c:v>481.40818721544377</c:v>
                </c:pt>
                <c:pt idx="26">
                  <c:v>508.76678579169044</c:v>
                </c:pt>
                <c:pt idx="27">
                  <c:v>543.20922077040314</c:v>
                </c:pt>
                <c:pt idx="28">
                  <c:v>586.56967740917275</c:v>
                </c:pt>
                <c:pt idx="29">
                  <c:v>641.15725813871904</c:v>
                </c:pt>
                <c:pt idx="30">
                  <c:v>709.87895068751027</c:v>
                </c:pt>
                <c:pt idx="31">
                  <c:v>796.39443577868951</c:v>
                </c:pt>
                <c:pt idx="32">
                  <c:v>905.31097847367471</c:v>
                </c:pt>
                <c:pt idx="33">
                  <c:v>1042.4287818371558</c:v>
                </c:pt>
                <c:pt idx="34">
                  <c:v>1215.0498689008377</c:v>
                </c:pt>
                <c:pt idx="35">
                  <c:v>1432.3669420168405</c:v>
                </c:pt>
                <c:pt idx="36">
                  <c:v>1705.9529277793072</c:v>
                </c:pt>
                <c:pt idx="37">
                  <c:v>2050.3772775664338</c:v>
                </c:pt>
                <c:pt idx="38">
                  <c:v>2483.9818439541305</c:v>
                </c:pt>
                <c:pt idx="39">
                  <c:v>3029.8576512495933</c:v>
                </c:pt>
                <c:pt idx="40">
                  <c:v>3717.074576737507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6-4522-A519-2081CFE8765C}"/>
            </c:ext>
          </c:extLst>
        </c:ser>
        <c:ser>
          <c:idx val="2"/>
          <c:order val="2"/>
          <c:tx>
            <c:strRef>
              <c:f>'WSO-UV_HST_oxygen_20201022'!$H$31</c:f>
              <c:strCache>
                <c:ptCount val="1"/>
                <c:pt idx="0">
                  <c:v>Slit: 30"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'WSO-UV_HST_oxygen_20201022'!$A$33:$A$73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'WSO-UV_HST_oxygen_20201022'!$H$33:$H$73</c:f>
              <c:numCache>
                <c:formatCode>0.0_ </c:formatCode>
                <c:ptCount val="41"/>
                <c:pt idx="0">
                  <c:v>1127.5724428932049</c:v>
                </c:pt>
                <c:pt idx="1">
                  <c:v>1127.6589583782961</c:v>
                </c:pt>
                <c:pt idx="2">
                  <c:v>1127.7678749209911</c:v>
                </c:pt>
                <c:pt idx="3">
                  <c:v>1127.9049927243545</c:v>
                </c:pt>
                <c:pt idx="4">
                  <c:v>1128.0776138114181</c:v>
                </c:pt>
                <c:pt idx="5">
                  <c:v>1128.2949308845343</c:v>
                </c:pt>
                <c:pt idx="6">
                  <c:v>1128.5685168702967</c:v>
                </c:pt>
                <c:pt idx="7">
                  <c:v>1128.9129412200839</c:v>
                </c:pt>
                <c:pt idx="8">
                  <c:v>1129.3465457864716</c:v>
                </c:pt>
                <c:pt idx="9">
                  <c:v>1129.892421593767</c:v>
                </c:pt>
                <c:pt idx="10">
                  <c:v>1130.5796385192548</c:v>
                </c:pt>
                <c:pt idx="11">
                  <c:v>1131.4447933701667</c:v>
                </c:pt>
                <c:pt idx="12">
                  <c:v>1132.5339587971166</c:v>
                </c:pt>
                <c:pt idx="13">
                  <c:v>1133.9051368307514</c:v>
                </c:pt>
                <c:pt idx="14">
                  <c:v>1135.6313477013882</c:v>
                </c:pt>
                <c:pt idx="15">
                  <c:v>1137.8045184325481</c:v>
                </c:pt>
                <c:pt idx="16">
                  <c:v>1140.5403782901728</c:v>
                </c:pt>
                <c:pt idx="17">
                  <c:v>1143.984621788044</c:v>
                </c:pt>
                <c:pt idx="18">
                  <c:v>1148.3206674519211</c:v>
                </c:pt>
                <c:pt idx="19">
                  <c:v>1153.7794255248757</c:v>
                </c:pt>
                <c:pt idx="20">
                  <c:v>1160.6515947797548</c:v>
                </c:pt>
                <c:pt idx="21">
                  <c:v>1169.3031432888727</c:v>
                </c:pt>
                <c:pt idx="22">
                  <c:v>1180.1947975583712</c:v>
                </c:pt>
                <c:pt idx="23">
                  <c:v>1193.9065778947192</c:v>
                </c:pt>
                <c:pt idx="24">
                  <c:v>1211.1686866010875</c:v>
                </c:pt>
                <c:pt idx="25">
                  <c:v>1232.9003939126878</c:v>
                </c:pt>
                <c:pt idx="26">
                  <c:v>1260.2589924889344</c:v>
                </c:pt>
                <c:pt idx="27">
                  <c:v>1294.7014274676471</c:v>
                </c:pt>
                <c:pt idx="28">
                  <c:v>1338.0618841064168</c:v>
                </c:pt>
                <c:pt idx="29">
                  <c:v>1392.649464835963</c:v>
                </c:pt>
                <c:pt idx="30">
                  <c:v>1461.3711573847543</c:v>
                </c:pt>
                <c:pt idx="31">
                  <c:v>1547.8866424759335</c:v>
                </c:pt>
                <c:pt idx="32">
                  <c:v>1656.8031851709188</c:v>
                </c:pt>
                <c:pt idx="33">
                  <c:v>1793.9209885343998</c:v>
                </c:pt>
                <c:pt idx="34">
                  <c:v>1966.5420755980817</c:v>
                </c:pt>
                <c:pt idx="35">
                  <c:v>2183.8591487140848</c:v>
                </c:pt>
                <c:pt idx="36">
                  <c:v>2457.4451344765512</c:v>
                </c:pt>
                <c:pt idx="37">
                  <c:v>2801.8694842636778</c:v>
                </c:pt>
                <c:pt idx="38">
                  <c:v>3235.4740506513745</c:v>
                </c:pt>
                <c:pt idx="39">
                  <c:v>3781.3498579468373</c:v>
                </c:pt>
                <c:pt idx="40">
                  <c:v>4468.5667834347514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6-4522-A519-2081CFE8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logBase val="10"/>
          <c:orientation val="minMax"/>
          <c:max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Stellar flux [erg/cm2/s]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At val="0"/>
        <c:crossBetween val="midCat"/>
      </c:valAx>
      <c:valAx>
        <c:axId val="39177766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Count rate [cps]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At val="1.0000000000000008E-1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9531676187535"/>
          <c:y val="2.8533641603873887E-2"/>
          <c:w val="8.6126685144749068E-2"/>
          <c:h val="0.111344243682659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'WSO-UV_HST_oxygen_20201022'!$F$31:$G$31</c:f>
              <c:strCache>
                <c:ptCount val="1"/>
                <c:pt idx="0">
                  <c:v>Slit: 2.4" 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'WSO-UV_HST_oxygen_20201022'!$A$33:$A$272</c:f>
              <c:numCache>
                <c:formatCode>0.00E+00</c:formatCode>
                <c:ptCount val="240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'WSO-UV_HST_oxygen_20201022'!$C$33:$C$272</c:f>
              <c:numCache>
                <c:formatCode>0.00E+00</c:formatCode>
                <c:ptCount val="240"/>
                <c:pt idx="0">
                  <c:v>90.179064803669277</c:v>
                </c:pt>
                <c:pt idx="1">
                  <c:v>90.179064803669277</c:v>
                </c:pt>
                <c:pt idx="2">
                  <c:v>90.179064803669277</c:v>
                </c:pt>
                <c:pt idx="3">
                  <c:v>90.179064803669277</c:v>
                </c:pt>
                <c:pt idx="4">
                  <c:v>90.179064803669277</c:v>
                </c:pt>
                <c:pt idx="5">
                  <c:v>90.179064803669277</c:v>
                </c:pt>
                <c:pt idx="6">
                  <c:v>90.179064803669277</c:v>
                </c:pt>
                <c:pt idx="7">
                  <c:v>90.179064803669277</c:v>
                </c:pt>
                <c:pt idx="8">
                  <c:v>90.179064803669277</c:v>
                </c:pt>
                <c:pt idx="9">
                  <c:v>90.179064803669277</c:v>
                </c:pt>
                <c:pt idx="10">
                  <c:v>90.179064803669277</c:v>
                </c:pt>
                <c:pt idx="11">
                  <c:v>90.179064803669277</c:v>
                </c:pt>
                <c:pt idx="12">
                  <c:v>90.179064803669277</c:v>
                </c:pt>
                <c:pt idx="13">
                  <c:v>90.179064803669277</c:v>
                </c:pt>
                <c:pt idx="14">
                  <c:v>90.179064803669277</c:v>
                </c:pt>
                <c:pt idx="15">
                  <c:v>90.179064803669277</c:v>
                </c:pt>
                <c:pt idx="16">
                  <c:v>90.179064803669277</c:v>
                </c:pt>
                <c:pt idx="17">
                  <c:v>90.179064803669277</c:v>
                </c:pt>
                <c:pt idx="18">
                  <c:v>90.179064803669277</c:v>
                </c:pt>
                <c:pt idx="19">
                  <c:v>90.179064803669277</c:v>
                </c:pt>
                <c:pt idx="20">
                  <c:v>90.179064803669277</c:v>
                </c:pt>
                <c:pt idx="21">
                  <c:v>90.179064803669277</c:v>
                </c:pt>
                <c:pt idx="22">
                  <c:v>90.179064803669277</c:v>
                </c:pt>
                <c:pt idx="23">
                  <c:v>90.179064803669277</c:v>
                </c:pt>
                <c:pt idx="24">
                  <c:v>90.179064803669277</c:v>
                </c:pt>
                <c:pt idx="25">
                  <c:v>90.179064803669277</c:v>
                </c:pt>
                <c:pt idx="26">
                  <c:v>90.179064803669277</c:v>
                </c:pt>
                <c:pt idx="27">
                  <c:v>90.179064803669277</c:v>
                </c:pt>
                <c:pt idx="28">
                  <c:v>90.179064803669277</c:v>
                </c:pt>
                <c:pt idx="29">
                  <c:v>90.179064803669277</c:v>
                </c:pt>
                <c:pt idx="30">
                  <c:v>90.179064803669277</c:v>
                </c:pt>
                <c:pt idx="31">
                  <c:v>90.179064803669277</c:v>
                </c:pt>
                <c:pt idx="32">
                  <c:v>90.179064803669277</c:v>
                </c:pt>
                <c:pt idx="33">
                  <c:v>90.179064803669277</c:v>
                </c:pt>
                <c:pt idx="34">
                  <c:v>90.179064803669277</c:v>
                </c:pt>
                <c:pt idx="35">
                  <c:v>90.179064803669277</c:v>
                </c:pt>
                <c:pt idx="36">
                  <c:v>90.179064803669277</c:v>
                </c:pt>
                <c:pt idx="37">
                  <c:v>90.179064803669277</c:v>
                </c:pt>
                <c:pt idx="38">
                  <c:v>90.179064803669277</c:v>
                </c:pt>
                <c:pt idx="39">
                  <c:v>90.179064803669277</c:v>
                </c:pt>
                <c:pt idx="40">
                  <c:v>90.179064803669277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9-49D1-AA67-1A39E533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Ly-alpha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'LAPYUTA_Ly-alpha_bg'!$A$43:$A$542</c:f>
              <c:numCache>
                <c:formatCode>General</c:formatCode>
                <c:ptCount val="50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2.8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3.7</c:v>
                </c:pt>
                <c:pt idx="26">
                  <c:v>3.8</c:v>
                </c:pt>
                <c:pt idx="27">
                  <c:v>3.9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</c:v>
                </c:pt>
                <c:pt idx="31">
                  <c:v>4.3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4.9000000000000004</c:v>
                </c:pt>
                <c:pt idx="38">
                  <c:v>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5.3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5.9</c:v>
                </c:pt>
                <c:pt idx="48">
                  <c:v>6</c:v>
                </c:pt>
                <c:pt idx="49">
                  <c:v>6.1</c:v>
                </c:pt>
                <c:pt idx="50">
                  <c:v>6.2</c:v>
                </c:pt>
                <c:pt idx="51">
                  <c:v>6.3</c:v>
                </c:pt>
                <c:pt idx="52">
                  <c:v>6.4</c:v>
                </c:pt>
                <c:pt idx="53">
                  <c:v>6.5</c:v>
                </c:pt>
                <c:pt idx="54">
                  <c:v>6.6</c:v>
                </c:pt>
                <c:pt idx="55">
                  <c:v>6.7</c:v>
                </c:pt>
                <c:pt idx="56">
                  <c:v>6.8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8.5</c:v>
                </c:pt>
                <c:pt idx="74">
                  <c:v>8.6</c:v>
                </c:pt>
                <c:pt idx="75">
                  <c:v>8.6999999999999993</c:v>
                </c:pt>
                <c:pt idx="76">
                  <c:v>8.8000000000000007</c:v>
                </c:pt>
                <c:pt idx="77">
                  <c:v>8.9</c:v>
                </c:pt>
                <c:pt idx="78">
                  <c:v>9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9.4</c:v>
                </c:pt>
                <c:pt idx="83">
                  <c:v>9.5</c:v>
                </c:pt>
                <c:pt idx="84">
                  <c:v>9.6</c:v>
                </c:pt>
                <c:pt idx="85">
                  <c:v>9.6999999999999993</c:v>
                </c:pt>
                <c:pt idx="86">
                  <c:v>9.8000000000000007</c:v>
                </c:pt>
                <c:pt idx="87">
                  <c:v>9.9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</c:v>
                </c:pt>
                <c:pt idx="99">
                  <c:v>11.1</c:v>
                </c:pt>
                <c:pt idx="100">
                  <c:v>11.2</c:v>
                </c:pt>
                <c:pt idx="101">
                  <c:v>11.3</c:v>
                </c:pt>
                <c:pt idx="102">
                  <c:v>11.4</c:v>
                </c:pt>
                <c:pt idx="103">
                  <c:v>11.5</c:v>
                </c:pt>
                <c:pt idx="104">
                  <c:v>11.6</c:v>
                </c:pt>
                <c:pt idx="105">
                  <c:v>11.7</c:v>
                </c:pt>
                <c:pt idx="106">
                  <c:v>11.8</c:v>
                </c:pt>
                <c:pt idx="107">
                  <c:v>11.9</c:v>
                </c:pt>
                <c:pt idx="108">
                  <c:v>12</c:v>
                </c:pt>
                <c:pt idx="109">
                  <c:v>12.1</c:v>
                </c:pt>
                <c:pt idx="110">
                  <c:v>12.2</c:v>
                </c:pt>
                <c:pt idx="111">
                  <c:v>12.3</c:v>
                </c:pt>
                <c:pt idx="112">
                  <c:v>12.4</c:v>
                </c:pt>
                <c:pt idx="113">
                  <c:v>12.5</c:v>
                </c:pt>
                <c:pt idx="114">
                  <c:v>12.6</c:v>
                </c:pt>
                <c:pt idx="115">
                  <c:v>12.7</c:v>
                </c:pt>
                <c:pt idx="116">
                  <c:v>12.8</c:v>
                </c:pt>
                <c:pt idx="117">
                  <c:v>12.9</c:v>
                </c:pt>
                <c:pt idx="118">
                  <c:v>13</c:v>
                </c:pt>
                <c:pt idx="119">
                  <c:v>13.1</c:v>
                </c:pt>
                <c:pt idx="120">
                  <c:v>13.2</c:v>
                </c:pt>
                <c:pt idx="121">
                  <c:v>13.3</c:v>
                </c:pt>
                <c:pt idx="122">
                  <c:v>13.4</c:v>
                </c:pt>
                <c:pt idx="123">
                  <c:v>13.5</c:v>
                </c:pt>
                <c:pt idx="124">
                  <c:v>13.6</c:v>
                </c:pt>
                <c:pt idx="125">
                  <c:v>13.7</c:v>
                </c:pt>
                <c:pt idx="126">
                  <c:v>13.8</c:v>
                </c:pt>
                <c:pt idx="127">
                  <c:v>13.9</c:v>
                </c:pt>
                <c:pt idx="128">
                  <c:v>14</c:v>
                </c:pt>
                <c:pt idx="129">
                  <c:v>14.1</c:v>
                </c:pt>
                <c:pt idx="130">
                  <c:v>14.2</c:v>
                </c:pt>
                <c:pt idx="131">
                  <c:v>14.3</c:v>
                </c:pt>
                <c:pt idx="132">
                  <c:v>14.4</c:v>
                </c:pt>
                <c:pt idx="133">
                  <c:v>14.5</c:v>
                </c:pt>
                <c:pt idx="134">
                  <c:v>14.6</c:v>
                </c:pt>
                <c:pt idx="135">
                  <c:v>14.7</c:v>
                </c:pt>
                <c:pt idx="136">
                  <c:v>14.8</c:v>
                </c:pt>
                <c:pt idx="137">
                  <c:v>14.9</c:v>
                </c:pt>
                <c:pt idx="138">
                  <c:v>15</c:v>
                </c:pt>
                <c:pt idx="139">
                  <c:v>15.1</c:v>
                </c:pt>
                <c:pt idx="140">
                  <c:v>15.2</c:v>
                </c:pt>
                <c:pt idx="141">
                  <c:v>15.3</c:v>
                </c:pt>
                <c:pt idx="142">
                  <c:v>15.4</c:v>
                </c:pt>
                <c:pt idx="143">
                  <c:v>15.5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15.9</c:v>
                </c:pt>
                <c:pt idx="148">
                  <c:v>16</c:v>
                </c:pt>
                <c:pt idx="149">
                  <c:v>16.100000000000001</c:v>
                </c:pt>
                <c:pt idx="150">
                  <c:v>16.2</c:v>
                </c:pt>
                <c:pt idx="151">
                  <c:v>16.3</c:v>
                </c:pt>
                <c:pt idx="152">
                  <c:v>16.399999999999999</c:v>
                </c:pt>
                <c:pt idx="153">
                  <c:v>16.5</c:v>
                </c:pt>
                <c:pt idx="154">
                  <c:v>16.600000000000001</c:v>
                </c:pt>
                <c:pt idx="155">
                  <c:v>16.7</c:v>
                </c:pt>
                <c:pt idx="156">
                  <c:v>16.8</c:v>
                </c:pt>
                <c:pt idx="157">
                  <c:v>16.899999999999999</c:v>
                </c:pt>
                <c:pt idx="158">
                  <c:v>17</c:v>
                </c:pt>
                <c:pt idx="159">
                  <c:v>17.100000000000001</c:v>
                </c:pt>
                <c:pt idx="160">
                  <c:v>17.2</c:v>
                </c:pt>
                <c:pt idx="161">
                  <c:v>17.3</c:v>
                </c:pt>
                <c:pt idx="162">
                  <c:v>17.399999999999999</c:v>
                </c:pt>
                <c:pt idx="163">
                  <c:v>17.5</c:v>
                </c:pt>
                <c:pt idx="164">
                  <c:v>17.600000000000001</c:v>
                </c:pt>
                <c:pt idx="165">
                  <c:v>17.7</c:v>
                </c:pt>
                <c:pt idx="166">
                  <c:v>17.8</c:v>
                </c:pt>
                <c:pt idx="167">
                  <c:v>17.899999999999999</c:v>
                </c:pt>
                <c:pt idx="168">
                  <c:v>18</c:v>
                </c:pt>
                <c:pt idx="169">
                  <c:v>18.100000000000001</c:v>
                </c:pt>
                <c:pt idx="170">
                  <c:v>18.2</c:v>
                </c:pt>
                <c:pt idx="171">
                  <c:v>18.3</c:v>
                </c:pt>
                <c:pt idx="172">
                  <c:v>18.399999999999999</c:v>
                </c:pt>
                <c:pt idx="173">
                  <c:v>18.5</c:v>
                </c:pt>
                <c:pt idx="174">
                  <c:v>18.600000000000001</c:v>
                </c:pt>
                <c:pt idx="175">
                  <c:v>18.7</c:v>
                </c:pt>
                <c:pt idx="176">
                  <c:v>18.8</c:v>
                </c:pt>
                <c:pt idx="177">
                  <c:v>18.899999999999999</c:v>
                </c:pt>
                <c:pt idx="178">
                  <c:v>19</c:v>
                </c:pt>
                <c:pt idx="179">
                  <c:v>19.100000000000001</c:v>
                </c:pt>
                <c:pt idx="180">
                  <c:v>19.2</c:v>
                </c:pt>
                <c:pt idx="181">
                  <c:v>19.3</c:v>
                </c:pt>
                <c:pt idx="182">
                  <c:v>19.399999999999999</c:v>
                </c:pt>
                <c:pt idx="183">
                  <c:v>19.5</c:v>
                </c:pt>
                <c:pt idx="184">
                  <c:v>19.600000000000001</c:v>
                </c:pt>
                <c:pt idx="185">
                  <c:v>19.7</c:v>
                </c:pt>
                <c:pt idx="186">
                  <c:v>19.8</c:v>
                </c:pt>
                <c:pt idx="187">
                  <c:v>19.899999999999999</c:v>
                </c:pt>
                <c:pt idx="188">
                  <c:v>20</c:v>
                </c:pt>
                <c:pt idx="189">
                  <c:v>20.100000000000001</c:v>
                </c:pt>
                <c:pt idx="190">
                  <c:v>20.2</c:v>
                </c:pt>
                <c:pt idx="191">
                  <c:v>20.3</c:v>
                </c:pt>
                <c:pt idx="192">
                  <c:v>20.399999999999999</c:v>
                </c:pt>
                <c:pt idx="193">
                  <c:v>20.5</c:v>
                </c:pt>
                <c:pt idx="194">
                  <c:v>20.6</c:v>
                </c:pt>
                <c:pt idx="195">
                  <c:v>20.7</c:v>
                </c:pt>
                <c:pt idx="196">
                  <c:v>20.8</c:v>
                </c:pt>
                <c:pt idx="197">
                  <c:v>20.9</c:v>
                </c:pt>
                <c:pt idx="198">
                  <c:v>21</c:v>
                </c:pt>
                <c:pt idx="199">
                  <c:v>21.1</c:v>
                </c:pt>
                <c:pt idx="200">
                  <c:v>21.2</c:v>
                </c:pt>
                <c:pt idx="201">
                  <c:v>21.3</c:v>
                </c:pt>
                <c:pt idx="202">
                  <c:v>21.4</c:v>
                </c:pt>
                <c:pt idx="203">
                  <c:v>21.5</c:v>
                </c:pt>
                <c:pt idx="204">
                  <c:v>21.6</c:v>
                </c:pt>
                <c:pt idx="205">
                  <c:v>21.7</c:v>
                </c:pt>
                <c:pt idx="206">
                  <c:v>21.8</c:v>
                </c:pt>
                <c:pt idx="207">
                  <c:v>21.9</c:v>
                </c:pt>
                <c:pt idx="208">
                  <c:v>22</c:v>
                </c:pt>
                <c:pt idx="209">
                  <c:v>22.1</c:v>
                </c:pt>
                <c:pt idx="210">
                  <c:v>22.2</c:v>
                </c:pt>
                <c:pt idx="211">
                  <c:v>22.3</c:v>
                </c:pt>
                <c:pt idx="212">
                  <c:v>22.4</c:v>
                </c:pt>
                <c:pt idx="213">
                  <c:v>22.5</c:v>
                </c:pt>
                <c:pt idx="214">
                  <c:v>22.6</c:v>
                </c:pt>
                <c:pt idx="215">
                  <c:v>22.7</c:v>
                </c:pt>
                <c:pt idx="216">
                  <c:v>22.8</c:v>
                </c:pt>
                <c:pt idx="217">
                  <c:v>22.9</c:v>
                </c:pt>
                <c:pt idx="218">
                  <c:v>23</c:v>
                </c:pt>
                <c:pt idx="219">
                  <c:v>23.1</c:v>
                </c:pt>
                <c:pt idx="220">
                  <c:v>23.2</c:v>
                </c:pt>
                <c:pt idx="221">
                  <c:v>23.3</c:v>
                </c:pt>
                <c:pt idx="222">
                  <c:v>23.4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23.8</c:v>
                </c:pt>
                <c:pt idx="227">
                  <c:v>23.9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</c:v>
                </c:pt>
                <c:pt idx="232">
                  <c:v>24.4</c:v>
                </c:pt>
                <c:pt idx="233">
                  <c:v>24.5</c:v>
                </c:pt>
                <c:pt idx="234">
                  <c:v>24.6</c:v>
                </c:pt>
                <c:pt idx="235">
                  <c:v>24.7</c:v>
                </c:pt>
                <c:pt idx="236">
                  <c:v>24.8</c:v>
                </c:pt>
                <c:pt idx="237">
                  <c:v>24.9</c:v>
                </c:pt>
                <c:pt idx="238">
                  <c:v>25</c:v>
                </c:pt>
                <c:pt idx="239">
                  <c:v>25.1</c:v>
                </c:pt>
                <c:pt idx="240">
                  <c:v>25.2</c:v>
                </c:pt>
                <c:pt idx="241">
                  <c:v>25.3</c:v>
                </c:pt>
                <c:pt idx="242">
                  <c:v>25.4</c:v>
                </c:pt>
                <c:pt idx="243">
                  <c:v>25.5</c:v>
                </c:pt>
                <c:pt idx="244">
                  <c:v>25.6</c:v>
                </c:pt>
                <c:pt idx="245">
                  <c:v>25.7</c:v>
                </c:pt>
                <c:pt idx="246">
                  <c:v>25.8</c:v>
                </c:pt>
                <c:pt idx="247">
                  <c:v>25.9</c:v>
                </c:pt>
                <c:pt idx="248">
                  <c:v>26</c:v>
                </c:pt>
                <c:pt idx="249">
                  <c:v>26.1</c:v>
                </c:pt>
                <c:pt idx="250">
                  <c:v>26.2</c:v>
                </c:pt>
                <c:pt idx="251">
                  <c:v>26.3</c:v>
                </c:pt>
                <c:pt idx="252">
                  <c:v>26.4</c:v>
                </c:pt>
                <c:pt idx="253">
                  <c:v>26.5</c:v>
                </c:pt>
                <c:pt idx="254">
                  <c:v>26.6</c:v>
                </c:pt>
                <c:pt idx="255">
                  <c:v>26.7</c:v>
                </c:pt>
                <c:pt idx="256">
                  <c:v>26.8</c:v>
                </c:pt>
                <c:pt idx="257">
                  <c:v>26.9</c:v>
                </c:pt>
                <c:pt idx="258">
                  <c:v>27</c:v>
                </c:pt>
                <c:pt idx="259">
                  <c:v>27.1</c:v>
                </c:pt>
                <c:pt idx="260">
                  <c:v>27.2</c:v>
                </c:pt>
                <c:pt idx="261">
                  <c:v>27.3</c:v>
                </c:pt>
                <c:pt idx="262">
                  <c:v>27.4</c:v>
                </c:pt>
                <c:pt idx="263">
                  <c:v>27.5</c:v>
                </c:pt>
                <c:pt idx="264">
                  <c:v>27.6</c:v>
                </c:pt>
                <c:pt idx="265">
                  <c:v>27.7</c:v>
                </c:pt>
                <c:pt idx="266">
                  <c:v>27.8</c:v>
                </c:pt>
                <c:pt idx="267">
                  <c:v>27.9</c:v>
                </c:pt>
                <c:pt idx="268">
                  <c:v>28</c:v>
                </c:pt>
                <c:pt idx="269">
                  <c:v>28.1</c:v>
                </c:pt>
                <c:pt idx="270">
                  <c:v>28.2</c:v>
                </c:pt>
                <c:pt idx="271">
                  <c:v>28.3</c:v>
                </c:pt>
                <c:pt idx="272">
                  <c:v>28.4</c:v>
                </c:pt>
                <c:pt idx="273">
                  <c:v>28.5</c:v>
                </c:pt>
                <c:pt idx="274">
                  <c:v>28.6</c:v>
                </c:pt>
                <c:pt idx="275">
                  <c:v>28.7</c:v>
                </c:pt>
                <c:pt idx="276">
                  <c:v>28.8</c:v>
                </c:pt>
                <c:pt idx="277">
                  <c:v>28.9</c:v>
                </c:pt>
                <c:pt idx="278">
                  <c:v>29</c:v>
                </c:pt>
                <c:pt idx="279">
                  <c:v>29.1</c:v>
                </c:pt>
                <c:pt idx="280">
                  <c:v>29.2</c:v>
                </c:pt>
                <c:pt idx="281">
                  <c:v>29.3</c:v>
                </c:pt>
                <c:pt idx="282">
                  <c:v>29.4</c:v>
                </c:pt>
                <c:pt idx="283">
                  <c:v>29.5</c:v>
                </c:pt>
                <c:pt idx="284">
                  <c:v>29.6</c:v>
                </c:pt>
                <c:pt idx="285">
                  <c:v>29.7</c:v>
                </c:pt>
                <c:pt idx="286">
                  <c:v>29.8</c:v>
                </c:pt>
                <c:pt idx="287">
                  <c:v>29.9</c:v>
                </c:pt>
                <c:pt idx="288">
                  <c:v>30</c:v>
                </c:pt>
                <c:pt idx="289">
                  <c:v>30.1</c:v>
                </c:pt>
                <c:pt idx="290">
                  <c:v>30.2</c:v>
                </c:pt>
                <c:pt idx="291">
                  <c:v>30.3</c:v>
                </c:pt>
                <c:pt idx="292">
                  <c:v>30.4</c:v>
                </c:pt>
                <c:pt idx="293">
                  <c:v>30.5</c:v>
                </c:pt>
                <c:pt idx="294">
                  <c:v>30.6</c:v>
                </c:pt>
                <c:pt idx="295">
                  <c:v>30.7</c:v>
                </c:pt>
                <c:pt idx="296">
                  <c:v>30.8</c:v>
                </c:pt>
                <c:pt idx="297">
                  <c:v>30.9</c:v>
                </c:pt>
                <c:pt idx="298">
                  <c:v>31</c:v>
                </c:pt>
                <c:pt idx="299">
                  <c:v>31.1</c:v>
                </c:pt>
                <c:pt idx="300">
                  <c:v>31.2</c:v>
                </c:pt>
                <c:pt idx="301">
                  <c:v>31.3</c:v>
                </c:pt>
                <c:pt idx="302">
                  <c:v>31.4</c:v>
                </c:pt>
                <c:pt idx="303">
                  <c:v>31.5</c:v>
                </c:pt>
                <c:pt idx="304">
                  <c:v>31.6</c:v>
                </c:pt>
                <c:pt idx="305">
                  <c:v>31.7</c:v>
                </c:pt>
                <c:pt idx="306">
                  <c:v>31.8</c:v>
                </c:pt>
                <c:pt idx="307">
                  <c:v>31.9</c:v>
                </c:pt>
                <c:pt idx="308">
                  <c:v>32</c:v>
                </c:pt>
                <c:pt idx="309">
                  <c:v>32.1</c:v>
                </c:pt>
                <c:pt idx="310">
                  <c:v>32.200000000000003</c:v>
                </c:pt>
                <c:pt idx="311">
                  <c:v>32.299999999999997</c:v>
                </c:pt>
                <c:pt idx="312">
                  <c:v>32.4</c:v>
                </c:pt>
                <c:pt idx="313">
                  <c:v>32.5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32.799999999999997</c:v>
                </c:pt>
                <c:pt idx="317">
                  <c:v>32.9</c:v>
                </c:pt>
                <c:pt idx="318">
                  <c:v>33</c:v>
                </c:pt>
                <c:pt idx="319">
                  <c:v>33.1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33.5</c:v>
                </c:pt>
                <c:pt idx="324">
                  <c:v>33.6</c:v>
                </c:pt>
                <c:pt idx="325">
                  <c:v>33.700000000000003</c:v>
                </c:pt>
                <c:pt idx="326">
                  <c:v>33.799999999999997</c:v>
                </c:pt>
                <c:pt idx="327">
                  <c:v>33.9</c:v>
                </c:pt>
                <c:pt idx="328">
                  <c:v>34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34.5</c:v>
                </c:pt>
                <c:pt idx="334">
                  <c:v>34.6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35.5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35.799999999999997</c:v>
                </c:pt>
                <c:pt idx="347">
                  <c:v>35.9</c:v>
                </c:pt>
                <c:pt idx="348">
                  <c:v>36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36.5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36.9</c:v>
                </c:pt>
                <c:pt idx="358">
                  <c:v>37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38</c:v>
                </c:pt>
                <c:pt idx="369">
                  <c:v>38.1</c:v>
                </c:pt>
                <c:pt idx="370">
                  <c:v>38.200000000000003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38.5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38.9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40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</c:v>
                </c:pt>
                <c:pt idx="399">
                  <c:v>41.1</c:v>
                </c:pt>
                <c:pt idx="400">
                  <c:v>41.2</c:v>
                </c:pt>
                <c:pt idx="401">
                  <c:v>41.3</c:v>
                </c:pt>
                <c:pt idx="402">
                  <c:v>41.4</c:v>
                </c:pt>
                <c:pt idx="403">
                  <c:v>41.5</c:v>
                </c:pt>
                <c:pt idx="404">
                  <c:v>41.6</c:v>
                </c:pt>
                <c:pt idx="405">
                  <c:v>41.7</c:v>
                </c:pt>
                <c:pt idx="406">
                  <c:v>41.8</c:v>
                </c:pt>
                <c:pt idx="407">
                  <c:v>41.9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42.3</c:v>
                </c:pt>
                <c:pt idx="412">
                  <c:v>42.4</c:v>
                </c:pt>
                <c:pt idx="413">
                  <c:v>42.5</c:v>
                </c:pt>
                <c:pt idx="414">
                  <c:v>42.6</c:v>
                </c:pt>
                <c:pt idx="415">
                  <c:v>42.7</c:v>
                </c:pt>
                <c:pt idx="416">
                  <c:v>42.8</c:v>
                </c:pt>
                <c:pt idx="417">
                  <c:v>42.9</c:v>
                </c:pt>
                <c:pt idx="418">
                  <c:v>43</c:v>
                </c:pt>
                <c:pt idx="419">
                  <c:v>43.1</c:v>
                </c:pt>
                <c:pt idx="420">
                  <c:v>43.2</c:v>
                </c:pt>
                <c:pt idx="421">
                  <c:v>43.3</c:v>
                </c:pt>
                <c:pt idx="422">
                  <c:v>43.4</c:v>
                </c:pt>
                <c:pt idx="423">
                  <c:v>43.5</c:v>
                </c:pt>
                <c:pt idx="424">
                  <c:v>43.6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44</c:v>
                </c:pt>
                <c:pt idx="429">
                  <c:v>44.1</c:v>
                </c:pt>
                <c:pt idx="430">
                  <c:v>44.2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44.6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45</c:v>
                </c:pt>
                <c:pt idx="439">
                  <c:v>45.1</c:v>
                </c:pt>
                <c:pt idx="440">
                  <c:v>45.2</c:v>
                </c:pt>
                <c:pt idx="441">
                  <c:v>45.3</c:v>
                </c:pt>
                <c:pt idx="442">
                  <c:v>45.4</c:v>
                </c:pt>
                <c:pt idx="443">
                  <c:v>45.5</c:v>
                </c:pt>
                <c:pt idx="444">
                  <c:v>45.6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46.4</c:v>
                </c:pt>
                <c:pt idx="453">
                  <c:v>46.5</c:v>
                </c:pt>
                <c:pt idx="454">
                  <c:v>46.6</c:v>
                </c:pt>
                <c:pt idx="455">
                  <c:v>46.7</c:v>
                </c:pt>
                <c:pt idx="456">
                  <c:v>46.8</c:v>
                </c:pt>
                <c:pt idx="457">
                  <c:v>46.9</c:v>
                </c:pt>
                <c:pt idx="458">
                  <c:v>47</c:v>
                </c:pt>
                <c:pt idx="459">
                  <c:v>47.1</c:v>
                </c:pt>
                <c:pt idx="460">
                  <c:v>47.2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47.9</c:v>
                </c:pt>
                <c:pt idx="468">
                  <c:v>48</c:v>
                </c:pt>
                <c:pt idx="469">
                  <c:v>48.1</c:v>
                </c:pt>
                <c:pt idx="470">
                  <c:v>48.2</c:v>
                </c:pt>
                <c:pt idx="471">
                  <c:v>48.3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48.8</c:v>
                </c:pt>
                <c:pt idx="477">
                  <c:v>48.9</c:v>
                </c:pt>
                <c:pt idx="478">
                  <c:v>49</c:v>
                </c:pt>
                <c:pt idx="479">
                  <c:v>49.1</c:v>
                </c:pt>
                <c:pt idx="480">
                  <c:v>49.2</c:v>
                </c:pt>
                <c:pt idx="481">
                  <c:v>49.3</c:v>
                </c:pt>
                <c:pt idx="482">
                  <c:v>49.4</c:v>
                </c:pt>
                <c:pt idx="483">
                  <c:v>49.5</c:v>
                </c:pt>
                <c:pt idx="484">
                  <c:v>49.6</c:v>
                </c:pt>
                <c:pt idx="485">
                  <c:v>49.7</c:v>
                </c:pt>
                <c:pt idx="486">
                  <c:v>49.8</c:v>
                </c:pt>
                <c:pt idx="487">
                  <c:v>49.9</c:v>
                </c:pt>
                <c:pt idx="488">
                  <c:v>48.899999999999501</c:v>
                </c:pt>
                <c:pt idx="489">
                  <c:v>48.999999999999503</c:v>
                </c:pt>
                <c:pt idx="490">
                  <c:v>49.099999999999497</c:v>
                </c:pt>
                <c:pt idx="491">
                  <c:v>49.199999999999399</c:v>
                </c:pt>
                <c:pt idx="492">
                  <c:v>49.2999999999994</c:v>
                </c:pt>
                <c:pt idx="493">
                  <c:v>49.399999999999402</c:v>
                </c:pt>
                <c:pt idx="494">
                  <c:v>49.499999999999403</c:v>
                </c:pt>
                <c:pt idx="495">
                  <c:v>49.599999999999397</c:v>
                </c:pt>
                <c:pt idx="496">
                  <c:v>49.699999999999399</c:v>
                </c:pt>
                <c:pt idx="497">
                  <c:v>49.7999999999994</c:v>
                </c:pt>
                <c:pt idx="498">
                  <c:v>49.899999999999402</c:v>
                </c:pt>
                <c:pt idx="499">
                  <c:v>49.999999999999403</c:v>
                </c:pt>
              </c:numCache>
            </c:numRef>
          </c:xVal>
          <c:yVal>
            <c:numRef>
              <c:f>'LAPYUTA_Ly-alpha_bg'!$D$43:$D$542</c:f>
              <c:numCache>
                <c:formatCode>0.00E+00</c:formatCode>
                <c:ptCount val="500"/>
                <c:pt idx="0">
                  <c:v>0.20881683047327926</c:v>
                </c:pt>
                <c:pt idx="1">
                  <c:v>0.14579797530033825</c:v>
                </c:pt>
                <c:pt idx="2">
                  <c:v>8.3127890450938102E-2</c:v>
                </c:pt>
                <c:pt idx="3">
                  <c:v>6.6387804587752994E-2</c:v>
                </c:pt>
                <c:pt idx="4">
                  <c:v>5.4504945137535961E-2</c:v>
                </c:pt>
                <c:pt idx="5">
                  <c:v>4.5774559340555653E-2</c:v>
                </c:pt>
                <c:pt idx="6">
                  <c:v>3.9174115663895837E-2</c:v>
                </c:pt>
                <c:pt idx="7">
                  <c:v>3.4062244886334768E-2</c:v>
                </c:pt>
                <c:pt idx="8">
                  <c:v>3.002109166998514E-2</c:v>
                </c:pt>
                <c:pt idx="9">
                  <c:v>2.6769400859500879E-2</c:v>
                </c:pt>
                <c:pt idx="10">
                  <c:v>2.4112438211467052E-2</c:v>
                </c:pt>
                <c:pt idx="11">
                  <c:v>2.1912009475210777E-2</c:v>
                </c:pt>
                <c:pt idx="12">
                  <c:v>2.006789260864587E-2</c:v>
                </c:pt>
                <c:pt idx="13">
                  <c:v>1.8505986683657938E-2</c:v>
                </c:pt>
                <c:pt idx="14">
                  <c:v>1.717056085256069E-2</c:v>
                </c:pt>
                <c:pt idx="15">
                  <c:v>1.601904662243378E-2</c:v>
                </c:pt>
                <c:pt idx="16">
                  <c:v>1.5018476569440609E-2</c:v>
                </c:pt>
                <c:pt idx="17">
                  <c:v>1.4142996021387459E-2</c:v>
                </c:pt>
                <c:pt idx="18">
                  <c:v>1.3372095507844486E-2</c:v>
                </c:pt>
                <c:pt idx="19">
                  <c:v>1.268933354169605E-2</c:v>
                </c:pt>
                <c:pt idx="20">
                  <c:v>1.2081405709537765E-2</c:v>
                </c:pt>
                <c:pt idx="21">
                  <c:v>1.1537448126094542E-2</c:v>
                </c:pt>
                <c:pt idx="22">
                  <c:v>1.1048518952922717E-2</c:v>
                </c:pt>
                <c:pt idx="23">
                  <c:v>1.0607202990955645E-2</c:v>
                </c:pt>
                <c:pt idx="24">
                  <c:v>1.0207306614487531E-2</c:v>
                </c:pt>
                <c:pt idx="25">
                  <c:v>9.843625371096747E-3</c:v>
                </c:pt>
                <c:pt idx="26">
                  <c:v>9.5117553120624282E-3</c:v>
                </c:pt>
                <c:pt idx="27">
                  <c:v>9.2079531595296218E-3</c:v>
                </c:pt>
                <c:pt idx="28">
                  <c:v>8.9290173569489002E-3</c:v>
                </c:pt>
                <c:pt idx="29">
                  <c:v>8.6721974003140315E-3</c:v>
                </c:pt>
                <c:pt idx="30">
                  <c:v>8.4351181608412502E-3</c:v>
                </c:pt>
                <c:pt idx="31">
                  <c:v>8.215720639315905E-3</c:v>
                </c:pt>
                <c:pt idx="32">
                  <c:v>8.215720639315905E-3</c:v>
                </c:pt>
                <c:pt idx="33">
                  <c:v>8.0122117545829187E-3</c:v>
                </c:pt>
                <c:pt idx="34">
                  <c:v>7.8230240172236266E-3</c:v>
                </c:pt>
                <c:pt idx="35">
                  <c:v>7.6467821425025145E-3</c:v>
                </c:pt>
                <c:pt idx="36">
                  <c:v>7.4822747695691416E-3</c:v>
                </c:pt>
                <c:pt idx="37">
                  <c:v>7.328432399817065E-3</c:v>
                </c:pt>
                <c:pt idx="38">
                  <c:v>7.1843063172149111E-3</c:v>
                </c:pt>
                <c:pt idx="39">
                  <c:v>7.0490535968648028E-3</c:v>
                </c:pt>
                <c:pt idx="40">
                  <c:v>6.9219224408848578E-3</c:v>
                </c:pt>
                <c:pt idx="41">
                  <c:v>6.8022407875321742E-3</c:v>
                </c:pt>
                <c:pt idx="42">
                  <c:v>6.6894064260164809E-3</c:v>
                </c:pt>
                <c:pt idx="43">
                  <c:v>6.5828778314266853E-3</c:v>
                </c:pt>
                <c:pt idx="44">
                  <c:v>6.4821671599961739E-3</c:v>
                </c:pt>
                <c:pt idx="45">
                  <c:v>6.3868342263402513E-3</c:v>
                </c:pt>
                <c:pt idx="46">
                  <c:v>6.2964807425528397E-3</c:v>
                </c:pt>
                <c:pt idx="47">
                  <c:v>6.2107451464864603E-3</c:v>
                </c:pt>
                <c:pt idx="48">
                  <c:v>6.1292991321172819E-3</c:v>
                </c:pt>
                <c:pt idx="49">
                  <c:v>6.0518437871213155E-3</c:v>
                </c:pt>
                <c:pt idx="50">
                  <c:v>5.9781067124227566E-3</c:v>
                </c:pt>
                <c:pt idx="51">
                  <c:v>5.9078383561646085E-3</c:v>
                </c:pt>
                <c:pt idx="52">
                  <c:v>5.8408109008069057E-3</c:v>
                </c:pt>
                <c:pt idx="53">
                  <c:v>5.7768151862806257E-3</c:v>
                </c:pt>
                <c:pt idx="54">
                  <c:v>5.7156590079026279E-3</c:v>
                </c:pt>
                <c:pt idx="55">
                  <c:v>5.657165938009058E-3</c:v>
                </c:pt>
                <c:pt idx="56">
                  <c:v>5.6011731001518027E-3</c:v>
                </c:pt>
                <c:pt idx="57">
                  <c:v>5.5475302525911426E-3</c:v>
                </c:pt>
                <c:pt idx="58">
                  <c:v>5.4960988717884102E-3</c:v>
                </c:pt>
                <c:pt idx="59">
                  <c:v>5.446750450320917E-3</c:v>
                </c:pt>
                <c:pt idx="60">
                  <c:v>5.3993663659523362E-3</c:v>
                </c:pt>
                <c:pt idx="61">
                  <c:v>5.3538361140828203E-3</c:v>
                </c:pt>
                <c:pt idx="62">
                  <c:v>5.3100573077490094E-3</c:v>
                </c:pt>
                <c:pt idx="63">
                  <c:v>5.267934826581484E-3</c:v>
                </c:pt>
                <c:pt idx="64">
                  <c:v>5.2273801621566703E-3</c:v>
                </c:pt>
                <c:pt idx="65">
                  <c:v>5.1883105669543071E-3</c:v>
                </c:pt>
                <c:pt idx="66">
                  <c:v>5.1506491198222504E-3</c:v>
                </c:pt>
                <c:pt idx="67">
                  <c:v>5.1143236130747E-3</c:v>
                </c:pt>
                <c:pt idx="68">
                  <c:v>5.0792671416754935E-3</c:v>
                </c:pt>
                <c:pt idx="69">
                  <c:v>5.0454165320826579E-3</c:v>
                </c:pt>
                <c:pt idx="70">
                  <c:v>5.0127129968965132E-3</c:v>
                </c:pt>
                <c:pt idx="71">
                  <c:v>4.9811010874227018E-3</c:v>
                </c:pt>
                <c:pt idx="72">
                  <c:v>4.9505290209962546E-3</c:v>
                </c:pt>
                <c:pt idx="73">
                  <c:v>4.9209480917982787E-3</c:v>
                </c:pt>
                <c:pt idx="74">
                  <c:v>4.8923124744615389E-3</c:v>
                </c:pt>
                <c:pt idx="75">
                  <c:v>4.8645790276760281E-3</c:v>
                </c:pt>
                <c:pt idx="76">
                  <c:v>4.8377072287241456E-3</c:v>
                </c:pt>
                <c:pt idx="77">
                  <c:v>4.8116588461566568E-3</c:v>
                </c:pt>
                <c:pt idx="78">
                  <c:v>4.7863978088630672E-3</c:v>
                </c:pt>
                <c:pt idx="79">
                  <c:v>4.7618900096771909E-3</c:v>
                </c:pt>
                <c:pt idx="80">
                  <c:v>4.7381033053771554E-3</c:v>
                </c:pt>
                <c:pt idx="81">
                  <c:v>4.7150073857557765E-3</c:v>
                </c:pt>
                <c:pt idx="82">
                  <c:v>4.6925734462965043E-3</c:v>
                </c:pt>
                <c:pt idx="83">
                  <c:v>4.6707742536382397E-3</c:v>
                </c:pt>
                <c:pt idx="84">
                  <c:v>4.6495840146457109E-3</c:v>
                </c:pt>
                <c:pt idx="85">
                  <c:v>4.6289783109446647E-3</c:v>
                </c:pt>
                <c:pt idx="86">
                  <c:v>4.6089340334570508E-3</c:v>
                </c:pt>
                <c:pt idx="87">
                  <c:v>4.5894290550769767E-3</c:v>
                </c:pt>
                <c:pt idx="88">
                  <c:v>4.570442623459567E-3</c:v>
                </c:pt>
                <c:pt idx="89">
                  <c:v>4.5519548373024786E-3</c:v>
                </c:pt>
                <c:pt idx="90">
                  <c:v>4.5339468427403355E-3</c:v>
                </c:pt>
                <c:pt idx="91">
                  <c:v>4.5164006369502949E-3</c:v>
                </c:pt>
                <c:pt idx="92">
                  <c:v>4.4992991990816696E-3</c:v>
                </c:pt>
                <c:pt idx="93">
                  <c:v>4.4826262283966878E-3</c:v>
                </c:pt>
                <c:pt idx="94">
                  <c:v>4.4663662752001104E-3</c:v>
                </c:pt>
                <c:pt idx="95">
                  <c:v>4.4505044789799903E-3</c:v>
                </c:pt>
                <c:pt idx="96">
                  <c:v>4.435026830266915E-3</c:v>
                </c:pt>
                <c:pt idx="97">
                  <c:v>4.4199197778451473E-3</c:v>
                </c:pt>
                <c:pt idx="98">
                  <c:v>4.4051704906118601E-3</c:v>
                </c:pt>
                <c:pt idx="99">
                  <c:v>4.3907667921123323E-3</c:v>
                </c:pt>
                <c:pt idx="100">
                  <c:v>4.3766968332158906E-3</c:v>
                </c:pt>
                <c:pt idx="101">
                  <c:v>4.3629494849047792E-3</c:v>
                </c:pt>
                <c:pt idx="102">
                  <c:v>4.3495140109501059E-3</c:v>
                </c:pt>
                <c:pt idx="103">
                  <c:v>4.3363800679118349E-3</c:v>
                </c:pt>
                <c:pt idx="104">
                  <c:v>4.3235379669980378E-3</c:v>
                </c:pt>
                <c:pt idx="105">
                  <c:v>4.3109781503464046E-3</c:v>
                </c:pt>
                <c:pt idx="106">
                  <c:v>4.2986916492779199E-3</c:v>
                </c:pt>
                <c:pt idx="107">
                  <c:v>4.2866698879024303E-3</c:v>
                </c:pt>
                <c:pt idx="108">
                  <c:v>4.2749044212594027E-3</c:v>
                </c:pt>
                <c:pt idx="109">
                  <c:v>4.2633873935715959E-3</c:v>
                </c:pt>
                <c:pt idx="110">
                  <c:v>4.252111210921011E-3</c:v>
                </c:pt>
                <c:pt idx="111">
                  <c:v>4.2410684103192714E-3</c:v>
                </c:pt>
                <c:pt idx="112">
                  <c:v>4.230251987031669E-3</c:v>
                </c:pt>
                <c:pt idx="113">
                  <c:v>4.219655198182742E-3</c:v>
                </c:pt>
                <c:pt idx="114">
                  <c:v>4.2092715627562649E-3</c:v>
                </c:pt>
                <c:pt idx="115">
                  <c:v>4.1990947961304485E-3</c:v>
                </c:pt>
                <c:pt idx="116">
                  <c:v>4.1891188755427376E-3</c:v>
                </c:pt>
                <c:pt idx="117">
                  <c:v>4.1793379746250144E-3</c:v>
                </c:pt>
                <c:pt idx="118">
                  <c:v>4.1697465288684007E-3</c:v>
                </c:pt>
                <c:pt idx="119">
                  <c:v>4.1603392356232621E-3</c:v>
                </c:pt>
                <c:pt idx="120">
                  <c:v>4.151110857704767E-3</c:v>
                </c:pt>
                <c:pt idx="121">
                  <c:v>4.1420564852521422E-3</c:v>
                </c:pt>
                <c:pt idx="122">
                  <c:v>4.1331712084046127E-3</c:v>
                </c:pt>
                <c:pt idx="123">
                  <c:v>4.1244504446254562E-3</c:v>
                </c:pt>
                <c:pt idx="124">
                  <c:v>4.1158897423075672E-3</c:v>
                </c:pt>
                <c:pt idx="125">
                  <c:v>4.1074847807734656E-3</c:v>
                </c:pt>
                <c:pt idx="126">
                  <c:v>4.0992314357401012E-3</c:v>
                </c:pt>
                <c:pt idx="127">
                  <c:v>4.0911256483892296E-3</c:v>
                </c:pt>
                <c:pt idx="128">
                  <c:v>4.0831635562970457E-3</c:v>
                </c:pt>
                <c:pt idx="129">
                  <c:v>4.0753414279693558E-3</c:v>
                </c:pt>
                <c:pt idx="130">
                  <c:v>4.0676555973767868E-3</c:v>
                </c:pt>
                <c:pt idx="131">
                  <c:v>4.0601026603491949E-3</c:v>
                </c:pt>
                <c:pt idx="132">
                  <c:v>4.0526792127164469E-3</c:v>
                </c:pt>
                <c:pt idx="133">
                  <c:v>4.0453819157732131E-3</c:v>
                </c:pt>
                <c:pt idx="134">
                  <c:v>4.0382076926734111E-3</c:v>
                </c:pt>
                <c:pt idx="135">
                  <c:v>4.0311534011061413E-3</c:v>
                </c:pt>
                <c:pt idx="136">
                  <c:v>4.0242162260845614E-3</c:v>
                </c:pt>
                <c:pt idx="137">
                  <c:v>4.0173931562273958E-3</c:v>
                </c:pt>
                <c:pt idx="138">
                  <c:v>4.0106815074774198E-3</c:v>
                </c:pt>
                <c:pt idx="139">
                  <c:v>4.0040785303125988E-3</c:v>
                </c:pt>
                <c:pt idx="140">
                  <c:v>3.9975817370701428E-3</c:v>
                </c:pt>
                <c:pt idx="141">
                  <c:v>3.9911885091576367E-3</c:v>
                </c:pt>
                <c:pt idx="142">
                  <c:v>3.9848964243770976E-3</c:v>
                </c:pt>
                <c:pt idx="143">
                  <c:v>3.978703125995354E-3</c:v>
                </c:pt>
                <c:pt idx="144">
                  <c:v>3.9726063227440442E-3</c:v>
                </c:pt>
                <c:pt idx="145">
                  <c:v>3.9666037888196172E-3</c:v>
                </c:pt>
                <c:pt idx="146">
                  <c:v>3.9606933638833318E-3</c:v>
                </c:pt>
                <c:pt idx="147">
                  <c:v>3.9548730185260672E-3</c:v>
                </c:pt>
                <c:pt idx="148">
                  <c:v>3.9491405924090821E-3</c:v>
                </c:pt>
                <c:pt idx="149">
                  <c:v>3.9434942525176887E-3</c:v>
                </c:pt>
                <c:pt idx="150">
                  <c:v>3.9379319694427635E-3</c:v>
                </c:pt>
                <c:pt idx="151">
                  <c:v>3.93245197563443E-3</c:v>
                </c:pt>
                <c:pt idx="152">
                  <c:v>3.927052398799113E-3</c:v>
                </c:pt>
                <c:pt idx="153">
                  <c:v>3.921731530305261E-3</c:v>
                </c:pt>
                <c:pt idx="154">
                  <c:v>3.9164876615213262E-3</c:v>
                </c:pt>
                <c:pt idx="155">
                  <c:v>3.9113191296411233E-3</c:v>
                </c:pt>
                <c:pt idx="156">
                  <c:v>3.9062243176838395E-3</c:v>
                </c:pt>
                <c:pt idx="157">
                  <c:v>3.9012016872264311E-3</c:v>
                </c:pt>
                <c:pt idx="158">
                  <c:v>3.8962496932993737E-3</c:v>
                </c:pt>
                <c:pt idx="159">
                  <c:v>3.8913668760373978E-3</c:v>
                </c:pt>
                <c:pt idx="160">
                  <c:v>3.8865517952146752E-3</c:v>
                </c:pt>
                <c:pt idx="161">
                  <c:v>3.8818030367913027E-3</c:v>
                </c:pt>
                <c:pt idx="162">
                  <c:v>3.8771192783781127E-3</c:v>
                </c:pt>
                <c:pt idx="163">
                  <c:v>3.8724991452140866E-3</c:v>
                </c:pt>
                <c:pt idx="164">
                  <c:v>3.8679413803748668E-3</c:v>
                </c:pt>
                <c:pt idx="165">
                  <c:v>3.8634447269360953E-3</c:v>
                </c:pt>
                <c:pt idx="166">
                  <c:v>3.8590079541593364E-3</c:v>
                </c:pt>
                <c:pt idx="167">
                  <c:v>3.8546298771315241E-3</c:v>
                </c:pt>
                <c:pt idx="168">
                  <c:v>3.8503093502184772E-3</c:v>
                </c:pt>
                <c:pt idx="169">
                  <c:v>3.8460452212395338E-3</c:v>
                </c:pt>
                <c:pt idx="170">
                  <c:v>3.8418364100253244E-3</c:v>
                </c:pt>
                <c:pt idx="171">
                  <c:v>3.8376818167670341E-3</c:v>
                </c:pt>
                <c:pt idx="172">
                  <c:v>3.8335804333065838E-3</c:v>
                </c:pt>
                <c:pt idx="173">
                  <c:v>3.829531218753489E-3</c:v>
                </c:pt>
                <c:pt idx="174">
                  <c:v>3.8255331845891151E-3</c:v>
                </c:pt>
                <c:pt idx="175">
                  <c:v>3.8215853750272295E-3</c:v>
                </c:pt>
                <c:pt idx="176">
                  <c:v>3.8176868146421591E-3</c:v>
                </c:pt>
                <c:pt idx="177">
                  <c:v>3.8138366196589649E-3</c:v>
                </c:pt>
                <c:pt idx="178">
                  <c:v>3.8100338735702999E-3</c:v>
                </c:pt>
                <c:pt idx="179">
                  <c:v>3.8062777056941904E-3</c:v>
                </c:pt>
                <c:pt idx="180">
                  <c:v>3.7989017069559724E-3</c:v>
                </c:pt>
                <c:pt idx="181">
                  <c:v>3.7952802132876829E-3</c:v>
                </c:pt>
                <c:pt idx="182">
                  <c:v>3.7917020114984681E-3</c:v>
                </c:pt>
                <c:pt idx="183">
                  <c:v>3.7881662898246798E-3</c:v>
                </c:pt>
                <c:pt idx="184">
                  <c:v>3.7846723346998848E-3</c:v>
                </c:pt>
                <c:pt idx="185">
                  <c:v>3.7812193801858023E-3</c:v>
                </c:pt>
                <c:pt idx="186">
                  <c:v>3.777806686530077E-3</c:v>
                </c:pt>
                <c:pt idx="187">
                  <c:v>3.7744335990846029E-3</c:v>
                </c:pt>
                <c:pt idx="188">
                  <c:v>3.7710993650040643E-3</c:v>
                </c:pt>
                <c:pt idx="189">
                  <c:v>3.7678033623727604E-3</c:v>
                </c:pt>
                <c:pt idx="190">
                  <c:v>3.7645449038101837E-3</c:v>
                </c:pt>
                <c:pt idx="191">
                  <c:v>3.7613233477611927E-3</c:v>
                </c:pt>
                <c:pt idx="192">
                  <c:v>3.7581380788565704E-3</c:v>
                </c:pt>
                <c:pt idx="193">
                  <c:v>3.7549884817270995E-3</c:v>
                </c:pt>
                <c:pt idx="194">
                  <c:v>3.7518739279106018E-3</c:v>
                </c:pt>
                <c:pt idx="195">
                  <c:v>3.7487938675026685E-3</c:v>
                </c:pt>
                <c:pt idx="196">
                  <c:v>3.745747691680565E-3</c:v>
                </c:pt>
                <c:pt idx="197">
                  <c:v>3.7427348505398839E-3</c:v>
                </c:pt>
                <c:pt idx="198">
                  <c:v>3.7397548007227E-3</c:v>
                </c:pt>
                <c:pt idx="199">
                  <c:v>3.73680701196405E-3</c:v>
                </c:pt>
                <c:pt idx="200">
                  <c:v>3.7338909212665627E-3</c:v>
                </c:pt>
                <c:pt idx="201">
                  <c:v>3.731006044190644E-3</c:v>
                </c:pt>
                <c:pt idx="202">
                  <c:v>3.7281518635642911E-3</c:v>
                </c:pt>
                <c:pt idx="203">
                  <c:v>3.7253278949479079E-3</c:v>
                </c:pt>
                <c:pt idx="204">
                  <c:v>3.7225336604483792E-3</c:v>
                </c:pt>
                <c:pt idx="205">
                  <c:v>3.7197686625331451E-3</c:v>
                </c:pt>
                <c:pt idx="206">
                  <c:v>3.717032456041497E-3</c:v>
                </c:pt>
                <c:pt idx="207">
                  <c:v>3.7143245761732803E-3</c:v>
                </c:pt>
                <c:pt idx="208">
                  <c:v>3.7116445974072296E-3</c:v>
                </c:pt>
                <c:pt idx="209">
                  <c:v>3.7089920680361517E-3</c:v>
                </c:pt>
                <c:pt idx="210">
                  <c:v>3.7063665821782227E-3</c:v>
                </c:pt>
                <c:pt idx="211">
                  <c:v>3.7037676881262523E-3</c:v>
                </c:pt>
                <c:pt idx="212">
                  <c:v>3.7011950127308216E-3</c:v>
                </c:pt>
                <c:pt idx="213">
                  <c:v>3.6986481239241805E-3</c:v>
                </c:pt>
                <c:pt idx="214">
                  <c:v>3.6961266485569127E-3</c:v>
                </c:pt>
                <c:pt idx="215">
                  <c:v>3.6936302134795971E-3</c:v>
                </c:pt>
                <c:pt idx="216">
                  <c:v>3.6911584259033733E-3</c:v>
                </c:pt>
                <c:pt idx="217">
                  <c:v>3.6887108995858598E-3</c:v>
                </c:pt>
                <c:pt idx="218">
                  <c:v>3.6862872941100422E-3</c:v>
                </c:pt>
                <c:pt idx="219">
                  <c:v>3.6838872625124266E-3</c:v>
                </c:pt>
                <c:pt idx="220">
                  <c:v>3.6815104447365551E-3</c:v>
                </c:pt>
                <c:pt idx="221">
                  <c:v>3.6791565003654152E-3</c:v>
                </c:pt>
                <c:pt idx="222">
                  <c:v>3.6768250758890306E-3</c:v>
                </c:pt>
                <c:pt idx="223">
                  <c:v>3.6745158832622356E-3</c:v>
                </c:pt>
                <c:pt idx="224">
                  <c:v>3.6722285689750546E-3</c:v>
                </c:pt>
                <c:pt idx="225">
                  <c:v>3.669962818796398E-3</c:v>
                </c:pt>
                <c:pt idx="226">
                  <c:v>3.6677183446811E-3</c:v>
                </c:pt>
                <c:pt idx="227">
                  <c:v>3.6654948127586282E-3</c:v>
                </c:pt>
                <c:pt idx="228">
                  <c:v>3.6632919611697423E-3</c:v>
                </c:pt>
                <c:pt idx="229">
                  <c:v>3.6611094625903888E-3</c:v>
                </c:pt>
                <c:pt idx="230">
                  <c:v>3.6589470486148453E-3</c:v>
                </c:pt>
                <c:pt idx="231">
                  <c:v>3.6568044246514668E-3</c:v>
                </c:pt>
                <c:pt idx="232">
                  <c:v>3.6546813353874924E-3</c:v>
                </c:pt>
                <c:pt idx="233">
                  <c:v>3.6525774927777558E-3</c:v>
                </c:pt>
                <c:pt idx="234">
                  <c:v>3.6504926284165362E-3</c:v>
                </c:pt>
                <c:pt idx="235">
                  <c:v>3.6484264935375526E-3</c:v>
                </c:pt>
                <c:pt idx="236">
                  <c:v>3.6463788393745274E-3</c:v>
                </c:pt>
                <c:pt idx="237">
                  <c:v>3.6443493778822939E-3</c:v>
                </c:pt>
                <c:pt idx="238">
                  <c:v>3.6423378799340165E-3</c:v>
                </c:pt>
                <c:pt idx="239">
                  <c:v>3.640344129495821E-3</c:v>
                </c:pt>
                <c:pt idx="240">
                  <c:v>3.6383678319760601E-3</c:v>
                </c:pt>
                <c:pt idx="241">
                  <c:v>3.6364088040732661E-3</c:v>
                </c:pt>
                <c:pt idx="242">
                  <c:v>3.6344667904746786E-3</c:v>
                </c:pt>
                <c:pt idx="243">
                  <c:v>3.6325415816929035E-3</c:v>
                </c:pt>
                <c:pt idx="244">
                  <c:v>3.6306329158686998E-3</c:v>
                </c:pt>
                <c:pt idx="245">
                  <c:v>3.6287406227935612E-3</c:v>
                </c:pt>
                <c:pt idx="246">
                  <c:v>3.6268644667941706E-3</c:v>
                </c:pt>
                <c:pt idx="247">
                  <c:v>3.625004231836653E-3</c:v>
                </c:pt>
                <c:pt idx="248">
                  <c:v>3.6231597084336155E-3</c:v>
                </c:pt>
                <c:pt idx="249">
                  <c:v>3.6213307198300708E-3</c:v>
                </c:pt>
                <c:pt idx="250">
                  <c:v>3.6195170238062214E-3</c:v>
                </c:pt>
                <c:pt idx="251">
                  <c:v>3.6177184501535579E-3</c:v>
                </c:pt>
                <c:pt idx="252">
                  <c:v>3.6159348221170944E-3</c:v>
                </c:pt>
                <c:pt idx="253">
                  <c:v>3.6141659105699943E-3</c:v>
                </c:pt>
                <c:pt idx="254">
                  <c:v>3.612411551850232E-3</c:v>
                </c:pt>
                <c:pt idx="255">
                  <c:v>3.610671549563375E-3</c:v>
                </c:pt>
                <c:pt idx="256">
                  <c:v>3.6089457465938815E-3</c:v>
                </c:pt>
                <c:pt idx="257">
                  <c:v>3.6072339269078743E-3</c:v>
                </c:pt>
                <c:pt idx="258">
                  <c:v>3.6055359530292532E-3</c:v>
                </c:pt>
                <c:pt idx="259">
                  <c:v>3.6038516351100678E-3</c:v>
                </c:pt>
                <c:pt idx="260">
                  <c:v>3.6021808094882919E-3</c:v>
                </c:pt>
                <c:pt idx="261">
                  <c:v>3.6005232994089391E-3</c:v>
                </c:pt>
                <c:pt idx="262">
                  <c:v>3.5988789412099821E-3</c:v>
                </c:pt>
                <c:pt idx="263">
                  <c:v>3.5972475908688396E-3</c:v>
                </c:pt>
                <c:pt idx="264">
                  <c:v>3.5956290781770026E-3</c:v>
                </c:pt>
                <c:pt idx="265">
                  <c:v>3.5940232525654091E-3</c:v>
                </c:pt>
                <c:pt idx="266">
                  <c:v>3.5924299569185139E-3</c:v>
                </c:pt>
                <c:pt idx="267">
                  <c:v>3.5908490472137335E-3</c:v>
                </c:pt>
                <c:pt idx="268">
                  <c:v>3.589280359789043E-3</c:v>
                </c:pt>
                <c:pt idx="269">
                  <c:v>3.5877237702613024E-3</c:v>
                </c:pt>
                <c:pt idx="270">
                  <c:v>3.5861791018755237E-3</c:v>
                </c:pt>
                <c:pt idx="271">
                  <c:v>3.5846462433415296E-3</c:v>
                </c:pt>
                <c:pt idx="272">
                  <c:v>3.583125063729699E-3</c:v>
                </c:pt>
                <c:pt idx="273">
                  <c:v>3.5816153862850445E-3</c:v>
                </c:pt>
                <c:pt idx="274">
                  <c:v>3.5801170997173883E-3</c:v>
                </c:pt>
                <c:pt idx="275">
                  <c:v>3.5786300665506289E-3</c:v>
                </c:pt>
                <c:pt idx="276">
                  <c:v>3.5771541689481067E-3</c:v>
                </c:pt>
                <c:pt idx="277">
                  <c:v>3.5756892628872406E-3</c:v>
                </c:pt>
                <c:pt idx="278">
                  <c:v>3.5742352239848895E-3</c:v>
                </c:pt>
                <c:pt idx="279">
                  <c:v>3.572791947497358E-3</c:v>
                </c:pt>
                <c:pt idx="280">
                  <c:v>3.5713592632161382E-3</c:v>
                </c:pt>
                <c:pt idx="281">
                  <c:v>3.5699371056764203E-3</c:v>
                </c:pt>
                <c:pt idx="282">
                  <c:v>3.5685253177626603E-3</c:v>
                </c:pt>
                <c:pt idx="283">
                  <c:v>3.5671237816381979E-3</c:v>
                </c:pt>
                <c:pt idx="284">
                  <c:v>3.5657324187452618E-3</c:v>
                </c:pt>
                <c:pt idx="285">
                  <c:v>3.5643510654218263E-3</c:v>
                </c:pt>
                <c:pt idx="286">
                  <c:v>3.5629796496565989E-3</c:v>
                </c:pt>
                <c:pt idx="287">
                  <c:v>3.5616180405199601E-3</c:v>
                </c:pt>
                <c:pt idx="288">
                  <c:v>3.5602661398146944E-3</c:v>
                </c:pt>
                <c:pt idx="289">
                  <c:v>3.5589238231576604E-3</c:v>
                </c:pt>
                <c:pt idx="290">
                  <c:v>3.5575910054446067E-3</c:v>
                </c:pt>
                <c:pt idx="291">
                  <c:v>3.5562675753853558E-3</c:v>
                </c:pt>
                <c:pt idx="292">
                  <c:v>3.5549534151432475E-3</c:v>
                </c:pt>
                <c:pt idx="293">
                  <c:v>3.5536484330675488E-3</c:v>
                </c:pt>
                <c:pt idx="294">
                  <c:v>3.5523525375075241E-3</c:v>
                </c:pt>
                <c:pt idx="295">
                  <c:v>3.5510656171729967E-3</c:v>
                </c:pt>
                <c:pt idx="296">
                  <c:v>3.5497876000526742E-3</c:v>
                </c:pt>
                <c:pt idx="297">
                  <c:v>3.5485183748563804E-3</c:v>
                </c:pt>
                <c:pt idx="298">
                  <c:v>3.547257836840418E-3</c:v>
                </c:pt>
                <c:pt idx="299">
                  <c:v>3.546005887807571E-3</c:v>
                </c:pt>
                <c:pt idx="300">
                  <c:v>3.544762468839511E-3</c:v>
                </c:pt>
                <c:pt idx="301">
                  <c:v>3.5435274490066174E-3</c:v>
                </c:pt>
                <c:pt idx="302">
                  <c:v>3.542300795576484E-3</c:v>
                </c:pt>
                <c:pt idx="303">
                  <c:v>3.5410823645265288E-3</c:v>
                </c:pt>
                <c:pt idx="304">
                  <c:v>3.5398720969384225E-3</c:v>
                </c:pt>
                <c:pt idx="305">
                  <c:v>3.5386698880684685E-3</c:v>
                </c:pt>
                <c:pt idx="306">
                  <c:v>3.5374756920912988E-3</c:v>
                </c:pt>
                <c:pt idx="307">
                  <c:v>3.5362893911702565E-3</c:v>
                </c:pt>
                <c:pt idx="308">
                  <c:v>3.5351109132940482E-3</c:v>
                </c:pt>
                <c:pt idx="309">
                  <c:v>3.5339401799049041E-3</c:v>
                </c:pt>
                <c:pt idx="310">
                  <c:v>3.5327771124450489E-3</c:v>
                </c:pt>
                <c:pt idx="311">
                  <c:v>3.5316216258102309E-3</c:v>
                </c:pt>
                <c:pt idx="312">
                  <c:v>3.5304736610821202E-3</c:v>
                </c:pt>
                <c:pt idx="313">
                  <c:v>3.5293331135170208E-3</c:v>
                </c:pt>
                <c:pt idx="314">
                  <c:v>3.5281999241966026E-3</c:v>
                </c:pt>
                <c:pt idx="315">
                  <c:v>3.5270740145630945E-3</c:v>
                </c:pt>
                <c:pt idx="316">
                  <c:v>3.5259553256981649E-3</c:v>
                </c:pt>
                <c:pt idx="317">
                  <c:v>3.5248437659510818E-3</c:v>
                </c:pt>
                <c:pt idx="318">
                  <c:v>3.5237392633105527E-3</c:v>
                </c:pt>
                <c:pt idx="319">
                  <c:v>3.5226417654047296E-3</c:v>
                </c:pt>
                <c:pt idx="320">
                  <c:v>3.5215511871293588E-3</c:v>
                </c:pt>
                <c:pt idx="321">
                  <c:v>3.5204674761125918E-3</c:v>
                </c:pt>
                <c:pt idx="322">
                  <c:v>3.519390547250176E-3</c:v>
                </c:pt>
                <c:pt idx="323">
                  <c:v>3.518320328530819E-3</c:v>
                </c:pt>
                <c:pt idx="324">
                  <c:v>3.5172567872221168E-3</c:v>
                </c:pt>
                <c:pt idx="325">
                  <c:v>3.5161998251268525E-3</c:v>
                </c:pt>
                <c:pt idx="326">
                  <c:v>3.5151493898731797E-3</c:v>
                </c:pt>
                <c:pt idx="327">
                  <c:v>3.514105415996286E-3</c:v>
                </c:pt>
                <c:pt idx="328">
                  <c:v>3.5130678511243242E-3</c:v>
                </c:pt>
                <c:pt idx="329">
                  <c:v>3.5120366232460035E-3</c:v>
                </c:pt>
                <c:pt idx="330">
                  <c:v>3.5110116865359558E-3</c:v>
                </c:pt>
                <c:pt idx="331">
                  <c:v>3.5099929558899271E-3</c:v>
                </c:pt>
                <c:pt idx="332">
                  <c:v>3.5089803658431081E-3</c:v>
                </c:pt>
                <c:pt idx="333">
                  <c:v>3.507973909849017E-3</c:v>
                </c:pt>
                <c:pt idx="334">
                  <c:v>3.5069734766174786E-3</c:v>
                </c:pt>
                <c:pt idx="335">
                  <c:v>3.5059790334160843E-3</c:v>
                </c:pt>
                <c:pt idx="336">
                  <c:v>3.5049905213265075E-3</c:v>
                </c:pt>
                <c:pt idx="337">
                  <c:v>3.5040078683374544E-3</c:v>
                </c:pt>
                <c:pt idx="338">
                  <c:v>3.5030310482630023E-3</c:v>
                </c:pt>
                <c:pt idx="339">
                  <c:v>3.5020599956383414E-3</c:v>
                </c:pt>
                <c:pt idx="340">
                  <c:v>3.501094644998661E-3</c:v>
                </c:pt>
                <c:pt idx="341">
                  <c:v>3.5001349439721108E-3</c:v>
                </c:pt>
                <c:pt idx="342">
                  <c:v>3.4991808663727697E-3</c:v>
                </c:pt>
                <c:pt idx="343">
                  <c:v>3.4982323205499013E-3</c:v>
                </c:pt>
                <c:pt idx="344">
                  <c:v>3.4972892868640635E-3</c:v>
                </c:pt>
                <c:pt idx="345">
                  <c:v>3.4963517129434078E-3</c:v>
                </c:pt>
                <c:pt idx="346">
                  <c:v>3.4954195333231231E-3</c:v>
                </c:pt>
                <c:pt idx="347">
                  <c:v>3.4944926956313625E-3</c:v>
                </c:pt>
                <c:pt idx="348">
                  <c:v>3.4935711867751626E-3</c:v>
                </c:pt>
                <c:pt idx="349">
                  <c:v>3.4926549085573088E-3</c:v>
                </c:pt>
                <c:pt idx="350">
                  <c:v>3.4917438544313194E-3</c:v>
                </c:pt>
                <c:pt idx="351">
                  <c:v>3.4908379458394229E-3</c:v>
                </c:pt>
                <c:pt idx="352">
                  <c:v>3.4899371696886562E-3</c:v>
                </c:pt>
                <c:pt idx="353">
                  <c:v>3.4890414670606909E-3</c:v>
                </c:pt>
                <c:pt idx="354">
                  <c:v>3.4881507659442344E-3</c:v>
                </c:pt>
                <c:pt idx="355">
                  <c:v>3.4872650532463264E-3</c:v>
                </c:pt>
                <c:pt idx="356">
                  <c:v>3.486384289688079E-3</c:v>
                </c:pt>
                <c:pt idx="357">
                  <c:v>3.4855084032582016E-3</c:v>
                </c:pt>
                <c:pt idx="358">
                  <c:v>3.4846373677707709E-3</c:v>
                </c:pt>
                <c:pt idx="359">
                  <c:v>3.4837711308539363E-3</c:v>
                </c:pt>
                <c:pt idx="360">
                  <c:v>3.4829096728682578E-3</c:v>
                </c:pt>
                <c:pt idx="361">
                  <c:v>3.4820529283489218E-3</c:v>
                </c:pt>
                <c:pt idx="362">
                  <c:v>3.4812008711100069E-3</c:v>
                </c:pt>
                <c:pt idx="363">
                  <c:v>3.4803534356867014E-3</c:v>
                </c:pt>
                <c:pt idx="364">
                  <c:v>3.4795106155325237E-3</c:v>
                </c:pt>
                <c:pt idx="365">
                  <c:v>3.4786723713685895E-3</c:v>
                </c:pt>
                <c:pt idx="366">
                  <c:v>3.4778386311836063E-3</c:v>
                </c:pt>
                <c:pt idx="367">
                  <c:v>3.4770093753381305E-3</c:v>
                </c:pt>
                <c:pt idx="368">
                  <c:v>3.4761845514603147E-3</c:v>
                </c:pt>
                <c:pt idx="369">
                  <c:v>3.4753641399107144E-3</c:v>
                </c:pt>
                <c:pt idx="370">
                  <c:v>3.4745481079569273E-3</c:v>
                </c:pt>
                <c:pt idx="371">
                  <c:v>3.473736403227103E-3</c:v>
                </c:pt>
                <c:pt idx="372">
                  <c:v>3.472928986442355E-3</c:v>
                </c:pt>
                <c:pt idx="373">
                  <c:v>3.4721258445097212E-3</c:v>
                </c:pt>
                <c:pt idx="374">
                  <c:v>3.4713268988714311E-3</c:v>
                </c:pt>
                <c:pt idx="375">
                  <c:v>3.4705321495274834E-3</c:v>
                </c:pt>
                <c:pt idx="376">
                  <c:v>3.469741570291954E-3</c:v>
                </c:pt>
                <c:pt idx="377">
                  <c:v>3.4689551022465126E-3</c:v>
                </c:pt>
                <c:pt idx="378">
                  <c:v>3.4681727061122757E-3</c:v>
                </c:pt>
                <c:pt idx="379">
                  <c:v>3.4673943687962777E-3</c:v>
                </c:pt>
                <c:pt idx="380">
                  <c:v>3.4666200510196352E-3</c:v>
                </c:pt>
                <c:pt idx="381">
                  <c:v>3.4658497004104996E-3</c:v>
                </c:pt>
                <c:pt idx="382">
                  <c:v>3.465083316968869E-3</c:v>
                </c:pt>
                <c:pt idx="383">
                  <c:v>3.4643208286834551E-3</c:v>
                </c:pt>
                <c:pt idx="384">
                  <c:v>3.4635622551936977E-3</c:v>
                </c:pt>
                <c:pt idx="385">
                  <c:v>3.4628075113953449E-3</c:v>
                </c:pt>
                <c:pt idx="386">
                  <c:v>3.462056603834879E-3</c:v>
                </c:pt>
                <c:pt idx="387">
                  <c:v>3.4613094866869304E-3</c:v>
                </c:pt>
                <c:pt idx="388">
                  <c:v>3.4605661206726138E-3</c:v>
                </c:pt>
                <c:pt idx="389">
                  <c:v>3.4598264926989685E-3</c:v>
                </c:pt>
                <c:pt idx="390">
                  <c:v>3.4590905831265498E-3</c:v>
                </c:pt>
                <c:pt idx="391">
                  <c:v>3.4583583199440664E-3</c:v>
                </c:pt>
                <c:pt idx="392">
                  <c:v>3.4576297031515186E-3</c:v>
                </c:pt>
                <c:pt idx="393">
                  <c:v>3.456904706562982E-3</c:v>
                </c:pt>
                <c:pt idx="394">
                  <c:v>3.4561832908995716E-3</c:v>
                </c:pt>
                <c:pt idx="395">
                  <c:v>3.4554654299753622E-3</c:v>
                </c:pt>
                <c:pt idx="396">
                  <c:v>3.4547510910579492E-3</c:v>
                </c:pt>
                <c:pt idx="397">
                  <c:v>3.4540402545078885E-3</c:v>
                </c:pt>
                <c:pt idx="398">
                  <c:v>3.4533328875927752E-3</c:v>
                </c:pt>
                <c:pt idx="399">
                  <c:v>3.4526289641266866E-3</c:v>
                </c:pt>
                <c:pt idx="400">
                  <c:v>3.4519284644701775E-3</c:v>
                </c:pt>
                <c:pt idx="401">
                  <c:v>3.4512313558908436E-3</c:v>
                </c:pt>
                <c:pt idx="402">
                  <c:v>3.4505376056562808E-3</c:v>
                </c:pt>
                <c:pt idx="403">
                  <c:v>3.4498472006735258E-3</c:v>
                </c:pt>
                <c:pt idx="404">
                  <c:v>3.4491601016636928E-3</c:v>
                </c:pt>
                <c:pt idx="405">
                  <c:v>3.448476295533819E-3</c:v>
                </c:pt>
                <c:pt idx="406">
                  <c:v>3.4477957495515008E-3</c:v>
                </c:pt>
                <c:pt idx="407">
                  <c:v>3.447118430984331E-3</c:v>
                </c:pt>
                <c:pt idx="408">
                  <c:v>3.4464443332858311E-3</c:v>
                </c:pt>
                <c:pt idx="409">
                  <c:v>3.4457734171771128E-3</c:v>
                </c:pt>
                <c:pt idx="410">
                  <c:v>3.4451056695652149E-3</c:v>
                </c:pt>
                <c:pt idx="411">
                  <c:v>3.4444410577177311E-3</c:v>
                </c:pt>
                <c:pt idx="412">
                  <c:v>3.4437795619952196E-3</c:v>
                </c:pt>
                <c:pt idx="413">
                  <c:v>3.443121156211757E-3</c:v>
                </c:pt>
                <c:pt idx="414">
                  <c:v>3.4424658207278993E-3</c:v>
                </c:pt>
                <c:pt idx="415">
                  <c:v>3.4418135293577206E-3</c:v>
                </c:pt>
                <c:pt idx="416">
                  <c:v>3.4411642559152998E-3</c:v>
                </c:pt>
                <c:pt idx="417">
                  <c:v>3.440517987307672E-3</c:v>
                </c:pt>
                <c:pt idx="418">
                  <c:v>3.4398746908024347E-3</c:v>
                </c:pt>
                <c:pt idx="419">
                  <c:v>3.4392343467601421E-3</c:v>
                </c:pt>
                <c:pt idx="420">
                  <c:v>3.4385969420878343E-3</c:v>
                </c:pt>
                <c:pt idx="421">
                  <c:v>3.4379624440531061E-3</c:v>
                </c:pt>
                <c:pt idx="422">
                  <c:v>3.4373308395629935E-3</c:v>
                </c:pt>
                <c:pt idx="423">
                  <c:v>3.4367021024315739E-3</c:v>
                </c:pt>
                <c:pt idx="424">
                  <c:v>3.4360762064729227E-3</c:v>
                </c:pt>
                <c:pt idx="425">
                  <c:v>3.4354531451405595E-3</c:v>
                </c:pt>
                <c:pt idx="426">
                  <c:v>3.4348328857020777E-3</c:v>
                </c:pt>
                <c:pt idx="427">
                  <c:v>3.4342154085180362E-3</c:v>
                </c:pt>
                <c:pt idx="428">
                  <c:v>3.4336007004954717E-3</c:v>
                </c:pt>
                <c:pt idx="429">
                  <c:v>3.43298873544846E-3</c:v>
                </c:pt>
                <c:pt idx="430">
                  <c:v>3.4323794937375584E-3</c:v>
                </c:pt>
                <c:pt idx="431">
                  <c:v>3.4317729557233239E-3</c:v>
                </c:pt>
                <c:pt idx="432">
                  <c:v>3.4311691017663119E-3</c:v>
                </c:pt>
                <c:pt idx="433">
                  <c:v>3.4305679187735636E-3</c:v>
                </c:pt>
                <c:pt idx="434">
                  <c:v>3.4299693805591508E-3</c:v>
                </c:pt>
                <c:pt idx="435">
                  <c:v>3.4293734740301154E-3</c:v>
                </c:pt>
                <c:pt idx="436">
                  <c:v>3.4287801730005295E-3</c:v>
                </c:pt>
                <c:pt idx="437">
                  <c:v>3.4281894643774335E-3</c:v>
                </c:pt>
                <c:pt idx="438">
                  <c:v>3.4276013219749022E-3</c:v>
                </c:pt>
                <c:pt idx="439">
                  <c:v>3.427015739246456E-3</c:v>
                </c:pt>
                <c:pt idx="440">
                  <c:v>3.4264326900061699E-3</c:v>
                </c:pt>
                <c:pt idx="441">
                  <c:v>3.4258521611610802E-3</c:v>
                </c:pt>
                <c:pt idx="442">
                  <c:v>3.4252741330717466E-3</c:v>
                </c:pt>
                <c:pt idx="443">
                  <c:v>3.4246985860987241E-3</c:v>
                </c:pt>
                <c:pt idx="444">
                  <c:v>3.4241255071490524E-3</c:v>
                </c:pt>
                <c:pt idx="445">
                  <c:v>3.4235548765832861E-3</c:v>
                </c:pt>
                <c:pt idx="446">
                  <c:v>3.4229866747619827E-3</c:v>
                </c:pt>
                <c:pt idx="447">
                  <c:v>3.422420882045701E-3</c:v>
                </c:pt>
                <c:pt idx="448">
                  <c:v>3.4218574918879578E-3</c:v>
                </c:pt>
                <c:pt idx="449">
                  <c:v>3.421296484649311E-3</c:v>
                </c:pt>
                <c:pt idx="450">
                  <c:v>3.4207378406903169E-3</c:v>
                </c:pt>
                <c:pt idx="451">
                  <c:v>3.4201815403715322E-3</c:v>
                </c:pt>
                <c:pt idx="452">
                  <c:v>3.4196275771464788E-3</c:v>
                </c:pt>
                <c:pt idx="453">
                  <c:v>3.4190759248292281E-3</c:v>
                </c:pt>
                <c:pt idx="454">
                  <c:v>3.418526576873302E-3</c:v>
                </c:pt>
                <c:pt idx="455">
                  <c:v>3.4179795136392559E-3</c:v>
                </c:pt>
                <c:pt idx="456">
                  <c:v>3.4174347154876487E-3</c:v>
                </c:pt>
                <c:pt idx="457">
                  <c:v>3.4168921758719975E-3</c:v>
                </c:pt>
                <c:pt idx="458">
                  <c:v>3.4163518686063776E-3</c:v>
                </c:pt>
                <c:pt idx="459">
                  <c:v>3.4158137871443104E-3</c:v>
                </c:pt>
                <c:pt idx="460">
                  <c:v>3.4152779118463519E-3</c:v>
                </c:pt>
                <c:pt idx="461">
                  <c:v>3.4147442296195377E-3</c:v>
                </c:pt>
                <c:pt idx="462">
                  <c:v>3.414212727370909E-3</c:v>
                </c:pt>
                <c:pt idx="463">
                  <c:v>3.4136833920075027E-3</c:v>
                </c:pt>
                <c:pt idx="464">
                  <c:v>3.4131562038898743E-3</c:v>
                </c:pt>
                <c:pt idx="465">
                  <c:v>3.4126311499250639E-3</c:v>
                </c:pt>
                <c:pt idx="466">
                  <c:v>3.4121082170201077E-3</c:v>
                </c:pt>
                <c:pt idx="467">
                  <c:v>3.411587392082045E-3</c:v>
                </c:pt>
                <c:pt idx="468">
                  <c:v>3.4110686554714308E-3</c:v>
                </c:pt>
                <c:pt idx="469">
                  <c:v>3.4105520006417864E-3</c:v>
                </c:pt>
                <c:pt idx="470">
                  <c:v>3.4100374079536668E-3</c:v>
                </c:pt>
                <c:pt idx="471">
                  <c:v>3.4095248708605917E-3</c:v>
                </c:pt>
                <c:pt idx="472">
                  <c:v>3.4090143697231181E-3</c:v>
                </c:pt>
                <c:pt idx="473">
                  <c:v>3.4085058979947654E-3</c:v>
                </c:pt>
                <c:pt idx="474">
                  <c:v>3.4079994360360897E-3</c:v>
                </c:pt>
                <c:pt idx="475">
                  <c:v>3.4074949707541299E-3</c:v>
                </c:pt>
                <c:pt idx="476">
                  <c:v>3.4069924890559218E-3</c:v>
                </c:pt>
                <c:pt idx="477">
                  <c:v>3.4064919843949876E-3</c:v>
                </c:pt>
                <c:pt idx="478">
                  <c:v>3.4059934371318806E-3</c:v>
                </c:pt>
                <c:pt idx="479">
                  <c:v>3.4054968407201233E-3</c:v>
                </c:pt>
                <c:pt idx="480">
                  <c:v>3.4050021755202692E-3</c:v>
                </c:pt>
                <c:pt idx="481">
                  <c:v>3.4045094284393587E-3</c:v>
                </c:pt>
                <c:pt idx="482">
                  <c:v>3.4040185994773909E-3</c:v>
                </c:pt>
                <c:pt idx="483">
                  <c:v>3.4035296624484413E-3</c:v>
                </c:pt>
                <c:pt idx="484">
                  <c:v>3.4030426108060297E-3</c:v>
                </c:pt>
                <c:pt idx="485">
                  <c:v>3.4025574380036751E-3</c:v>
                </c:pt>
                <c:pt idx="486">
                  <c:v>3.4020741244019338E-3</c:v>
                </c:pt>
                <c:pt idx="487">
                  <c:v>3.4015926569078434E-3</c:v>
                </c:pt>
                <c:pt idx="488">
                  <c:v>3.4015926569078434E-3</c:v>
                </c:pt>
                <c:pt idx="489">
                  <c:v>3.4015926569078434E-3</c:v>
                </c:pt>
                <c:pt idx="490">
                  <c:v>3.4015926569078434E-3</c:v>
                </c:pt>
                <c:pt idx="491">
                  <c:v>3.4015926569078434E-3</c:v>
                </c:pt>
                <c:pt idx="492">
                  <c:v>3.4015926569078434E-3</c:v>
                </c:pt>
                <c:pt idx="493">
                  <c:v>3.4015926569078434E-3</c:v>
                </c:pt>
                <c:pt idx="494">
                  <c:v>3.4015926569078434E-3</c:v>
                </c:pt>
                <c:pt idx="495">
                  <c:v>3.4015926569078434E-3</c:v>
                </c:pt>
                <c:pt idx="496">
                  <c:v>3.4015926569078434E-3</c:v>
                </c:pt>
                <c:pt idx="497">
                  <c:v>3.4015926569078434E-3</c:v>
                </c:pt>
                <c:pt idx="498">
                  <c:v>3.4015926569078434E-3</c:v>
                </c:pt>
                <c:pt idx="499">
                  <c:v>3.4015926569078434E-3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0-40F2-9B1F-D4815B2C7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Geocentric distance [Re]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 val="autoZero"/>
        <c:crossBetween val="midCat"/>
      </c:valAx>
      <c:valAx>
        <c:axId val="3917776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Total</a:t>
                </a:r>
                <a:r>
                  <a:rPr lang="en-US" altLang="ja-JP" sz="1600" baseline="0"/>
                  <a:t> count rate [cps]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7107453485898"/>
          <c:y val="0.10299151426173694"/>
          <c:w val="0.15861377391217538"/>
          <c:h val="5.462529128505696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'LAPYUTA_Ly-alpha_bg'!$G$41:$I$41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'LAPYUTA_Ly-alpha_bg'!$A$43:$A$282</c:f>
              <c:numCache>
                <c:formatCode>General</c:formatCode>
                <c:ptCount val="24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2.8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3.7</c:v>
                </c:pt>
                <c:pt idx="26">
                  <c:v>3.8</c:v>
                </c:pt>
                <c:pt idx="27">
                  <c:v>3.9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</c:v>
                </c:pt>
                <c:pt idx="31">
                  <c:v>4.3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4.9000000000000004</c:v>
                </c:pt>
                <c:pt idx="38">
                  <c:v>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5.3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5.8</c:v>
                </c:pt>
                <c:pt idx="47">
                  <c:v>5.9</c:v>
                </c:pt>
                <c:pt idx="48">
                  <c:v>6</c:v>
                </c:pt>
                <c:pt idx="49">
                  <c:v>6.1</c:v>
                </c:pt>
                <c:pt idx="50">
                  <c:v>6.2</c:v>
                </c:pt>
                <c:pt idx="51">
                  <c:v>6.3</c:v>
                </c:pt>
                <c:pt idx="52">
                  <c:v>6.4</c:v>
                </c:pt>
                <c:pt idx="53">
                  <c:v>6.5</c:v>
                </c:pt>
                <c:pt idx="54">
                  <c:v>6.6</c:v>
                </c:pt>
                <c:pt idx="55">
                  <c:v>6.7</c:v>
                </c:pt>
                <c:pt idx="56">
                  <c:v>6.8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8.5</c:v>
                </c:pt>
                <c:pt idx="74">
                  <c:v>8.6</c:v>
                </c:pt>
                <c:pt idx="75">
                  <c:v>8.6999999999999993</c:v>
                </c:pt>
                <c:pt idx="76">
                  <c:v>8.8000000000000007</c:v>
                </c:pt>
                <c:pt idx="77">
                  <c:v>8.9</c:v>
                </c:pt>
                <c:pt idx="78">
                  <c:v>9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9.4</c:v>
                </c:pt>
                <c:pt idx="83">
                  <c:v>9.5</c:v>
                </c:pt>
                <c:pt idx="84">
                  <c:v>9.6</c:v>
                </c:pt>
                <c:pt idx="85">
                  <c:v>9.6999999999999993</c:v>
                </c:pt>
                <c:pt idx="86">
                  <c:v>9.8000000000000007</c:v>
                </c:pt>
                <c:pt idx="87">
                  <c:v>9.9</c:v>
                </c:pt>
                <c:pt idx="88">
                  <c:v>10</c:v>
                </c:pt>
                <c:pt idx="89">
                  <c:v>10.1</c:v>
                </c:pt>
                <c:pt idx="90">
                  <c:v>10.199999999999999</c:v>
                </c:pt>
                <c:pt idx="91">
                  <c:v>10.3</c:v>
                </c:pt>
                <c:pt idx="92">
                  <c:v>10.4</c:v>
                </c:pt>
                <c:pt idx="93">
                  <c:v>10.5</c:v>
                </c:pt>
                <c:pt idx="94">
                  <c:v>10.6</c:v>
                </c:pt>
                <c:pt idx="95">
                  <c:v>10.7</c:v>
                </c:pt>
                <c:pt idx="96">
                  <c:v>10.8</c:v>
                </c:pt>
                <c:pt idx="97">
                  <c:v>10.9</c:v>
                </c:pt>
                <c:pt idx="98">
                  <c:v>11</c:v>
                </c:pt>
                <c:pt idx="99">
                  <c:v>11.1</c:v>
                </c:pt>
                <c:pt idx="100">
                  <c:v>11.2</c:v>
                </c:pt>
                <c:pt idx="101">
                  <c:v>11.3</c:v>
                </c:pt>
                <c:pt idx="102">
                  <c:v>11.4</c:v>
                </c:pt>
                <c:pt idx="103">
                  <c:v>11.5</c:v>
                </c:pt>
                <c:pt idx="104">
                  <c:v>11.6</c:v>
                </c:pt>
                <c:pt idx="105">
                  <c:v>11.7</c:v>
                </c:pt>
                <c:pt idx="106">
                  <c:v>11.8</c:v>
                </c:pt>
                <c:pt idx="107">
                  <c:v>11.9</c:v>
                </c:pt>
                <c:pt idx="108">
                  <c:v>12</c:v>
                </c:pt>
                <c:pt idx="109">
                  <c:v>12.1</c:v>
                </c:pt>
                <c:pt idx="110">
                  <c:v>12.2</c:v>
                </c:pt>
                <c:pt idx="111">
                  <c:v>12.3</c:v>
                </c:pt>
                <c:pt idx="112">
                  <c:v>12.4</c:v>
                </c:pt>
                <c:pt idx="113">
                  <c:v>12.5</c:v>
                </c:pt>
                <c:pt idx="114">
                  <c:v>12.6</c:v>
                </c:pt>
                <c:pt idx="115">
                  <c:v>12.7</c:v>
                </c:pt>
                <c:pt idx="116">
                  <c:v>12.8</c:v>
                </c:pt>
                <c:pt idx="117">
                  <c:v>12.9</c:v>
                </c:pt>
                <c:pt idx="118">
                  <c:v>13</c:v>
                </c:pt>
                <c:pt idx="119">
                  <c:v>13.1</c:v>
                </c:pt>
                <c:pt idx="120">
                  <c:v>13.2</c:v>
                </c:pt>
                <c:pt idx="121">
                  <c:v>13.3</c:v>
                </c:pt>
                <c:pt idx="122">
                  <c:v>13.4</c:v>
                </c:pt>
                <c:pt idx="123">
                  <c:v>13.5</c:v>
                </c:pt>
                <c:pt idx="124">
                  <c:v>13.6</c:v>
                </c:pt>
                <c:pt idx="125">
                  <c:v>13.7</c:v>
                </c:pt>
                <c:pt idx="126">
                  <c:v>13.8</c:v>
                </c:pt>
                <c:pt idx="127">
                  <c:v>13.9</c:v>
                </c:pt>
                <c:pt idx="128">
                  <c:v>14</c:v>
                </c:pt>
                <c:pt idx="129">
                  <c:v>14.1</c:v>
                </c:pt>
                <c:pt idx="130">
                  <c:v>14.2</c:v>
                </c:pt>
                <c:pt idx="131">
                  <c:v>14.3</c:v>
                </c:pt>
                <c:pt idx="132">
                  <c:v>14.4</c:v>
                </c:pt>
                <c:pt idx="133">
                  <c:v>14.5</c:v>
                </c:pt>
                <c:pt idx="134">
                  <c:v>14.6</c:v>
                </c:pt>
                <c:pt idx="135">
                  <c:v>14.7</c:v>
                </c:pt>
                <c:pt idx="136">
                  <c:v>14.8</c:v>
                </c:pt>
                <c:pt idx="137">
                  <c:v>14.9</c:v>
                </c:pt>
                <c:pt idx="138">
                  <c:v>15</c:v>
                </c:pt>
                <c:pt idx="139">
                  <c:v>15.1</c:v>
                </c:pt>
                <c:pt idx="140">
                  <c:v>15.2</c:v>
                </c:pt>
                <c:pt idx="141">
                  <c:v>15.3</c:v>
                </c:pt>
                <c:pt idx="142">
                  <c:v>15.4</c:v>
                </c:pt>
                <c:pt idx="143">
                  <c:v>15.5</c:v>
                </c:pt>
                <c:pt idx="144">
                  <c:v>15.6</c:v>
                </c:pt>
                <c:pt idx="145">
                  <c:v>15.7</c:v>
                </c:pt>
                <c:pt idx="146">
                  <c:v>15.8</c:v>
                </c:pt>
                <c:pt idx="147">
                  <c:v>15.9</c:v>
                </c:pt>
                <c:pt idx="148">
                  <c:v>16</c:v>
                </c:pt>
                <c:pt idx="149">
                  <c:v>16.100000000000001</c:v>
                </c:pt>
                <c:pt idx="150">
                  <c:v>16.2</c:v>
                </c:pt>
                <c:pt idx="151">
                  <c:v>16.3</c:v>
                </c:pt>
                <c:pt idx="152">
                  <c:v>16.399999999999999</c:v>
                </c:pt>
                <c:pt idx="153">
                  <c:v>16.5</c:v>
                </c:pt>
                <c:pt idx="154">
                  <c:v>16.600000000000001</c:v>
                </c:pt>
                <c:pt idx="155">
                  <c:v>16.7</c:v>
                </c:pt>
                <c:pt idx="156">
                  <c:v>16.8</c:v>
                </c:pt>
                <c:pt idx="157">
                  <c:v>16.899999999999999</c:v>
                </c:pt>
                <c:pt idx="158">
                  <c:v>17</c:v>
                </c:pt>
                <c:pt idx="159">
                  <c:v>17.100000000000001</c:v>
                </c:pt>
                <c:pt idx="160">
                  <c:v>17.2</c:v>
                </c:pt>
                <c:pt idx="161">
                  <c:v>17.3</c:v>
                </c:pt>
                <c:pt idx="162">
                  <c:v>17.399999999999999</c:v>
                </c:pt>
                <c:pt idx="163">
                  <c:v>17.5</c:v>
                </c:pt>
                <c:pt idx="164">
                  <c:v>17.600000000000001</c:v>
                </c:pt>
                <c:pt idx="165">
                  <c:v>17.7</c:v>
                </c:pt>
                <c:pt idx="166">
                  <c:v>17.8</c:v>
                </c:pt>
                <c:pt idx="167">
                  <c:v>17.899999999999999</c:v>
                </c:pt>
                <c:pt idx="168">
                  <c:v>18</c:v>
                </c:pt>
                <c:pt idx="169">
                  <c:v>18.100000000000001</c:v>
                </c:pt>
                <c:pt idx="170">
                  <c:v>18.2</c:v>
                </c:pt>
                <c:pt idx="171">
                  <c:v>18.3</c:v>
                </c:pt>
                <c:pt idx="172">
                  <c:v>18.399999999999999</c:v>
                </c:pt>
                <c:pt idx="173">
                  <c:v>18.5</c:v>
                </c:pt>
                <c:pt idx="174">
                  <c:v>18.600000000000001</c:v>
                </c:pt>
                <c:pt idx="175">
                  <c:v>18.7</c:v>
                </c:pt>
                <c:pt idx="176">
                  <c:v>18.8</c:v>
                </c:pt>
                <c:pt idx="177">
                  <c:v>18.899999999999999</c:v>
                </c:pt>
                <c:pt idx="178">
                  <c:v>19</c:v>
                </c:pt>
                <c:pt idx="179">
                  <c:v>19.100000000000001</c:v>
                </c:pt>
                <c:pt idx="180">
                  <c:v>19.2</c:v>
                </c:pt>
                <c:pt idx="181">
                  <c:v>19.3</c:v>
                </c:pt>
                <c:pt idx="182">
                  <c:v>19.399999999999999</c:v>
                </c:pt>
                <c:pt idx="183">
                  <c:v>19.5</c:v>
                </c:pt>
                <c:pt idx="184">
                  <c:v>19.600000000000001</c:v>
                </c:pt>
                <c:pt idx="185">
                  <c:v>19.7</c:v>
                </c:pt>
                <c:pt idx="186">
                  <c:v>19.8</c:v>
                </c:pt>
                <c:pt idx="187">
                  <c:v>19.899999999999999</c:v>
                </c:pt>
                <c:pt idx="188">
                  <c:v>20</c:v>
                </c:pt>
                <c:pt idx="189">
                  <c:v>20.100000000000001</c:v>
                </c:pt>
                <c:pt idx="190">
                  <c:v>20.2</c:v>
                </c:pt>
                <c:pt idx="191">
                  <c:v>20.3</c:v>
                </c:pt>
                <c:pt idx="192">
                  <c:v>20.399999999999999</c:v>
                </c:pt>
                <c:pt idx="193">
                  <c:v>20.5</c:v>
                </c:pt>
                <c:pt idx="194">
                  <c:v>20.6</c:v>
                </c:pt>
                <c:pt idx="195">
                  <c:v>20.7</c:v>
                </c:pt>
                <c:pt idx="196">
                  <c:v>20.8</c:v>
                </c:pt>
                <c:pt idx="197">
                  <c:v>20.9</c:v>
                </c:pt>
                <c:pt idx="198">
                  <c:v>21</c:v>
                </c:pt>
                <c:pt idx="199">
                  <c:v>21.1</c:v>
                </c:pt>
                <c:pt idx="200">
                  <c:v>21.2</c:v>
                </c:pt>
                <c:pt idx="201">
                  <c:v>21.3</c:v>
                </c:pt>
                <c:pt idx="202">
                  <c:v>21.4</c:v>
                </c:pt>
                <c:pt idx="203">
                  <c:v>21.5</c:v>
                </c:pt>
                <c:pt idx="204">
                  <c:v>21.6</c:v>
                </c:pt>
                <c:pt idx="205">
                  <c:v>21.7</c:v>
                </c:pt>
                <c:pt idx="206">
                  <c:v>21.8</c:v>
                </c:pt>
                <c:pt idx="207">
                  <c:v>21.9</c:v>
                </c:pt>
                <c:pt idx="208">
                  <c:v>22</c:v>
                </c:pt>
                <c:pt idx="209">
                  <c:v>22.1</c:v>
                </c:pt>
                <c:pt idx="210">
                  <c:v>22.2</c:v>
                </c:pt>
                <c:pt idx="211">
                  <c:v>22.3</c:v>
                </c:pt>
                <c:pt idx="212">
                  <c:v>22.4</c:v>
                </c:pt>
                <c:pt idx="213">
                  <c:v>22.5</c:v>
                </c:pt>
                <c:pt idx="214">
                  <c:v>22.6</c:v>
                </c:pt>
                <c:pt idx="215">
                  <c:v>22.7</c:v>
                </c:pt>
                <c:pt idx="216">
                  <c:v>22.8</c:v>
                </c:pt>
                <c:pt idx="217">
                  <c:v>22.9</c:v>
                </c:pt>
                <c:pt idx="218">
                  <c:v>23</c:v>
                </c:pt>
                <c:pt idx="219">
                  <c:v>23.1</c:v>
                </c:pt>
                <c:pt idx="220">
                  <c:v>23.2</c:v>
                </c:pt>
                <c:pt idx="221">
                  <c:v>23.3</c:v>
                </c:pt>
                <c:pt idx="222">
                  <c:v>23.4</c:v>
                </c:pt>
                <c:pt idx="223">
                  <c:v>23.5</c:v>
                </c:pt>
                <c:pt idx="224">
                  <c:v>23.6</c:v>
                </c:pt>
                <c:pt idx="225">
                  <c:v>23.7</c:v>
                </c:pt>
                <c:pt idx="226">
                  <c:v>23.8</c:v>
                </c:pt>
                <c:pt idx="227">
                  <c:v>23.9</c:v>
                </c:pt>
                <c:pt idx="228">
                  <c:v>24</c:v>
                </c:pt>
                <c:pt idx="229">
                  <c:v>24.1</c:v>
                </c:pt>
                <c:pt idx="230">
                  <c:v>24.2</c:v>
                </c:pt>
                <c:pt idx="231">
                  <c:v>24.3</c:v>
                </c:pt>
                <c:pt idx="232">
                  <c:v>24.4</c:v>
                </c:pt>
                <c:pt idx="233">
                  <c:v>24.5</c:v>
                </c:pt>
                <c:pt idx="234">
                  <c:v>24.6</c:v>
                </c:pt>
                <c:pt idx="235">
                  <c:v>24.7</c:v>
                </c:pt>
                <c:pt idx="236">
                  <c:v>24.8</c:v>
                </c:pt>
                <c:pt idx="237">
                  <c:v>24.9</c:v>
                </c:pt>
                <c:pt idx="238">
                  <c:v>25</c:v>
                </c:pt>
                <c:pt idx="239">
                  <c:v>25.1</c:v>
                </c:pt>
              </c:numCache>
            </c:numRef>
          </c:xVal>
          <c:yVal>
            <c:numRef>
              <c:f>'LAPYUTA_Ly-alpha_bg'!$C$43:$C$282</c:f>
              <c:numCache>
                <c:formatCode>0.00E+00</c:formatCode>
                <c:ptCount val="240"/>
                <c:pt idx="0">
                  <c:v>31897.569</c:v>
                </c:pt>
                <c:pt idx="1">
                  <c:v>22271.198</c:v>
                </c:pt>
                <c:pt idx="2">
                  <c:v>12698.102999999999</c:v>
                </c:pt>
                <c:pt idx="3">
                  <c:v>10140.990900000001</c:v>
                </c:pt>
                <c:pt idx="4">
                  <c:v>8325.8387000000002</c:v>
                </c:pt>
                <c:pt idx="5">
                  <c:v>6992.2389000000003</c:v>
                </c:pt>
                <c:pt idx="6">
                  <c:v>5983.9958999999999</c:v>
                </c:pt>
                <c:pt idx="7">
                  <c:v>5203.1381000000001</c:v>
                </c:pt>
                <c:pt idx="8">
                  <c:v>4585.8364999999994</c:v>
                </c:pt>
                <c:pt idx="9">
                  <c:v>4089.1282999999999</c:v>
                </c:pt>
                <c:pt idx="10">
                  <c:v>3683.2671</c:v>
                </c:pt>
                <c:pt idx="11">
                  <c:v>3347.1432</c:v>
                </c:pt>
                <c:pt idx="12">
                  <c:v>3065.4472999999998</c:v>
                </c:pt>
                <c:pt idx="13">
                  <c:v>2826.8602000000001</c:v>
                </c:pt>
                <c:pt idx="14">
                  <c:v>2622.8688000000002</c:v>
                </c:pt>
                <c:pt idx="15">
                  <c:v>2446.9706000000001</c:v>
                </c:pt>
                <c:pt idx="16">
                  <c:v>2294.1297</c:v>
                </c:pt>
                <c:pt idx="17">
                  <c:v>2160.3967000000002</c:v>
                </c:pt>
                <c:pt idx="18">
                  <c:v>2042.6387</c:v>
                </c:pt>
                <c:pt idx="19">
                  <c:v>1938.3442</c:v>
                </c:pt>
                <c:pt idx="20">
                  <c:v>1845.4809</c:v>
                </c:pt>
                <c:pt idx="21">
                  <c:v>1762.3893</c:v>
                </c:pt>
                <c:pt idx="22">
                  <c:v>1687.7035000000001</c:v>
                </c:pt>
                <c:pt idx="23">
                  <c:v>1620.2908</c:v>
                </c:pt>
                <c:pt idx="24">
                  <c:v>1559.2050999999999</c:v>
                </c:pt>
                <c:pt idx="25">
                  <c:v>1503.6514</c:v>
                </c:pt>
                <c:pt idx="26">
                  <c:v>1452.9569799999999</c:v>
                </c:pt>
                <c:pt idx="27">
                  <c:v>1406.5500400000001</c:v>
                </c:pt>
                <c:pt idx="28">
                  <c:v>1363.9415300000001</c:v>
                </c:pt>
                <c:pt idx="29">
                  <c:v>1324.7112999999999</c:v>
                </c:pt>
                <c:pt idx="30">
                  <c:v>1288.4965400000001</c:v>
                </c:pt>
                <c:pt idx="31">
                  <c:v>1254.9827299999999</c:v>
                </c:pt>
                <c:pt idx="32">
                  <c:v>1254.9827299999999</c:v>
                </c:pt>
                <c:pt idx="33">
                  <c:v>1223.89597</c:v>
                </c:pt>
                <c:pt idx="34">
                  <c:v>1194.9968199999998</c:v>
                </c:pt>
                <c:pt idx="35">
                  <c:v>1168.0752</c:v>
                </c:pt>
                <c:pt idx="36">
                  <c:v>1142.94607</c:v>
                </c:pt>
                <c:pt idx="37">
                  <c:v>1119.44606</c:v>
                </c:pt>
                <c:pt idx="38">
                  <c:v>1097.4302499999999</c:v>
                </c:pt>
                <c:pt idx="39">
                  <c:v>1076.7698799999998</c:v>
                </c:pt>
                <c:pt idx="40">
                  <c:v>1057.3501099999999</c:v>
                </c:pt>
                <c:pt idx="41">
                  <c:v>1039.06828</c:v>
                </c:pt>
                <c:pt idx="42">
                  <c:v>1021.8324</c:v>
                </c:pt>
                <c:pt idx="43">
                  <c:v>1005.55975</c:v>
                </c:pt>
                <c:pt idx="44">
                  <c:v>990.17580999999996</c:v>
                </c:pt>
                <c:pt idx="45">
                  <c:v>975.61333999999999</c:v>
                </c:pt>
                <c:pt idx="46">
                  <c:v>961.81150000000002</c:v>
                </c:pt>
                <c:pt idx="47">
                  <c:v>948.71505999999999</c:v>
                </c:pt>
                <c:pt idx="48">
                  <c:v>936.27386999999999</c:v>
                </c:pt>
                <c:pt idx="49">
                  <c:v>924.44227000000001</c:v>
                </c:pt>
                <c:pt idx="50">
                  <c:v>913.17865000000006</c:v>
                </c:pt>
                <c:pt idx="51">
                  <c:v>902.44488999999999</c:v>
                </c:pt>
                <c:pt idx="52">
                  <c:v>892.20618999999999</c:v>
                </c:pt>
                <c:pt idx="53">
                  <c:v>882.43060000000003</c:v>
                </c:pt>
                <c:pt idx="54">
                  <c:v>873.08875999999998</c:v>
                </c:pt>
                <c:pt idx="55">
                  <c:v>864.15372000000002</c:v>
                </c:pt>
                <c:pt idx="56">
                  <c:v>855.60059999999999</c:v>
                </c:pt>
                <c:pt idx="57">
                  <c:v>847.40644999999995</c:v>
                </c:pt>
                <c:pt idx="58">
                  <c:v>839.55011000000002</c:v>
                </c:pt>
                <c:pt idx="59">
                  <c:v>832.01195000000007</c:v>
                </c:pt>
                <c:pt idx="60">
                  <c:v>824.77385000000004</c:v>
                </c:pt>
                <c:pt idx="61">
                  <c:v>817.81893000000002</c:v>
                </c:pt>
                <c:pt idx="62">
                  <c:v>811.13155000000006</c:v>
                </c:pt>
                <c:pt idx="63">
                  <c:v>804.69718</c:v>
                </c:pt>
                <c:pt idx="64">
                  <c:v>798.50229999999999</c:v>
                </c:pt>
                <c:pt idx="65">
                  <c:v>792.53426999999999</c:v>
                </c:pt>
                <c:pt idx="66">
                  <c:v>786.78134</c:v>
                </c:pt>
                <c:pt idx="67">
                  <c:v>781.23248000000001</c:v>
                </c:pt>
                <c:pt idx="68">
                  <c:v>775.87747000000002</c:v>
                </c:pt>
                <c:pt idx="69">
                  <c:v>770.70666000000006</c:v>
                </c:pt>
                <c:pt idx="70">
                  <c:v>765.71107000000006</c:v>
                </c:pt>
                <c:pt idx="71">
                  <c:v>760.88222999999994</c:v>
                </c:pt>
                <c:pt idx="72">
                  <c:v>756.21222999999998</c:v>
                </c:pt>
                <c:pt idx="73">
                  <c:v>751.69362999999998</c:v>
                </c:pt>
                <c:pt idx="74">
                  <c:v>747.31943000000001</c:v>
                </c:pt>
                <c:pt idx="75">
                  <c:v>743.08303999999998</c:v>
                </c:pt>
                <c:pt idx="76">
                  <c:v>738.97827000000007</c:v>
                </c:pt>
                <c:pt idx="77">
                  <c:v>734.99928</c:v>
                </c:pt>
                <c:pt idx="78">
                  <c:v>731.14056000000005</c:v>
                </c:pt>
                <c:pt idx="79">
                  <c:v>727.39689999999996</c:v>
                </c:pt>
                <c:pt idx="80">
                  <c:v>723.76338999999996</c:v>
                </c:pt>
                <c:pt idx="81">
                  <c:v>720.23540000000003</c:v>
                </c:pt>
                <c:pt idx="82">
                  <c:v>716.80853000000002</c:v>
                </c:pt>
                <c:pt idx="83">
                  <c:v>713.47861999999998</c:v>
                </c:pt>
                <c:pt idx="84">
                  <c:v>710.24172999999996</c:v>
                </c:pt>
                <c:pt idx="85">
                  <c:v>707.09412999999995</c:v>
                </c:pt>
                <c:pt idx="86">
                  <c:v>704.03228999999999</c:v>
                </c:pt>
                <c:pt idx="87">
                  <c:v>701.05282999999997</c:v>
                </c:pt>
                <c:pt idx="88">
                  <c:v>698.15257999999994</c:v>
                </c:pt>
                <c:pt idx="89">
                  <c:v>695.32849999999996</c:v>
                </c:pt>
                <c:pt idx="90">
                  <c:v>692.57771000000002</c:v>
                </c:pt>
                <c:pt idx="91">
                  <c:v>689.89746000000002</c:v>
                </c:pt>
                <c:pt idx="92">
                  <c:v>687.28514999999993</c:v>
                </c:pt>
                <c:pt idx="93">
                  <c:v>684.73829000000001</c:v>
                </c:pt>
                <c:pt idx="94">
                  <c:v>682.25451999999996</c:v>
                </c:pt>
                <c:pt idx="95">
                  <c:v>679.83157000000006</c:v>
                </c:pt>
                <c:pt idx="96">
                  <c:v>677.46730000000002</c:v>
                </c:pt>
                <c:pt idx="97">
                  <c:v>675.15963999999997</c:v>
                </c:pt>
                <c:pt idx="98">
                  <c:v>672.90662999999995</c:v>
                </c:pt>
                <c:pt idx="99">
                  <c:v>670.70641000000001</c:v>
                </c:pt>
                <c:pt idx="100">
                  <c:v>668.55717000000004</c:v>
                </c:pt>
                <c:pt idx="101">
                  <c:v>666.45721000000003</c:v>
                </c:pt>
                <c:pt idx="102">
                  <c:v>664.40489000000002</c:v>
                </c:pt>
                <c:pt idx="103">
                  <c:v>662.39863000000003</c:v>
                </c:pt>
                <c:pt idx="104">
                  <c:v>660.43695000000002</c:v>
                </c:pt>
                <c:pt idx="105">
                  <c:v>658.51838999999995</c:v>
                </c:pt>
                <c:pt idx="106">
                  <c:v>656.64157999999998</c:v>
                </c:pt>
                <c:pt idx="107">
                  <c:v>654.80520999999999</c:v>
                </c:pt>
                <c:pt idx="108">
                  <c:v>653.00799000000006</c:v>
                </c:pt>
                <c:pt idx="109">
                  <c:v>651.24872000000005</c:v>
                </c:pt>
                <c:pt idx="110">
                  <c:v>649.52624000000003</c:v>
                </c:pt>
                <c:pt idx="111">
                  <c:v>647.83941000000004</c:v>
                </c:pt>
                <c:pt idx="112">
                  <c:v>646.18715999999995</c:v>
                </c:pt>
                <c:pt idx="113">
                  <c:v>644.56845999999996</c:v>
                </c:pt>
                <c:pt idx="114">
                  <c:v>642.98231999999996</c:v>
                </c:pt>
                <c:pt idx="115">
                  <c:v>641.42777999999998</c:v>
                </c:pt>
                <c:pt idx="116">
                  <c:v>639.90391999999997</c:v>
                </c:pt>
                <c:pt idx="117">
                  <c:v>638.40985000000001</c:v>
                </c:pt>
                <c:pt idx="118">
                  <c:v>636.94471999999996</c:v>
                </c:pt>
                <c:pt idx="119">
                  <c:v>635.50772000000006</c:v>
                </c:pt>
                <c:pt idx="120">
                  <c:v>634.09805000000006</c:v>
                </c:pt>
                <c:pt idx="121">
                  <c:v>632.71496000000002</c:v>
                </c:pt>
                <c:pt idx="122">
                  <c:v>631.35770000000002</c:v>
                </c:pt>
                <c:pt idx="123">
                  <c:v>630.02557000000002</c:v>
                </c:pt>
                <c:pt idx="124">
                  <c:v>628.71789000000001</c:v>
                </c:pt>
                <c:pt idx="125">
                  <c:v>627.43399999999997</c:v>
                </c:pt>
                <c:pt idx="126">
                  <c:v>626.17327</c:v>
                </c:pt>
                <c:pt idx="127">
                  <c:v>624.93507999999997</c:v>
                </c:pt>
                <c:pt idx="128">
                  <c:v>623.71884</c:v>
                </c:pt>
                <c:pt idx="129">
                  <c:v>622.52397999999994</c:v>
                </c:pt>
                <c:pt idx="130">
                  <c:v>621.34994000000006</c:v>
                </c:pt>
                <c:pt idx="131">
                  <c:v>620.19619999999998</c:v>
                </c:pt>
                <c:pt idx="132">
                  <c:v>619.06223999999997</c:v>
                </c:pt>
                <c:pt idx="133">
                  <c:v>617.94754999999998</c:v>
                </c:pt>
                <c:pt idx="134">
                  <c:v>616.85166000000004</c:v>
                </c:pt>
                <c:pt idx="135">
                  <c:v>615.77409</c:v>
                </c:pt>
                <c:pt idx="136">
                  <c:v>614.71441000000004</c:v>
                </c:pt>
                <c:pt idx="137">
                  <c:v>613.67215999999996</c:v>
                </c:pt>
                <c:pt idx="138">
                  <c:v>612.64693</c:v>
                </c:pt>
                <c:pt idx="139">
                  <c:v>611.63829999999996</c:v>
                </c:pt>
                <c:pt idx="140">
                  <c:v>610.64589000000001</c:v>
                </c:pt>
                <c:pt idx="141">
                  <c:v>609.66930000000002</c:v>
                </c:pt>
                <c:pt idx="142">
                  <c:v>608.70816000000002</c:v>
                </c:pt>
                <c:pt idx="143">
                  <c:v>607.76211000000001</c:v>
                </c:pt>
                <c:pt idx="144">
                  <c:v>606.83079999999995</c:v>
                </c:pt>
                <c:pt idx="145">
                  <c:v>605.91389000000004</c:v>
                </c:pt>
                <c:pt idx="146">
                  <c:v>605.01104999999995</c:v>
                </c:pt>
                <c:pt idx="147">
                  <c:v>604.12197000000003</c:v>
                </c:pt>
                <c:pt idx="148">
                  <c:v>603.24631999999997</c:v>
                </c:pt>
                <c:pt idx="149">
                  <c:v>602.38382000000001</c:v>
                </c:pt>
                <c:pt idx="150">
                  <c:v>601.53416000000004</c:v>
                </c:pt>
                <c:pt idx="151">
                  <c:v>600.69706999999994</c:v>
                </c:pt>
                <c:pt idx="152">
                  <c:v>599.87226399999997</c:v>
                </c:pt>
                <c:pt idx="153">
                  <c:v>599.05948100000001</c:v>
                </c:pt>
                <c:pt idx="154">
                  <c:v>598.25846000000001</c:v>
                </c:pt>
                <c:pt idx="155">
                  <c:v>597.46894699999996</c:v>
                </c:pt>
                <c:pt idx="156">
                  <c:v>596.69069500000001</c:v>
                </c:pt>
                <c:pt idx="157">
                  <c:v>595.92346899999995</c:v>
                </c:pt>
                <c:pt idx="158">
                  <c:v>595.16703299999995</c:v>
                </c:pt>
                <c:pt idx="159">
                  <c:v>594.42116399999998</c:v>
                </c:pt>
                <c:pt idx="160">
                  <c:v>593.68564200000003</c:v>
                </c:pt>
                <c:pt idx="161">
                  <c:v>592.96025099999997</c:v>
                </c:pt>
                <c:pt idx="162">
                  <c:v>592.24478899999997</c:v>
                </c:pt>
                <c:pt idx="163">
                  <c:v>591.53904599999998</c:v>
                </c:pt>
                <c:pt idx="164">
                  <c:v>590.84283000000005</c:v>
                </c:pt>
                <c:pt idx="165">
                  <c:v>590.15594899999996</c:v>
                </c:pt>
                <c:pt idx="166">
                  <c:v>589.47821499999998</c:v>
                </c:pt>
                <c:pt idx="167">
                  <c:v>588.80944699999998</c:v>
                </c:pt>
                <c:pt idx="168">
                  <c:v>588.14946999999995</c:v>
                </c:pt>
                <c:pt idx="169">
                  <c:v>587.498108</c:v>
                </c:pt>
                <c:pt idx="170">
                  <c:v>586.85519599999998</c:v>
                </c:pt>
                <c:pt idx="171">
                  <c:v>586.22056599999996</c:v>
                </c:pt>
                <c:pt idx="172">
                  <c:v>585.594064</c:v>
                </c:pt>
                <c:pt idx="173">
                  <c:v>584.97553100000005</c:v>
                </c:pt>
                <c:pt idx="174">
                  <c:v>584.36481600000002</c:v>
                </c:pt>
                <c:pt idx="175">
                  <c:v>583.76177299999995</c:v>
                </c:pt>
                <c:pt idx="176">
                  <c:v>583.16625299999998</c:v>
                </c:pt>
                <c:pt idx="177">
                  <c:v>582.57812100000001</c:v>
                </c:pt>
                <c:pt idx="178">
                  <c:v>581.99723700000004</c:v>
                </c:pt>
                <c:pt idx="179">
                  <c:v>581.42346799999996</c:v>
                </c:pt>
                <c:pt idx="180">
                  <c:v>580.29675599999996</c:v>
                </c:pt>
                <c:pt idx="181">
                  <c:v>579.743559</c:v>
                </c:pt>
                <c:pt idx="182">
                  <c:v>579.19697499999995</c:v>
                </c:pt>
                <c:pt idx="183">
                  <c:v>578.65688</c:v>
                </c:pt>
                <c:pt idx="184">
                  <c:v>578.12316499999997</c:v>
                </c:pt>
                <c:pt idx="185">
                  <c:v>577.59571300000005</c:v>
                </c:pt>
                <c:pt idx="186">
                  <c:v>577.07441100000005</c:v>
                </c:pt>
                <c:pt idx="187">
                  <c:v>576.55915900000002</c:v>
                </c:pt>
                <c:pt idx="188">
                  <c:v>576.04984200000001</c:v>
                </c:pt>
                <c:pt idx="189">
                  <c:v>575.54636500000004</c:v>
                </c:pt>
                <c:pt idx="190">
                  <c:v>575.04862300000002</c:v>
                </c:pt>
                <c:pt idx="191">
                  <c:v>574.55651799999998</c:v>
                </c:pt>
                <c:pt idx="192">
                  <c:v>574.06995600000005</c:v>
                </c:pt>
                <c:pt idx="193">
                  <c:v>573.588843</c:v>
                </c:pt>
                <c:pt idx="194">
                  <c:v>573.11308299999996</c:v>
                </c:pt>
                <c:pt idx="195">
                  <c:v>572.64259200000004</c:v>
                </c:pt>
                <c:pt idx="196">
                  <c:v>572.177277</c:v>
                </c:pt>
                <c:pt idx="197">
                  <c:v>571.71705399999996</c:v>
                </c:pt>
                <c:pt idx="198">
                  <c:v>571.26184000000001</c:v>
                </c:pt>
                <c:pt idx="199">
                  <c:v>570.811554</c:v>
                </c:pt>
                <c:pt idx="200">
                  <c:v>570.36611000000005</c:v>
                </c:pt>
                <c:pt idx="201">
                  <c:v>569.925434</c:v>
                </c:pt>
                <c:pt idx="202">
                  <c:v>569.48944700000004</c:v>
                </c:pt>
                <c:pt idx="203">
                  <c:v>569.05807500000003</c:v>
                </c:pt>
                <c:pt idx="204">
                  <c:v>568.63124500000004</c:v>
                </c:pt>
                <c:pt idx="205">
                  <c:v>568.20888100000002</c:v>
                </c:pt>
                <c:pt idx="206">
                  <c:v>567.79091500000004</c:v>
                </c:pt>
                <c:pt idx="207">
                  <c:v>567.37727599999994</c:v>
                </c:pt>
                <c:pt idx="208">
                  <c:v>566.96789899999999</c:v>
                </c:pt>
                <c:pt idx="209">
                  <c:v>566.56271500000003</c:v>
                </c:pt>
                <c:pt idx="210">
                  <c:v>566.16166199999998</c:v>
                </c:pt>
                <c:pt idx="211">
                  <c:v>565.76467100000002</c:v>
                </c:pt>
                <c:pt idx="212">
                  <c:v>565.37168499999996</c:v>
                </c:pt>
                <c:pt idx="213">
                  <c:v>564.98263799999995</c:v>
                </c:pt>
                <c:pt idx="214">
                  <c:v>564.59747300000004</c:v>
                </c:pt>
                <c:pt idx="215">
                  <c:v>564.21613300000001</c:v>
                </c:pt>
                <c:pt idx="216">
                  <c:v>563.83855800000003</c:v>
                </c:pt>
                <c:pt idx="217">
                  <c:v>563.46468900000002</c:v>
                </c:pt>
                <c:pt idx="218">
                  <c:v>563.09447399999999</c:v>
                </c:pt>
                <c:pt idx="219">
                  <c:v>562.72785999999996</c:v>
                </c:pt>
                <c:pt idx="220">
                  <c:v>562.36479199999997</c:v>
                </c:pt>
                <c:pt idx="221">
                  <c:v>562.00521800000001</c:v>
                </c:pt>
                <c:pt idx="222">
                  <c:v>561.64908400000002</c:v>
                </c:pt>
                <c:pt idx="223">
                  <c:v>561.29634599999997</c:v>
                </c:pt>
                <c:pt idx="224">
                  <c:v>560.94695000000002</c:v>
                </c:pt>
                <c:pt idx="225">
                  <c:v>560.60084800000004</c:v>
                </c:pt>
                <c:pt idx="226">
                  <c:v>560.25799600000005</c:v>
                </c:pt>
                <c:pt idx="227">
                  <c:v>559.91834300000005</c:v>
                </c:pt>
                <c:pt idx="228">
                  <c:v>559.58184900000003</c:v>
                </c:pt>
                <c:pt idx="229">
                  <c:v>559.24846400000001</c:v>
                </c:pt>
                <c:pt idx="230">
                  <c:v>558.91814699999998</c:v>
                </c:pt>
                <c:pt idx="231">
                  <c:v>558.59085300000004</c:v>
                </c:pt>
                <c:pt idx="232">
                  <c:v>558.26654299999996</c:v>
                </c:pt>
                <c:pt idx="233">
                  <c:v>557.94517299999995</c:v>
                </c:pt>
                <c:pt idx="234">
                  <c:v>557.62670200000002</c:v>
                </c:pt>
                <c:pt idx="235">
                  <c:v>557.31109200000003</c:v>
                </c:pt>
                <c:pt idx="236">
                  <c:v>556.99830499999996</c:v>
                </c:pt>
                <c:pt idx="237">
                  <c:v>556.68829700000003</c:v>
                </c:pt>
                <c:pt idx="238">
                  <c:v>556.381033</c:v>
                </c:pt>
                <c:pt idx="239">
                  <c:v>556.07647999999995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6-4E6C-B905-DE372350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Ly-alpha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LAPYUTA_test!$A$39:$A$538</c:f>
              <c:numCache>
                <c:formatCode>General</c:formatCode>
                <c:ptCount val="500"/>
              </c:numCache>
            </c:numRef>
          </c:xVal>
          <c:yVal>
            <c:numRef>
              <c:f>LAPYUTA_test!$D$39:$D$538</c:f>
              <c:numCache>
                <c:formatCode>0.00E+00</c:formatCode>
                <c:ptCount val="500"/>
                <c:pt idx="0">
                  <c:v>2.020057004623067E-2</c:v>
                </c:pt>
                <c:pt idx="1">
                  <c:v>0.20200570046230673</c:v>
                </c:pt>
                <c:pt idx="2">
                  <c:v>2.0200570046230668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E-4EE2-9F66-5EE4B85C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Geocentric distance [Re]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 val="autoZero"/>
        <c:crossBetween val="midCat"/>
      </c:valAx>
      <c:valAx>
        <c:axId val="3917776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Total</a:t>
                </a:r>
                <a:r>
                  <a:rPr lang="en-US" altLang="ja-JP" sz="1600" baseline="0"/>
                  <a:t> count rate [cps]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7107453485898"/>
          <c:y val="0.10299151426173694"/>
          <c:w val="0.15861377391217538"/>
          <c:h val="5.462529128505696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LAPYUTA_test!$G$37:$I$37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LAPYUTA_test!$A$39:$A$278</c:f>
              <c:numCache>
                <c:formatCode>General</c:formatCode>
                <c:ptCount val="240"/>
              </c:numCache>
            </c:numRef>
          </c:xVal>
          <c:yVal>
            <c:numRef>
              <c:f>LAPYUTA_test!$C$39:$C$278</c:f>
              <c:numCache>
                <c:formatCode>0.00E+00</c:formatCode>
                <c:ptCount val="2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0-4853-A9CF-6511C2D2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UVSPEX_normal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LAPYUTA_for_stellar_20240830!$A$23:$A$193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LAPYUTA_for_stellar_20240830!$D$23:$D$193</c:f>
              <c:numCache>
                <c:formatCode>0.00E+00</c:formatCode>
                <c:ptCount val="171"/>
                <c:pt idx="0">
                  <c:v>1965.2221878670207</c:v>
                </c:pt>
                <c:pt idx="1">
                  <c:v>1864.3734509470937</c:v>
                </c:pt>
                <c:pt idx="2">
                  <c:v>1757.748128005805</c:v>
                </c:pt>
                <c:pt idx="3">
                  <c:v>1644.2227946417274</c:v>
                </c:pt>
                <c:pt idx="4">
                  <c:v>1522.2544844180943</c:v>
                </c:pt>
                <c:pt idx="5">
                  <c:v>1389.6218306584537</c:v>
                </c:pt>
                <c:pt idx="6">
                  <c:v>1242.9155036260997</c:v>
                </c:pt>
                <c:pt idx="7">
                  <c:v>1076.3963331718105</c:v>
                </c:pt>
                <c:pt idx="8">
                  <c:v>878.87381516198946</c:v>
                </c:pt>
                <c:pt idx="9">
                  <c:v>856.62021612180411</c:v>
                </c:pt>
                <c:pt idx="10">
                  <c:v>833.77287456461704</c:v>
                </c:pt>
                <c:pt idx="11">
                  <c:v>810.28156714251247</c:v>
                </c:pt>
                <c:pt idx="12">
                  <c:v>786.0885635487333</c:v>
                </c:pt>
                <c:pt idx="13">
                  <c:v>761.12695487237863</c:v>
                </c:pt>
                <c:pt idx="14">
                  <c:v>735.31847054490231</c:v>
                </c:pt>
                <c:pt idx="15">
                  <c:v>708.57057857047323</c:v>
                </c:pt>
                <c:pt idx="16">
                  <c:v>680.77255857364298</c:v>
                </c:pt>
                <c:pt idx="17">
                  <c:v>651.79006451320151</c:v>
                </c:pt>
                <c:pt idx="18">
                  <c:v>621.45739989910476</c:v>
                </c:pt>
                <c:pt idx="19">
                  <c:v>589.56620627424547</c:v>
                </c:pt>
                <c:pt idx="20">
                  <c:v>555.84829159751951</c:v>
                </c:pt>
                <c:pt idx="21">
                  <c:v>519.94839644256115</c:v>
                </c:pt>
                <c:pt idx="22">
                  <c:v>481.37858973426825</c:v>
                </c:pt>
                <c:pt idx="23">
                  <c:v>439.43640990022544</c:v>
                </c:pt>
                <c:pt idx="24">
                  <c:v>393.04372535074486</c:v>
                </c:pt>
                <c:pt idx="25">
                  <c:v>340.38563678492392</c:v>
                </c:pt>
                <c:pt idx="26">
                  <c:v>277.92335889971241</c:v>
                </c:pt>
                <c:pt idx="27">
                  <c:v>270.88612845888832</c:v>
                </c:pt>
                <c:pt idx="28">
                  <c:v>263.66113813153828</c:v>
                </c:pt>
                <c:pt idx="29">
                  <c:v>256.23250560813153</c:v>
                </c:pt>
                <c:pt idx="30">
                  <c:v>248.58197460729158</c:v>
                </c:pt>
                <c:pt idx="31">
                  <c:v>240.68838623652437</c:v>
                </c:pt>
                <c:pt idx="32">
                  <c:v>232.52698862428196</c:v>
                </c:pt>
                <c:pt idx="33">
                  <c:v>224.06851989575881</c:v>
                </c:pt>
                <c:pt idx="34">
                  <c:v>215.27796630857472</c:v>
                </c:pt>
                <c:pt idx="35">
                  <c:v>206.11284275303717</c:v>
                </c:pt>
                <c:pt idx="36">
                  <c:v>196.52074983994453</c:v>
                </c:pt>
                <c:pt idx="37">
                  <c:v>186.43579669083886</c:v>
                </c:pt>
                <c:pt idx="38">
                  <c:v>175.77317047287434</c:v>
                </c:pt>
                <c:pt idx="39">
                  <c:v>164.42052374558949</c:v>
                </c:pt>
                <c:pt idx="40">
                  <c:v>152.22355205416122</c:v>
                </c:pt>
                <c:pt idx="41">
                  <c:v>138.96010568518062</c:v>
                </c:pt>
                <c:pt idx="42">
                  <c:v>124.28922779370241</c:v>
                </c:pt>
                <c:pt idx="43">
                  <c:v>107.6369514711762</c:v>
                </c:pt>
                <c:pt idx="44">
                  <c:v>87.884097001673297</c:v>
                </c:pt>
                <c:pt idx="45">
                  <c:v>85.658651781523119</c:v>
                </c:pt>
                <c:pt idx="46">
                  <c:v>83.373825296158671</c:v>
                </c:pt>
                <c:pt idx="47">
                  <c:v>81.024594194006355</c:v>
                </c:pt>
                <c:pt idx="48">
                  <c:v>78.605184208499168</c:v>
                </c:pt>
                <c:pt idx="49">
                  <c:v>76.108902928844941</c:v>
                </c:pt>
                <c:pt idx="50">
                  <c:v>73.527921404978159</c:v>
                </c:pt>
                <c:pt idx="51">
                  <c:v>70.852984043623124</c:v>
                </c:pt>
                <c:pt idx="52">
                  <c:v>68.073015729005064</c:v>
                </c:pt>
                <c:pt idx="53">
                  <c:v>65.174577820058488</c:v>
                </c:pt>
                <c:pt idx="54">
                  <c:v>62.141095250551707</c:v>
                </c:pt>
                <c:pt idx="55">
                  <c:v>58.951724704470983</c:v>
                </c:pt>
                <c:pt idx="56">
                  <c:v>55.579636331757179</c:v>
                </c:pt>
                <c:pt idx="57">
                  <c:v>51.989288390992066</c:v>
                </c:pt>
                <c:pt idx="58">
                  <c:v>48.13186309786613</c:v>
                </c:pt>
                <c:pt idx="59">
                  <c:v>43.93707308779873</c:v>
                </c:pt>
                <c:pt idx="60">
                  <c:v>39.297029816991611</c:v>
                </c:pt>
                <c:pt idx="61">
                  <c:v>34.03008584581228</c:v>
                </c:pt>
                <c:pt idx="62">
                  <c:v>27.781954686057638</c:v>
                </c:pt>
                <c:pt idx="63">
                  <c:v>27.077962275785822</c:v>
                </c:pt>
                <c:pt idx="64">
                  <c:v>26.355171758281301</c:v>
                </c:pt>
                <c:pt idx="65">
                  <c:v>25.611991699787406</c:v>
                </c:pt>
                <c:pt idx="66">
                  <c:v>24.846592580057195</c:v>
                </c:pt>
                <c:pt idx="67">
                  <c:v>24.056853725154706</c:v>
                </c:pt>
                <c:pt idx="68">
                  <c:v>23.240293988971924</c:v>
                </c:pt>
                <c:pt idx="69">
                  <c:v>22.393979652242873</c:v>
                </c:pt>
                <c:pt idx="70">
                  <c:v>21.514399658667134</c:v>
                </c:pt>
                <c:pt idx="71">
                  <c:v>20.597292805269255</c:v>
                </c:pt>
                <c:pt idx="72">
                  <c:v>19.637402130309084</c:v>
                </c:pt>
                <c:pt idx="73">
                  <c:v>18.628115086054592</c:v>
                </c:pt>
                <c:pt idx="74">
                  <c:v>17.560916981477597</c:v>
                </c:pt>
                <c:pt idx="75">
                  <c:v>16.424523541012427</c:v>
                </c:pt>
                <c:pt idx="76">
                  <c:v>15.203427046109795</c:v>
                </c:pt>
                <c:pt idx="77">
                  <c:v>13.875283693478496</c:v>
                </c:pt>
                <c:pt idx="78">
                  <c:v>12.405762637667417</c:v>
                </c:pt>
                <c:pt idx="79">
                  <c:v>10.736977497437804</c:v>
                </c:pt>
                <c:pt idx="80">
                  <c:v>8.7557493656785681</c:v>
                </c:pt>
                <c:pt idx="81">
                  <c:v>8.5323663967116055</c:v>
                </c:pt>
                <c:pt idx="82">
                  <c:v>8.3029772278347735</c:v>
                </c:pt>
                <c:pt idx="83">
                  <c:v>8.0670697844696519</c:v>
                </c:pt>
                <c:pt idx="84">
                  <c:v>7.8240548310963263</c:v>
                </c:pt>
                <c:pt idx="85">
                  <c:v>7.5732486463734423</c:v>
                </c:pt>
                <c:pt idx="86">
                  <c:v>7.3138503528522607</c:v>
                </c:pt>
                <c:pt idx="87">
                  <c:v>7.0449117365303016</c:v>
                </c:pt>
                <c:pt idx="88">
                  <c:v>6.7652962726950481</c:v>
                </c:pt>
                <c:pt idx="89">
                  <c:v>6.4736222306034223</c:v>
                </c:pt>
                <c:pt idx="90">
                  <c:v>6.1681815772280091</c:v>
                </c:pt>
                <c:pt idx="91">
                  <c:v>5.846820776643459</c:v>
                </c:pt>
                <c:pt idx="92">
                  <c:v>5.5067590324661628</c:v>
                </c:pt>
                <c:pt idx="93">
                  <c:v>5.1442985043951719</c:v>
                </c:pt>
                <c:pt idx="94">
                  <c:v>4.7543359609400477</c:v>
                </c:pt>
                <c:pt idx="95">
                  <c:v>4.3294793153345053</c:v>
                </c:pt>
                <c:pt idx="96">
                  <c:v>3.8582912109693512</c:v>
                </c:pt>
                <c:pt idx="97">
                  <c:v>3.3213017394841491</c:v>
                </c:pt>
                <c:pt idx="98">
                  <c:v>2.6799141318049537</c:v>
                </c:pt>
                <c:pt idx="99">
                  <c:v>2.6072449187620403</c:v>
                </c:pt>
                <c:pt idx="100">
                  <c:v>2.5325317394697757</c:v>
                </c:pt>
                <c:pt idx="101">
                  <c:v>2.4555947862967424</c:v>
                </c:pt>
                <c:pt idx="102">
                  <c:v>2.3762266385109103</c:v>
                </c:pt>
                <c:pt idx="103">
                  <c:v>2.2941860154413316</c:v>
                </c:pt>
                <c:pt idx="104">
                  <c:v>2.2091896088370784</c:v>
                </c:pt>
                <c:pt idx="105">
                  <c:v>2.1209012275565966</c:v>
                </c:pt>
                <c:pt idx="106">
                  <c:v>2.0289171012812632</c:v>
                </c:pt>
                <c:pt idx="107">
                  <c:v>1.9327455621137999</c:v>
                </c:pt>
                <c:pt idx="108">
                  <c:v>1.8317782688683688</c:v>
                </c:pt>
                <c:pt idx="109">
                  <c:v>1.7252483013716142</c:v>
                </c:pt>
                <c:pt idx="110">
                  <c:v>1.612167106114228</c:v>
                </c:pt>
                <c:pt idx="111">
                  <c:v>1.4912258618305585</c:v>
                </c:pt>
                <c:pt idx="112">
                  <c:v>1.3606337704472304</c:v>
                </c:pt>
                <c:pt idx="113">
                  <c:v>1.2178371234952177</c:v>
                </c:pt>
                <c:pt idx="114">
                  <c:v>1.058994071217626</c:v>
                </c:pt>
                <c:pt idx="115">
                  <c:v>0.87789342923685143</c:v>
                </c:pt>
                <c:pt idx="116">
                  <c:v>0.66341369498922431</c:v>
                </c:pt>
                <c:pt idx="117">
                  <c:v>0.63941717605776494</c:v>
                </c:pt>
                <c:pt idx="118">
                  <c:v>0.614845897992644</c:v>
                </c:pt>
                <c:pt idx="119">
                  <c:v>0.58966324051015828</c:v>
                </c:pt>
                <c:pt idx="120">
                  <c:v>0.56382886778931685</c:v>
                </c:pt>
                <c:pt idx="121">
                  <c:v>0.53729820824288776</c:v>
                </c:pt>
                <c:pt idx="122">
                  <c:v>0.51002184045052157</c:v>
                </c:pt>
                <c:pt idx="123">
                  <c:v>0.48194476431622868</c:v>
                </c:pt>
                <c:pt idx="124">
                  <c:v>0.45300553088628231</c:v>
                </c:pt>
                <c:pt idx="125">
                  <c:v>0.42313519685074413</c:v>
                </c:pt>
                <c:pt idx="126">
                  <c:v>0.39225605989094237</c:v>
                </c:pt>
                <c:pt idx="127">
                  <c:v>0.36028011778276453</c:v>
                </c:pt>
                <c:pt idx="128">
                  <c:v>0.32710717615763807</c:v>
                </c:pt>
                <c:pt idx="129">
                  <c:v>0.2926225050609193</c:v>
                </c:pt>
                <c:pt idx="130">
                  <c:v>0.25669390995826202</c:v>
                </c:pt>
                <c:pt idx="131">
                  <c:v>0.21916803413091596</c:v>
                </c:pt>
                <c:pt idx="132">
                  <c:v>0.17986563955922177</c:v>
                </c:pt>
                <c:pt idx="133">
                  <c:v>0.1385755115845298</c:v>
                </c:pt>
                <c:pt idx="134">
                  <c:v>9.5046481520067408E-2</c:v>
                </c:pt>
                <c:pt idx="135">
                  <c:v>9.0559329787582313E-2</c:v>
                </c:pt>
                <c:pt idx="136">
                  <c:v>8.6046491539714998E-2</c:v>
                </c:pt>
                <c:pt idx="137">
                  <c:v>8.1507626958364471E-2</c:v>
                </c:pt>
                <c:pt idx="138">
                  <c:v>7.6942389489606466E-2</c:v>
                </c:pt>
                <c:pt idx="139">
                  <c:v>7.2350425667018409E-2</c:v>
                </c:pt>
                <c:pt idx="140">
                  <c:v>6.7731374929243873E-2</c:v>
                </c:pt>
                <c:pt idx="141">
                  <c:v>6.3084869431571766E-2</c:v>
                </c:pt>
                <c:pt idx="142">
                  <c:v>5.8410533851295299E-2</c:v>
                </c:pt>
                <c:pt idx="143">
                  <c:v>5.3707985186604856E-2</c:v>
                </c:pt>
                <c:pt idx="144">
                  <c:v>4.8976832548758981E-2</c:v>
                </c:pt>
                <c:pt idx="145">
                  <c:v>4.421667694726264E-2</c:v>
                </c:pt>
                <c:pt idx="146">
                  <c:v>3.9427111067773302E-2</c:v>
                </c:pt>
                <c:pt idx="147">
                  <c:v>3.4607719042439068E-2</c:v>
                </c:pt>
                <c:pt idx="148">
                  <c:v>2.9758076212361026E-2</c:v>
                </c:pt>
                <c:pt idx="149">
                  <c:v>2.4877748881856166E-2</c:v>
                </c:pt>
                <c:pt idx="150">
                  <c:v>1.996629406418287E-2</c:v>
                </c:pt>
                <c:pt idx="151">
                  <c:v>1.5023259218373533E-2</c:v>
                </c:pt>
                <c:pt idx="152">
                  <c:v>1.0048181976802703E-2</c:v>
                </c:pt>
                <c:pt idx="153">
                  <c:v>9.548893819656918E-3</c:v>
                </c:pt>
                <c:pt idx="154">
                  <c:v>9.0492800442463148E-3</c:v>
                </c:pt>
                <c:pt idx="155">
                  <c:v>8.5493401714046933E-3</c:v>
                </c:pt>
                <c:pt idx="156">
                  <c:v>8.0490737209200844E-3</c:v>
                </c:pt>
                <c:pt idx="157">
                  <c:v>7.5484802115316349E-3</c:v>
                </c:pt>
                <c:pt idx="158">
                  <c:v>7.0475591609266029E-3</c:v>
                </c:pt>
                <c:pt idx="159">
                  <c:v>6.5463100857373283E-3</c:v>
                </c:pt>
                <c:pt idx="160">
                  <c:v>6.0447325015382143E-3</c:v>
                </c:pt>
                <c:pt idx="161">
                  <c:v>5.5428259228426794E-3</c:v>
                </c:pt>
                <c:pt idx="162">
                  <c:v>5.040589863100106E-3</c:v>
                </c:pt>
                <c:pt idx="163">
                  <c:v>4.538023834692778E-3</c:v>
                </c:pt>
                <c:pt idx="164">
                  <c:v>4.0351273489328023E-3</c:v>
                </c:pt>
                <c:pt idx="165">
                  <c:v>3.5318999160590318E-3</c:v>
                </c:pt>
                <c:pt idx="166">
                  <c:v>3.0283410452339619E-3</c:v>
                </c:pt>
                <c:pt idx="167">
                  <c:v>2.524450244540627E-3</c:v>
                </c:pt>
                <c:pt idx="168">
                  <c:v>2.0202270209794806E-3</c:v>
                </c:pt>
                <c:pt idx="169">
                  <c:v>1.5156708804652673E-3</c:v>
                </c:pt>
                <c:pt idx="170">
                  <c:v>1.0107813278238805E-3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7-4F03-B110-D1B95FF29ADF}"/>
            </c:ext>
          </c:extLst>
        </c:ser>
        <c:ser>
          <c:idx val="2"/>
          <c:order val="1"/>
          <c:tx>
            <c:v>UVSPEX_funnel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LAPYUTA_for_stellar_20240830!$A$23:$A$193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LAPYUTA_for_stellar_20240830!$F$23:$F$193</c:f>
              <c:numCache>
                <c:formatCode>0.00E+00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7-4F03-B110-D1B95FF29ADF}"/>
            </c:ext>
          </c:extLst>
        </c:ser>
        <c:ser>
          <c:idx val="3"/>
          <c:order val="2"/>
          <c:tx>
            <c:v>UVSPEX_funnel_blaze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LAPYUTA_for_stellar_20240830!$A$23:$A$193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LAPYUTA_for_stellar_20240830!$H$23:$H$193</c:f>
              <c:numCache>
                <c:formatCode>0.00E+00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7-4F03-B110-D1B95FF29ADF}"/>
            </c:ext>
          </c:extLst>
        </c:ser>
        <c:ser>
          <c:idx val="1"/>
          <c:order val="3"/>
          <c:tx>
            <c:v>WUVS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LAPYUTA_for_stellar_20240830!$A$23:$A$193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LAPYUTA_for_stellar_20240830!$I$23:$I$193</c:f>
              <c:numCache>
                <c:formatCode>0.00E+00</c:formatCode>
                <c:ptCount val="171"/>
                <c:pt idx="0">
                  <c:v>6138.4538121619853</c:v>
                </c:pt>
                <c:pt idx="1">
                  <c:v>5823.3466729814008</c:v>
                </c:pt>
                <c:pt idx="2">
                  <c:v>5490.183771723955</c:v>
                </c:pt>
                <c:pt idx="3">
                  <c:v>5135.4522068934812</c:v>
                </c:pt>
                <c:pt idx="4">
                  <c:v>4754.326567858694</c:v>
                </c:pt>
                <c:pt idx="5">
                  <c:v>4339.8586629567699</c:v>
                </c:pt>
                <c:pt idx="6">
                  <c:v>3881.3819623793916</c:v>
                </c:pt>
                <c:pt idx="7">
                  <c:v>3360.9343799562848</c:v>
                </c:pt>
                <c:pt idx="8">
                  <c:v>2743.4717028855675</c:v>
                </c:pt>
                <c:pt idx="9">
                  <c:v>2673.894734671584</c:v>
                </c:pt>
                <c:pt idx="10">
                  <c:v>2602.4583048754635</c:v>
                </c:pt>
                <c:pt idx="11">
                  <c:v>2529.004850381978</c:v>
                </c:pt>
                <c:pt idx="12">
                  <c:v>2453.3532134615975</c:v>
                </c:pt>
                <c:pt idx="13">
                  <c:v>2375.2933775037382</c:v>
                </c:pt>
                <c:pt idx="14">
                  <c:v>2294.5795889224396</c:v>
                </c:pt>
                <c:pt idx="15">
                  <c:v>2210.9212159295853</c:v>
                </c:pt>
                <c:pt idx="16">
                  <c:v>2123.970361515047</c:v>
                </c:pt>
                <c:pt idx="17">
                  <c:v>2033.3047000168615</c:v>
                </c:pt>
                <c:pt idx="18">
                  <c:v>1938.403072655218</c:v>
                </c:pt>
                <c:pt idx="19">
                  <c:v>1838.6097166962197</c:v>
                </c:pt>
                <c:pt idx="20">
                  <c:v>1733.0798994104262</c:v>
                </c:pt>
                <c:pt idx="21">
                  <c:v>1620.6935717163994</c:v>
                </c:pt>
                <c:pt idx="22">
                  <c:v>1499.9105198666334</c:v>
                </c:pt>
                <c:pt idx="23">
                  <c:v>1368.5097702293715</c:v>
                </c:pt>
                <c:pt idx="24">
                  <c:v>1223.0750327341955</c:v>
                </c:pt>
                <c:pt idx="25">
                  <c:v>1057.8365933830089</c:v>
                </c:pt>
                <c:pt idx="26">
                  <c:v>861.48368689675556</c:v>
                </c:pt>
                <c:pt idx="27">
                  <c:v>839.32782257466795</c:v>
                </c:pt>
                <c:pt idx="28">
                  <c:v>816.57166662181965</c:v>
                </c:pt>
                <c:pt idx="29">
                  <c:v>793.16366676317784</c:v>
                </c:pt>
                <c:pt idx="30">
                  <c:v>769.0444494182326</c:v>
                </c:pt>
                <c:pt idx="31">
                  <c:v>744.14505237113451</c:v>
                </c:pt>
                <c:pt idx="32">
                  <c:v>718.38460894707498</c:v>
                </c:pt>
                <c:pt idx="33">
                  <c:v>691.66726039157675</c:v>
                </c:pt>
                <c:pt idx="34">
                  <c:v>663.87795720449481</c:v>
                </c:pt>
                <c:pt idx="35">
                  <c:v>634.87661879688869</c:v>
                </c:pt>
                <c:pt idx="36">
                  <c:v>604.48979314806741</c:v>
                </c:pt>
                <c:pt idx="37">
                  <c:v>572.49837266929114</c:v>
                </c:pt>
                <c:pt idx="38">
                  <c:v>538.61882270204626</c:v>
                </c:pt>
                <c:pt idx="39">
                  <c:v>502.47318558270183</c:v>
                </c:pt>
                <c:pt idx="40">
                  <c:v>463.53841629379195</c:v>
                </c:pt>
                <c:pt idx="41">
                  <c:v>421.05453691546501</c:v>
                </c:pt>
                <c:pt idx="42">
                  <c:v>373.84179065406943</c:v>
                </c:pt>
                <c:pt idx="43">
                  <c:v>319.88581373713481</c:v>
                </c:pt>
                <c:pt idx="44">
                  <c:v>255.19069622030563</c:v>
                </c:pt>
                <c:pt idx="45">
                  <c:v>247.84279790542155</c:v>
                </c:pt>
                <c:pt idx="46">
                  <c:v>240.28465816905123</c:v>
                </c:pt>
                <c:pt idx="47">
                  <c:v>232.49798404650434</c:v>
                </c:pt>
                <c:pt idx="48">
                  <c:v>224.46176007742176</c:v>
                </c:pt>
                <c:pt idx="49">
                  <c:v>216.15166096328389</c:v>
                </c:pt>
                <c:pt idx="50">
                  <c:v>207.53929434428437</c:v>
                </c:pt>
                <c:pt idx="51">
                  <c:v>198.59121068455843</c:v>
                </c:pt>
                <c:pt idx="52">
                  <c:v>189.26758810475428</c:v>
                </c:pt>
                <c:pt idx="53">
                  <c:v>179.52045433396043</c:v>
                </c:pt>
                <c:pt idx="54">
                  <c:v>169.29123444141234</c:v>
                </c:pt>
                <c:pt idx="55">
                  <c:v>158.50729099059174</c:v>
                </c:pt>
                <c:pt idx="56">
                  <c:v>147.07691353270405</c:v>
                </c:pt>
                <c:pt idx="57">
                  <c:v>134.88183911490958</c:v>
                </c:pt>
                <c:pt idx="58">
                  <c:v>121.76568201726501</c:v>
                </c:pt>
                <c:pt idx="59">
                  <c:v>107.51525758058517</c:v>
                </c:pt>
                <c:pt idx="60">
                  <c:v>91.828837120428346</c:v>
                </c:pt>
                <c:pt idx="61">
                  <c:v>74.258610592690232</c:v>
                </c:pt>
                <c:pt idx="62">
                  <c:v>54.097478151663935</c:v>
                </c:pt>
                <c:pt idx="63">
                  <c:v>51.898765882414374</c:v>
                </c:pt>
                <c:pt idx="64">
                  <c:v>49.6612266846723</c:v>
                </c:pt>
                <c:pt idx="65">
                  <c:v>47.383151479520222</c:v>
                </c:pt>
                <c:pt idx="66">
                  <c:v>45.06271479238854</c:v>
                </c:pt>
                <c:pt idx="67">
                  <c:v>42.697964025110991</c:v>
                </c:pt>
                <c:pt idx="68">
                  <c:v>40.286807474800419</c:v>
                </c:pt>
                <c:pt idx="69">
                  <c:v>37.827000921203343</c:v>
                </c:pt>
                <c:pt idx="70">
                  <c:v>35.316132574084023</c:v>
                </c:pt>
                <c:pt idx="71">
                  <c:v>32.751606136164973</c:v>
                </c:pt>
                <c:pt idx="72">
                  <c:v>30.130621693879124</c:v>
                </c:pt>
                <c:pt idx="73">
                  <c:v>27.450154095993646</c:v>
                </c:pt>
                <c:pt idx="74">
                  <c:v>24.70692841693505</c:v>
                </c:pt>
                <c:pt idx="75">
                  <c:v>21.897392024697595</c:v>
                </c:pt>
                <c:pt idx="76">
                  <c:v>19.017682679131045</c:v>
                </c:pt>
                <c:pt idx="77">
                  <c:v>16.063591970787925</c:v>
                </c:pt>
                <c:pt idx="78">
                  <c:v>13.030523267691418</c:v>
                </c:pt>
                <c:pt idx="79">
                  <c:v>9.9134431599880948</c:v>
                </c:pt>
                <c:pt idx="80">
                  <c:v>6.7068251708221176</c:v>
                </c:pt>
                <c:pt idx="81">
                  <c:v>6.3810097424404768</c:v>
                </c:pt>
                <c:pt idx="82">
                  <c:v>6.0542321932169898</c:v>
                </c:pt>
                <c:pt idx="83">
                  <c:v>5.7264860451479267</c:v>
                </c:pt>
                <c:pt idx="84">
                  <c:v>5.3977647552484349</c:v>
                </c:pt>
                <c:pt idx="85">
                  <c:v>5.0680617146935152</c:v>
                </c:pt>
                <c:pt idx="86">
                  <c:v>4.7373702479449484</c:v>
                </c:pt>
                <c:pt idx="87">
                  <c:v>4.4056836118638847</c:v>
                </c:pt>
                <c:pt idx="88">
                  <c:v>4.0729949948087922</c:v>
                </c:pt>
                <c:pt idx="89">
                  <c:v>3.7392975157185107</c:v>
                </c:pt>
                <c:pt idx="90">
                  <c:v>3.4045842231801076</c:v>
                </c:pt>
                <c:pt idx="91">
                  <c:v>3.0688480944812162</c:v>
                </c:pt>
                <c:pt idx="92">
                  <c:v>2.7320820346465755</c:v>
                </c:pt>
                <c:pt idx="93">
                  <c:v>2.3942788754584394</c:v>
                </c:pt>
                <c:pt idx="94">
                  <c:v>2.055431374460543</c:v>
                </c:pt>
                <c:pt idx="95">
                  <c:v>1.7155322139452907</c:v>
                </c:pt>
                <c:pt idx="96">
                  <c:v>1.3745739999238296</c:v>
                </c:pt>
                <c:pt idx="97">
                  <c:v>1.0325492610786706</c:v>
                </c:pt>
                <c:pt idx="98">
                  <c:v>0.6894504476984995</c:v>
                </c:pt>
                <c:pt idx="99">
                  <c:v>0.6550811992316562</c:v>
                </c:pt>
                <c:pt idx="100">
                  <c:v>0.62070112612082184</c:v>
                </c:pt>
                <c:pt idx="101">
                  <c:v>0.58631022068469552</c:v>
                </c:pt>
                <c:pt idx="102">
                  <c:v>0.5519084752338973</c:v>
                </c:pt>
                <c:pt idx="103">
                  <c:v>0.51749588207095498</c:v>
                </c:pt>
                <c:pt idx="104">
                  <c:v>0.48307243349029566</c:v>
                </c:pt>
                <c:pt idx="105">
                  <c:v>0.44863812177823215</c:v>
                </c:pt>
                <c:pt idx="106">
                  <c:v>0.41419293921295236</c:v>
                </c:pt>
                <c:pt idx="107">
                  <c:v>0.37973687806450951</c:v>
                </c:pt>
                <c:pt idx="108">
                  <c:v>0.34526993059480876</c:v>
                </c:pt>
                <c:pt idx="109">
                  <c:v>0.31079208905759709</c:v>
                </c:pt>
                <c:pt idx="110">
                  <c:v>0.27630334569845194</c:v>
                </c:pt>
                <c:pt idx="111">
                  <c:v>0.24180369275476962</c:v>
                </c:pt>
                <c:pt idx="112">
                  <c:v>0.20729312245575424</c:v>
                </c:pt>
                <c:pt idx="113">
                  <c:v>0.17277162702240639</c:v>
                </c:pt>
                <c:pt idx="114">
                  <c:v>0.13823919866751119</c:v>
                </c:pt>
                <c:pt idx="115">
                  <c:v>0.10369582959562758</c:v>
                </c:pt>
                <c:pt idx="116">
                  <c:v>6.9141512003076833E-2</c:v>
                </c:pt>
                <c:pt idx="117">
                  <c:v>6.568547777449732E-2</c:v>
                </c:pt>
                <c:pt idx="118">
                  <c:v>6.2229333974782232E-2</c:v>
                </c:pt>
                <c:pt idx="119">
                  <c:v>5.8773080596114219E-2</c:v>
                </c:pt>
                <c:pt idx="120">
                  <c:v>5.5316717630675194E-2</c:v>
                </c:pt>
                <c:pt idx="121">
                  <c:v>5.1860245070646176E-2</c:v>
                </c:pt>
                <c:pt idx="122">
                  <c:v>4.840366290820744E-2</c:v>
                </c:pt>
                <c:pt idx="123">
                  <c:v>4.4946971135538347E-2</c:v>
                </c:pt>
                <c:pt idx="124">
                  <c:v>4.1490169744817479E-2</c:v>
                </c:pt>
                <c:pt idx="125">
                  <c:v>3.8033258728222594E-2</c:v>
                </c:pt>
                <c:pt idx="126">
                  <c:v>3.4576238077930595E-2</c:v>
                </c:pt>
                <c:pt idx="127">
                  <c:v>3.1119107786117563E-2</c:v>
                </c:pt>
                <c:pt idx="128">
                  <c:v>2.7661867844958776E-2</c:v>
                </c:pt>
                <c:pt idx="129">
                  <c:v>2.4204518246628681E-2</c:v>
                </c:pt>
                <c:pt idx="130">
                  <c:v>2.074705898330087E-2</c:v>
                </c:pt>
                <c:pt idx="131">
                  <c:v>1.7289490047148144E-2</c:v>
                </c:pt>
                <c:pt idx="132">
                  <c:v>1.3831811430342435E-2</c:v>
                </c:pt>
                <c:pt idx="133">
                  <c:v>1.0374023125054881E-2</c:v>
                </c:pt>
                <c:pt idx="134">
                  <c:v>6.9161251234557755E-3</c:v>
                </c:pt>
                <c:pt idx="135">
                  <c:v>6.5703292896972703E-3</c:v>
                </c:pt>
                <c:pt idx="136">
                  <c:v>6.2245323588895072E-3</c:v>
                </c:pt>
                <c:pt idx="137">
                  <c:v>5.8787343310246617E-3</c:v>
                </c:pt>
                <c:pt idx="138">
                  <c:v>5.5329352060949017E-3</c:v>
                </c:pt>
                <c:pt idx="139">
                  <c:v>5.1871349840923965E-3</c:v>
                </c:pt>
                <c:pt idx="140">
                  <c:v>4.8413336650093173E-3</c:v>
                </c:pt>
                <c:pt idx="141">
                  <c:v>4.4955312488378302E-3</c:v>
                </c:pt>
                <c:pt idx="142">
                  <c:v>4.1497277355701115E-3</c:v>
                </c:pt>
                <c:pt idx="143">
                  <c:v>3.8039231251983151E-3</c:v>
                </c:pt>
                <c:pt idx="144">
                  <c:v>3.4581174177146165E-3</c:v>
                </c:pt>
                <c:pt idx="145">
                  <c:v>3.1123106131111852E-3</c:v>
                </c:pt>
                <c:pt idx="146">
                  <c:v>2.7665027113801866E-3</c:v>
                </c:pt>
                <c:pt idx="147">
                  <c:v>2.420693712513793E-3</c:v>
                </c:pt>
                <c:pt idx="148">
                  <c:v>2.0748836165041689E-3</c:v>
                </c:pt>
                <c:pt idx="149">
                  <c:v>1.7290724233434832E-3</c:v>
                </c:pt>
                <c:pt idx="150">
                  <c:v>1.383260133023904E-3</c:v>
                </c:pt>
                <c:pt idx="151">
                  <c:v>1.0374467455375996E-3</c:v>
                </c:pt>
                <c:pt idx="152">
                  <c:v>6.9163226087673641E-4</c:v>
                </c:pt>
                <c:pt idx="153">
                  <c:v>6.5705075206574112E-4</c:v>
                </c:pt>
                <c:pt idx="154">
                  <c:v>6.2246923228292082E-4</c:v>
                </c:pt>
                <c:pt idx="155">
                  <c:v>5.8788770152826098E-4</c:v>
                </c:pt>
                <c:pt idx="156">
                  <c:v>5.5330615980175391E-4</c:v>
                </c:pt>
                <c:pt idx="157">
                  <c:v>5.1872460710339135E-4</c:v>
                </c:pt>
                <c:pt idx="158">
                  <c:v>4.8414304343316584E-4</c:v>
                </c:pt>
                <c:pt idx="159">
                  <c:v>4.4956146879106945E-4</c:v>
                </c:pt>
                <c:pt idx="160">
                  <c:v>4.1497988317709423E-4</c:v>
                </c:pt>
                <c:pt idx="161">
                  <c:v>3.8039828659123257E-4</c:v>
                </c:pt>
                <c:pt idx="162">
                  <c:v>3.4581667903347635E-4</c:v>
                </c:pt>
                <c:pt idx="163">
                  <c:v>3.1123506050381792E-4</c:v>
                </c:pt>
                <c:pt idx="164">
                  <c:v>2.7665343100224959E-4</c:v>
                </c:pt>
                <c:pt idx="165">
                  <c:v>2.4207179052876323E-4</c:v>
                </c:pt>
                <c:pt idx="166">
                  <c:v>2.0749013908335121E-4</c:v>
                </c:pt>
                <c:pt idx="167">
                  <c:v>1.7290847666600557E-4</c:v>
                </c:pt>
                <c:pt idx="168">
                  <c:v>1.3832680327671858E-4</c:v>
                </c:pt>
                <c:pt idx="169">
                  <c:v>1.0374511891548235E-4</c:v>
                </c:pt>
                <c:pt idx="170">
                  <c:v>6.9163423582288983E-5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7-4F03-B110-D1B95FF2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336"/>
        <c:axId val="754799320"/>
      </c:scatterChart>
      <c:valAx>
        <c:axId val="754798336"/>
        <c:scaling>
          <c:logBase val="10"/>
          <c:orientation val="minMax"/>
          <c:max val="1.0000000000000006E-11"/>
          <c:min val="1.0000000000000011E-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9320"/>
        <c:crossesAt val="0.1"/>
        <c:crossBetween val="midCat"/>
      </c:valAx>
      <c:valAx>
        <c:axId val="754799320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8336"/>
        <c:crossesAt val="1.0000000000000011E-1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Ly-alpha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'LAPYUTA_Ly-alpha_bg (2)'!$A$51:$A$550</c:f>
              <c:numCache>
                <c:formatCode>0.00E+00</c:formatCode>
                <c:ptCount val="500"/>
                <c:pt idx="0">
                  <c:v>1E-14</c:v>
                </c:pt>
                <c:pt idx="1">
                  <c:v>5.0000000000000002E-14</c:v>
                </c:pt>
                <c:pt idx="2">
                  <c:v>1E-13</c:v>
                </c:pt>
                <c:pt idx="3">
                  <c:v>4.9999999999999999E-13</c:v>
                </c:pt>
                <c:pt idx="4">
                  <c:v>9.9999999999999998E-13</c:v>
                </c:pt>
              </c:numCache>
            </c:numRef>
          </c:xVal>
          <c:yVal>
            <c:numRef>
              <c:f>'LAPYUTA_Ly-alpha_bg (2)'!$D$51:$D$550</c:f>
              <c:numCache>
                <c:formatCode>0.00E+00</c:formatCode>
                <c:ptCount val="500"/>
                <c:pt idx="0">
                  <c:v>828.39435468255249</c:v>
                </c:pt>
                <c:pt idx="1">
                  <c:v>4141.9717734127616</c:v>
                </c:pt>
                <c:pt idx="2">
                  <c:v>8283.9435468255233</c:v>
                </c:pt>
                <c:pt idx="3">
                  <c:v>41419.717734127626</c:v>
                </c:pt>
                <c:pt idx="4">
                  <c:v>82839.435468255251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568-A34B-6A618186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aseline="0"/>
                  <a:t>Geocentric distance [Re]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 val="autoZero"/>
        <c:crossBetween val="midCat"/>
      </c:valAx>
      <c:valAx>
        <c:axId val="391777664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Total</a:t>
                </a:r>
                <a:r>
                  <a:rPr lang="en-US" altLang="ja-JP" sz="1600" baseline="0"/>
                  <a:t> count rate [cps]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97107453485898"/>
          <c:y val="0.10299151426173694"/>
          <c:w val="0.15861377391217538"/>
          <c:h val="5.462529128505696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SNR caluculation for WUVS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10min BoL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'WSO-UV_WUVS_check'!$E$30:$E$200</c:f>
              <c:numCache>
                <c:formatCode>0.00E+00</c:formatCode>
                <c:ptCount val="171"/>
                <c:pt idx="0">
                  <c:v>501.67255848924646</c:v>
                </c:pt>
                <c:pt idx="1">
                  <c:v>475.89066880766626</c:v>
                </c:pt>
                <c:pt idx="2">
                  <c:v>448.62959731904994</c:v>
                </c:pt>
                <c:pt idx="3">
                  <c:v>419.60114730346305</c:v>
                </c:pt>
                <c:pt idx="4">
                  <c:v>388.40926928298029</c:v>
                </c:pt>
                <c:pt idx="5">
                  <c:v>354.48335183704523</c:v>
                </c:pt>
                <c:pt idx="6">
                  <c:v>316.94671152466412</c:v>
                </c:pt>
                <c:pt idx="7">
                  <c:v>274.32126907037178</c:v>
                </c:pt>
                <c:pt idx="8">
                  <c:v>223.71750341227622</c:v>
                </c:pt>
                <c:pt idx="9">
                  <c:v>218.01216999499542</c:v>
                </c:pt>
                <c:pt idx="10">
                  <c:v>212.15349608166969</c:v>
                </c:pt>
                <c:pt idx="11">
                  <c:v>206.12841339057823</c:v>
                </c:pt>
                <c:pt idx="12">
                  <c:v>199.92188523964873</c:v>
                </c:pt>
                <c:pt idx="13">
                  <c:v>193.51646475256229</c:v>
                </c:pt>
                <c:pt idx="14">
                  <c:v>186.89171680521846</c:v>
                </c:pt>
                <c:pt idx="15">
                  <c:v>180.02344855100588</c:v>
                </c:pt>
                <c:pt idx="16">
                  <c:v>172.88266486462749</c:v>
                </c:pt>
                <c:pt idx="17">
                  <c:v>165.43411808130546</c:v>
                </c:pt>
                <c:pt idx="18">
                  <c:v>157.63424113258247</c:v>
                </c:pt>
                <c:pt idx="19">
                  <c:v>149.42810999246529</c:v>
                </c:pt>
                <c:pt idx="20">
                  <c:v>140.74481279416119</c:v>
                </c:pt>
                <c:pt idx="21">
                  <c:v>131.49006805360384</c:v>
                </c:pt>
                <c:pt idx="22">
                  <c:v>121.53378752485825</c:v>
                </c:pt>
                <c:pt idx="23">
                  <c:v>110.68758186422082</c:v>
                </c:pt>
                <c:pt idx="24">
                  <c:v>98.660051867671513</c:v>
                </c:pt>
                <c:pt idx="25">
                  <c:v>84.955322086324827</c:v>
                </c:pt>
                <c:pt idx="26">
                  <c:v>68.590770169837825</c:v>
                </c:pt>
                <c:pt idx="27">
                  <c:v>66.737048144006778</c:v>
                </c:pt>
                <c:pt idx="28">
                  <c:v>64.831276110676399</c:v>
                </c:pt>
                <c:pt idx="29">
                  <c:v>62.868877352830438</c:v>
                </c:pt>
                <c:pt idx="30">
                  <c:v>60.844571911239612</c:v>
                </c:pt>
                <c:pt idx="31">
                  <c:v>58.752217263169577</c:v>
                </c:pt>
                <c:pt idx="32">
                  <c:v>56.584599903564516</c:v>
                </c:pt>
                <c:pt idx="33">
                  <c:v>54.333158169011213</c:v>
                </c:pt>
                <c:pt idx="34">
                  <c:v>51.987606701576937</c:v>
                </c:pt>
                <c:pt idx="35">
                  <c:v>49.535416768027062</c:v>
                </c:pt>
                <c:pt idx="36">
                  <c:v>46.961079428862256</c:v>
                </c:pt>
                <c:pt idx="37">
                  <c:v>44.245030985283975</c:v>
                </c:pt>
                <c:pt idx="38">
                  <c:v>41.362033267155674</c:v>
                </c:pt>
                <c:pt idx="39">
                  <c:v>38.278634257890936</c:v>
                </c:pt>
                <c:pt idx="40">
                  <c:v>34.948992739974869</c:v>
                </c:pt>
                <c:pt idx="41">
                  <c:v>31.307596684325485</c:v>
                </c:pt>
                <c:pt idx="42">
                  <c:v>27.255578534996957</c:v>
                </c:pt>
                <c:pt idx="43">
                  <c:v>22.632337124522756</c:v>
                </c:pt>
                <c:pt idx="44">
                  <c:v>17.148107412167768</c:v>
                </c:pt>
                <c:pt idx="45">
                  <c:v>16.533615614304832</c:v>
                </c:pt>
                <c:pt idx="46">
                  <c:v>15.90416529504151</c:v>
                </c:pt>
                <c:pt idx="47">
                  <c:v>15.258782542563296</c:v>
                </c:pt>
                <c:pt idx="48">
                  <c:v>14.596392216246871</c:v>
                </c:pt>
                <c:pt idx="49">
                  <c:v>13.915803402428782</c:v>
                </c:pt>
                <c:pt idx="50">
                  <c:v>13.215692174362349</c:v>
                </c:pt>
                <c:pt idx="51">
                  <c:v>12.494581037474877</c:v>
                </c:pt>
                <c:pt idx="52">
                  <c:v>11.750814269713</c:v>
                </c:pt>
                <c:pt idx="53">
                  <c:v>10.982528139318141</c:v>
                </c:pt>
                <c:pt idx="54">
                  <c:v>10.187614677349591</c:v>
                </c:pt>
                <c:pt idx="55">
                  <c:v>9.3636772687378489</c:v>
                </c:pt>
                <c:pt idx="56">
                  <c:v>8.5079757584014111</c:v>
                </c:pt>
                <c:pt idx="57">
                  <c:v>7.6173579809614624</c:v>
                </c:pt>
                <c:pt idx="58">
                  <c:v>6.6881735128397111</c:v>
                </c:pt>
                <c:pt idx="59">
                  <c:v>5.7161638592121982</c:v>
                </c:pt>
                <c:pt idx="60">
                  <c:v>4.6963209836324529</c:v>
                </c:pt>
                <c:pt idx="61">
                  <c:v>3.6227026797180133</c:v>
                </c:pt>
                <c:pt idx="62">
                  <c:v>2.4881881437980611</c:v>
                </c:pt>
                <c:pt idx="63">
                  <c:v>2.3710704336931481</c:v>
                </c:pt>
                <c:pt idx="64">
                  <c:v>2.253249501403368</c:v>
                </c:pt>
                <c:pt idx="65">
                  <c:v>2.1347155748417239</c:v>
                </c:pt>
                <c:pt idx="66">
                  <c:v>2.0154586783364028</c:v>
                </c:pt>
                <c:pt idx="67">
                  <c:v>1.8954686270160335</c:v>
                </c:pt>
                <c:pt idx="68">
                  <c:v>1.7747350210023716</c:v>
                </c:pt>
                <c:pt idx="69">
                  <c:v>1.6532472394025139</c:v>
                </c:pt>
                <c:pt idx="70">
                  <c:v>1.5309944340923625</c:v>
                </c:pt>
                <c:pt idx="71">
                  <c:v>1.4079655232826507</c:v>
                </c:pt>
                <c:pt idx="72">
                  <c:v>1.284149184858443</c:v>
                </c:pt>
                <c:pt idx="73">
                  <c:v>1.1595338494825485</c:v>
                </c:pt>
                <c:pt idx="74">
                  <c:v>1.0341076934528455</c:v>
                </c:pt>
                <c:pt idx="75">
                  <c:v>0.90785863130299893</c:v>
                </c:pt>
                <c:pt idx="76">
                  <c:v>0.78077430813555182</c:v>
                </c:pt>
                <c:pt idx="77">
                  <c:v>0.65284209167578711</c:v>
                </c:pt>
                <c:pt idx="78">
                  <c:v>0.5240490640342087</c:v>
                </c:pt>
                <c:pt idx="79">
                  <c:v>0.39438201316483645</c:v>
                </c:pt>
                <c:pt idx="80">
                  <c:v>0.2638274240058866</c:v>
                </c:pt>
                <c:pt idx="81">
                  <c:v>0.25072262088933317</c:v>
                </c:pt>
                <c:pt idx="82">
                  <c:v>0.23760879038077598</c:v>
                </c:pt>
                <c:pt idx="83">
                  <c:v>0.22448591844612872</c:v>
                </c:pt>
                <c:pt idx="84">
                  <c:v>0.21135399101894145</c:v>
                </c:pt>
                <c:pt idx="85">
                  <c:v>0.19821299400030246</c:v>
                </c:pt>
                <c:pt idx="86">
                  <c:v>0.18506291325874039</c:v>
                </c:pt>
                <c:pt idx="87">
                  <c:v>0.17190373463012507</c:v>
                </c:pt>
                <c:pt idx="88">
                  <c:v>0.15873544391756847</c:v>
                </c:pt>
                <c:pt idx="89">
                  <c:v>0.14555802689132508</c:v>
                </c:pt>
                <c:pt idx="90">
                  <c:v>0.13237146928869228</c:v>
                </c:pt>
                <c:pt idx="91">
                  <c:v>0.11917575681390967</c:v>
                </c:pt>
                <c:pt idx="92">
                  <c:v>0.10597087513805885</c:v>
                </c:pt>
                <c:pt idx="93">
                  <c:v>9.2756809898961984E-2</c:v>
                </c:pt>
                <c:pt idx="94">
                  <c:v>7.9533546701080801E-2</c:v>
                </c:pt>
                <c:pt idx="95">
                  <c:v>6.6301071115414417E-2</c:v>
                </c:pt>
                <c:pt idx="96">
                  <c:v>5.3059368679397437E-2</c:v>
                </c:pt>
                <c:pt idx="97">
                  <c:v>3.9808424896797291E-2</c:v>
                </c:pt>
                <c:pt idx="98">
                  <c:v>2.6548225237611283E-2</c:v>
                </c:pt>
                <c:pt idx="99">
                  <c:v>2.5221695638065214E-2</c:v>
                </c:pt>
                <c:pt idx="100">
                  <c:v>2.3895073319560013E-2</c:v>
                </c:pt>
                <c:pt idx="101">
                  <c:v>2.2568358267509765E-2</c:v>
                </c:pt>
                <c:pt idx="102">
                  <c:v>2.1241550467325104E-2</c:v>
                </c:pt>
                <c:pt idx="103">
                  <c:v>1.9914649904413308E-2</c:v>
                </c:pt>
                <c:pt idx="104">
                  <c:v>1.8587656564178236E-2</c:v>
                </c:pt>
                <c:pt idx="105">
                  <c:v>1.7260570432020349E-2</c:v>
                </c:pt>
                <c:pt idx="106">
                  <c:v>1.5933391493336689E-2</c:v>
                </c:pt>
                <c:pt idx="107">
                  <c:v>1.4606119733520922E-2</c:v>
                </c:pt>
                <c:pt idx="108">
                  <c:v>1.3278755137963286E-2</c:v>
                </c:pt>
                <c:pt idx="109">
                  <c:v>1.1951297692050607E-2</c:v>
                </c:pt>
                <c:pt idx="110">
                  <c:v>1.0623747381166327E-2</c:v>
                </c:pt>
                <c:pt idx="111">
                  <c:v>9.2961041906904525E-3</c:v>
                </c:pt>
                <c:pt idx="112">
                  <c:v>7.9683681059995962E-3</c:v>
                </c:pt>
                <c:pt idx="113">
                  <c:v>6.6405391124669637E-3</c:v>
                </c:pt>
                <c:pt idx="114">
                  <c:v>5.3126171954623264E-3</c:v>
                </c:pt>
                <c:pt idx="115">
                  <c:v>3.9846023403520611E-3</c:v>
                </c:pt>
                <c:pt idx="116">
                  <c:v>2.6564945324991283E-3</c:v>
                </c:pt>
                <c:pt idx="117">
                  <c:v>2.5236786387493595E-3</c:v>
                </c:pt>
                <c:pt idx="118">
                  <c:v>2.3908618153111205E-3</c:v>
                </c:pt>
                <c:pt idx="119">
                  <c:v>2.2580440621697687E-3</c:v>
                </c:pt>
                <c:pt idx="120">
                  <c:v>2.125225379310659E-3</c:v>
                </c:pt>
                <c:pt idx="121">
                  <c:v>1.9924057667191492E-3</c:v>
                </c:pt>
                <c:pt idx="122">
                  <c:v>1.8595852243805974E-3</c:v>
                </c:pt>
                <c:pt idx="123">
                  <c:v>1.7267637522803564E-3</c:v>
                </c:pt>
                <c:pt idx="124">
                  <c:v>1.593941350403785E-3</c:v>
                </c:pt>
                <c:pt idx="125">
                  <c:v>1.4611180187362365E-3</c:v>
                </c:pt>
                <c:pt idx="126">
                  <c:v>1.3282937572630655E-3</c:v>
                </c:pt>
                <c:pt idx="127">
                  <c:v>1.1954685659696278E-3</c:v>
                </c:pt>
                <c:pt idx="128">
                  <c:v>1.062642444841277E-3</c:v>
                </c:pt>
                <c:pt idx="129">
                  <c:v>9.298153938633669E-4</c:v>
                </c:pt>
                <c:pt idx="130">
                  <c:v>7.969874130212514E-4</c:v>
                </c:pt>
                <c:pt idx="131">
                  <c:v>6.6415850230028392E-4</c:v>
                </c:pt>
                <c:pt idx="132">
                  <c:v>5.3132866168581678E-4</c:v>
                </c:pt>
                <c:pt idx="133">
                  <c:v>3.9849789116320274E-4</c:v>
                </c:pt>
                <c:pt idx="134">
                  <c:v>2.6566619071779384E-4</c:v>
                </c:pt>
                <c:pt idx="135">
                  <c:v>2.5238296952693562E-4</c:v>
                </c:pt>
                <c:pt idx="136">
                  <c:v>2.3909973903668807E-4</c:v>
                </c:pt>
                <c:pt idx="137">
                  <c:v>2.2581649924703674E-4</c:v>
                </c:pt>
                <c:pt idx="138">
                  <c:v>2.1253325015796703E-4</c:v>
                </c:pt>
                <c:pt idx="139">
                  <c:v>1.9924999176946433E-4</c:v>
                </c:pt>
                <c:pt idx="140">
                  <c:v>1.8596672408151391E-4</c:v>
                </c:pt>
                <c:pt idx="141">
                  <c:v>1.7268344709410127E-4</c:v>
                </c:pt>
                <c:pt idx="142">
                  <c:v>1.5940016080721186E-4</c:v>
                </c:pt>
                <c:pt idx="143">
                  <c:v>1.4611686522083056E-4</c:v>
                </c:pt>
                <c:pt idx="144">
                  <c:v>1.3283356033494298E-4</c:v>
                </c:pt>
                <c:pt idx="145">
                  <c:v>1.1955024614953452E-4</c:v>
                </c:pt>
                <c:pt idx="146">
                  <c:v>1.0626692266459051E-4</c:v>
                </c:pt>
                <c:pt idx="147">
                  <c:v>9.2983589880096253E-5</c:v>
                </c:pt>
                <c:pt idx="148">
                  <c:v>7.9700247796037174E-5</c:v>
                </c:pt>
                <c:pt idx="149">
                  <c:v>6.6416896412398597E-5</c:v>
                </c:pt>
                <c:pt idx="150">
                  <c:v>5.3133535729165837E-5</c:v>
                </c:pt>
                <c:pt idx="151">
                  <c:v>3.9850165746324265E-5</c:v>
                </c:pt>
                <c:pt idx="152">
                  <c:v>2.6566786463859253E-5</c:v>
                </c:pt>
                <c:pt idx="153">
                  <c:v>2.5238448024132629E-5</c:v>
                </c:pt>
                <c:pt idx="154">
                  <c:v>2.3910109491409882E-5</c:v>
                </c:pt>
                <c:pt idx="155">
                  <c:v>2.2581770865690717E-5</c:v>
                </c:pt>
                <c:pt idx="156">
                  <c:v>2.1253432146975134E-5</c:v>
                </c:pt>
                <c:pt idx="157">
                  <c:v>1.9925093335263109E-5</c:v>
                </c:pt>
                <c:pt idx="158">
                  <c:v>1.8596754430554625E-5</c:v>
                </c:pt>
                <c:pt idx="159">
                  <c:v>1.7268415432849682E-5</c:v>
                </c:pt>
                <c:pt idx="160">
                  <c:v>1.5940076342148247E-5</c:v>
                </c:pt>
                <c:pt idx="161">
                  <c:v>1.4611737158450315E-5</c:v>
                </c:pt>
                <c:pt idx="162">
                  <c:v>1.3283397881755869E-5</c:v>
                </c:pt>
                <c:pt idx="163">
                  <c:v>1.19550585120649E-5</c:v>
                </c:pt>
                <c:pt idx="164">
                  <c:v>1.0626719049377386E-5</c:v>
                </c:pt>
                <c:pt idx="165">
                  <c:v>9.2983794936933141E-6</c:v>
                </c:pt>
                <c:pt idx="166">
                  <c:v>7.970039845012672E-6</c:v>
                </c:pt>
                <c:pt idx="167">
                  <c:v>6.641700103335444E-6</c:v>
                </c:pt>
                <c:pt idx="168">
                  <c:v>5.3133602686616167E-6</c:v>
                </c:pt>
                <c:pt idx="169">
                  <c:v>3.9850203409911722E-6</c:v>
                </c:pt>
                <c:pt idx="170">
                  <c:v>2.6566803203240944E-6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9-4021-BECD-31F8B1345F17}"/>
            </c:ext>
          </c:extLst>
        </c:ser>
        <c:ser>
          <c:idx val="0"/>
          <c:order val="1"/>
          <c:tx>
            <c:v>1h BoL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'WSO-UV_WUVS_check'!$G$30:$G$200</c:f>
              <c:numCache>
                <c:formatCode>0.00E+00</c:formatCode>
                <c:ptCount val="171"/>
                <c:pt idx="0">
                  <c:v>1229.2363431524204</c:v>
                </c:pt>
                <c:pt idx="1">
                  <c:v>1166.1051347879945</c:v>
                </c:pt>
                <c:pt idx="2">
                  <c:v>1099.354542123591</c:v>
                </c:pt>
                <c:pt idx="3">
                  <c:v>1028.2799570750501</c:v>
                </c:pt>
                <c:pt idx="4">
                  <c:v>951.91332920655088</c:v>
                </c:pt>
                <c:pt idx="5">
                  <c:v>868.86039790679638</c:v>
                </c:pt>
                <c:pt idx="6">
                  <c:v>776.98001942083908</c:v>
                </c:pt>
                <c:pt idx="7">
                  <c:v>672.6647153678681</c:v>
                </c:pt>
                <c:pt idx="8">
                  <c:v>548.87016606042766</c:v>
                </c:pt>
                <c:pt idx="9">
                  <c:v>534.91738827635049</c:v>
                </c:pt>
                <c:pt idx="10">
                  <c:v>520.59081083198225</c:v>
                </c:pt>
                <c:pt idx="11">
                  <c:v>505.85867992224934</c:v>
                </c:pt>
                <c:pt idx="12">
                  <c:v>490.68447436488185</c:v>
                </c:pt>
                <c:pt idx="13">
                  <c:v>475.02583908006056</c:v>
                </c:pt>
                <c:pt idx="14">
                  <c:v>458.83319070430935</c:v>
                </c:pt>
                <c:pt idx="15">
                  <c:v>442.04786304381429</c:v>
                </c:pt>
                <c:pt idx="16">
                  <c:v>424.59959194680448</c:v>
                </c:pt>
                <c:pt idx="17">
                  <c:v>406.40302705439098</c:v>
                </c:pt>
                <c:pt idx="18">
                  <c:v>387.35276650911334</c:v>
                </c:pt>
                <c:pt idx="19">
                  <c:v>367.31606987345072</c:v>
                </c:pt>
                <c:pt idx="20">
                  <c:v>346.12176639969869</c:v>
                </c:pt>
                <c:pt idx="21">
                  <c:v>323.5426072568406</c:v>
                </c:pt>
                <c:pt idx="22">
                  <c:v>299.26559648887002</c:v>
                </c:pt>
                <c:pt idx="23">
                  <c:v>272.83846866457725</c:v>
                </c:pt>
                <c:pt idx="24">
                  <c:v>243.56363696592751</c:v>
                </c:pt>
                <c:pt idx="25">
                  <c:v>210.25838329011123</c:v>
                </c:pt>
                <c:pt idx="26">
                  <c:v>170.59039345213125</c:v>
                </c:pt>
                <c:pt idx="27">
                  <c:v>166.10581769688875</c:v>
                </c:pt>
                <c:pt idx="28">
                  <c:v>161.49750653412809</c:v>
                </c:pt>
                <c:pt idx="29">
                  <c:v>156.75467751795779</c:v>
                </c:pt>
                <c:pt idx="30">
                  <c:v>151.86489409674337</c:v>
                </c:pt>
                <c:pt idx="31">
                  <c:v>146.81368899176161</c:v>
                </c:pt>
                <c:pt idx="32">
                  <c:v>141.58407021163794</c:v>
                </c:pt>
                <c:pt idx="33">
                  <c:v>136.15586189858908</c:v>
                </c:pt>
                <c:pt idx="34">
                  <c:v>130.50480746400834</c:v>
                </c:pt>
                <c:pt idx="35">
                  <c:v>124.6013217555175</c:v>
                </c:pt>
                <c:pt idx="36">
                  <c:v>118.40870956687162</c:v>
                </c:pt>
                <c:pt idx="37">
                  <c:v>111.88054444846745</c:v>
                </c:pt>
                <c:pt idx="38">
                  <c:v>104.95667185193288</c:v>
                </c:pt>
                <c:pt idx="39">
                  <c:v>97.556846965513245</c:v>
                </c:pt>
                <c:pt idx="40">
                  <c:v>89.570058659771561</c:v>
                </c:pt>
                <c:pt idx="41">
                  <c:v>80.835384159237648</c:v>
                </c:pt>
                <c:pt idx="42">
                  <c:v>71.10456003425098</c:v>
                </c:pt>
                <c:pt idx="43">
                  <c:v>59.959704713704369</c:v>
                </c:pt>
                <c:pt idx="44">
                  <c:v>46.598946061713534</c:v>
                </c:pt>
                <c:pt idx="45">
                  <c:v>45.085656291204046</c:v>
                </c:pt>
                <c:pt idx="46">
                  <c:v>43.5308629752668</c:v>
                </c:pt>
                <c:pt idx="47">
                  <c:v>41.93133826911788</c:v>
                </c:pt>
                <c:pt idx="48">
                  <c:v>40.283441952929913</c:v>
                </c:pt>
                <c:pt idx="49">
                  <c:v>38.583047201614534</c:v>
                </c:pt>
                <c:pt idx="50">
                  <c:v>36.825448846563269</c:v>
                </c:pt>
                <c:pt idx="51">
                  <c:v>35.00524894133985</c:v>
                </c:pt>
                <c:pt idx="52">
                  <c:v>33.116212563486961</c:v>
                </c:pt>
                <c:pt idx="53">
                  <c:v>31.151084087130943</c:v>
                </c:pt>
                <c:pt idx="54">
                  <c:v>29.101350224548323</c:v>
                </c:pt>
                <c:pt idx="55">
                  <c:v>26.956930282949138</c:v>
                </c:pt>
                <c:pt idx="56">
                  <c:v>24.705765204210152</c:v>
                </c:pt>
                <c:pt idx="57">
                  <c:v>22.333263176658544</c:v>
                </c:pt>
                <c:pt idx="58">
                  <c:v>19.821537678566827</c:v>
                </c:pt>
                <c:pt idx="59">
                  <c:v>17.14833790835079</c:v>
                </c:pt>
                <c:pt idx="60">
                  <c:v>14.285510855913397</c:v>
                </c:pt>
                <c:pt idx="61">
                  <c:v>11.196727826170498</c:v>
                </c:pt>
                <c:pt idx="62">
                  <c:v>7.8340135295809477</c:v>
                </c:pt>
                <c:pt idx="63">
                  <c:v>7.4803576248309351</c:v>
                </c:pt>
                <c:pt idx="64">
                  <c:v>7.1232554609695482</c:v>
                </c:pt>
                <c:pt idx="65">
                  <c:v>6.7626277248693114</c:v>
                </c:pt>
                <c:pt idx="66">
                  <c:v>6.3983923433464485</c:v>
                </c:pt>
                <c:pt idx="67">
                  <c:v>6.030464355235309</c:v>
                </c:pt>
                <c:pt idx="68">
                  <c:v>5.6587557760504259</c:v>
                </c:pt>
                <c:pt idx="69">
                  <c:v>5.2831754547196246</c:v>
                </c:pt>
                <c:pt idx="70">
                  <c:v>4.9036289218295614</c:v>
                </c:pt>
                <c:pt idx="71">
                  <c:v>4.5200182287788282</c:v>
                </c:pt>
                <c:pt idx="72">
                  <c:v>4.1322417771833919</c:v>
                </c:pt>
                <c:pt idx="73">
                  <c:v>3.7401941378236963</c:v>
                </c:pt>
                <c:pt idx="74">
                  <c:v>3.3437658583621235</c:v>
                </c:pt>
                <c:pt idx="75">
                  <c:v>2.9428432589928213</c:v>
                </c:pt>
                <c:pt idx="76">
                  <c:v>2.5373082151126423</c:v>
                </c:pt>
                <c:pt idx="77">
                  <c:v>2.1270379260212184</c:v>
                </c:pt>
                <c:pt idx="78">
                  <c:v>1.7119046685694177</c:v>
                </c:pt>
                <c:pt idx="79">
                  <c:v>1.2917755345773401</c:v>
                </c:pt>
                <c:pt idx="80">
                  <c:v>0.86651215073480048</c:v>
                </c:pt>
                <c:pt idx="81">
                  <c:v>0.82369793092784194</c:v>
                </c:pt>
                <c:pt idx="82">
                  <c:v>0.78083078486274093</c:v>
                </c:pt>
                <c:pt idx="83">
                  <c:v>0.73791056452661608</c:v>
                </c:pt>
                <c:pt idx="84">
                  <c:v>0.69493712129194229</c:v>
                </c:pt>
                <c:pt idx="85">
                  <c:v>0.65191030591319576</c:v>
                </c:pt>
                <c:pt idx="86">
                  <c:v>0.6088299685234756</c:v>
                </c:pt>
                <c:pt idx="87">
                  <c:v>0.56569595863110378</c:v>
                </c:pt>
                <c:pt idx="88">
                  <c:v>0.52250812511619915</c:v>
                </c:pt>
                <c:pt idx="89">
                  <c:v>0.47926631622723087</c:v>
                </c:pt>
                <c:pt idx="90">
                  <c:v>0.43597037957754925</c:v>
                </c:pt>
                <c:pt idx="91">
                  <c:v>0.39262016214188872</c:v>
                </c:pt>
                <c:pt idx="92">
                  <c:v>0.34921551025285263</c:v>
                </c:pt>
                <c:pt idx="93">
                  <c:v>0.30575626959736929</c:v>
                </c:pt>
                <c:pt idx="94">
                  <c:v>0.26224228521312681</c:v>
                </c:pt>
                <c:pt idx="95">
                  <c:v>0.21867340148498243</c:v>
                </c:pt>
                <c:pt idx="96">
                  <c:v>0.17504946214134745</c:v>
                </c:pt>
                <c:pt idx="97">
                  <c:v>0.13137031025054774</c:v>
                </c:pt>
                <c:pt idx="98">
                  <c:v>8.7635788217158811E-2</c:v>
                </c:pt>
                <c:pt idx="99">
                  <c:v>8.3259284568658845E-2</c:v>
                </c:pt>
                <c:pt idx="100">
                  <c:v>7.8882225478026938E-2</c:v>
                </c:pt>
                <c:pt idx="101">
                  <c:v>7.4504610786564923E-2</c:v>
                </c:pt>
                <c:pt idx="102">
                  <c:v>7.0126440335507328E-2</c:v>
                </c:pt>
                <c:pt idx="103">
                  <c:v>6.5747713966021526E-2</c:v>
                </c:pt>
                <c:pt idx="104">
                  <c:v>6.1368431519207609E-2</c:v>
                </c:pt>
                <c:pt idx="105">
                  <c:v>5.6988592836098348E-2</c:v>
                </c:pt>
                <c:pt idx="106">
                  <c:v>5.2608197757659195E-2</c:v>
                </c:pt>
                <c:pt idx="107">
                  <c:v>4.8227246124788244E-2</c:v>
                </c:pt>
                <c:pt idx="108">
                  <c:v>4.3845737778316164E-2</c:v>
                </c:pt>
                <c:pt idx="109">
                  <c:v>3.946367255900609E-2</c:v>
                </c:pt>
                <c:pt idx="110">
                  <c:v>3.5081050307553818E-2</c:v>
                </c:pt>
                <c:pt idx="111">
                  <c:v>3.0697870864587494E-2</c:v>
                </c:pt>
                <c:pt idx="112">
                  <c:v>2.6314134070667738E-2</c:v>
                </c:pt>
                <c:pt idx="113">
                  <c:v>2.1929839766287613E-2</c:v>
                </c:pt>
                <c:pt idx="114">
                  <c:v>1.7544987791872468E-2</c:v>
                </c:pt>
                <c:pt idx="115">
                  <c:v>1.315957798778002E-2</c:v>
                </c:pt>
                <c:pt idx="116">
                  <c:v>8.7736101943002697E-3</c:v>
                </c:pt>
                <c:pt idx="117">
                  <c:v>8.3349827193851325E-3</c:v>
                </c:pt>
                <c:pt idx="118">
                  <c:v>7.8963496628185904E-3</c:v>
                </c:pt>
                <c:pt idx="119">
                  <c:v>7.4577110244408154E-3</c:v>
                </c:pt>
                <c:pt idx="120">
                  <c:v>7.0190668040919797E-3</c:v>
                </c:pt>
                <c:pt idx="121">
                  <c:v>6.5804170016122458E-3</c:v>
                </c:pt>
                <c:pt idx="122">
                  <c:v>6.141761616841779E-3</c:v>
                </c:pt>
                <c:pt idx="123">
                  <c:v>5.7031006496207209E-3</c:v>
                </c:pt>
                <c:pt idx="124">
                  <c:v>5.2644340997892239E-3</c:v>
                </c:pt>
                <c:pt idx="125">
                  <c:v>4.8257619671874218E-3</c:v>
                </c:pt>
                <c:pt idx="126">
                  <c:v>4.3870842516554442E-3</c:v>
                </c:pt>
                <c:pt idx="127">
                  <c:v>3.9484009530334164E-3</c:v>
                </c:pt>
                <c:pt idx="128">
                  <c:v>3.5097120711614564E-3</c:v>
                </c:pt>
                <c:pt idx="129">
                  <c:v>3.0710176058796725E-3</c:v>
                </c:pt>
                <c:pt idx="130">
                  <c:v>2.63231755702817E-3</c:v>
                </c:pt>
                <c:pt idx="131">
                  <c:v>2.1936119244470456E-3</c:v>
                </c:pt>
                <c:pt idx="132">
                  <c:v>1.7549007079763889E-3</c:v>
                </c:pt>
                <c:pt idx="133">
                  <c:v>1.3161839074562821E-3</c:v>
                </c:pt>
                <c:pt idx="134">
                  <c:v>8.7746152272680255E-4</c:v>
                </c:pt>
                <c:pt idx="135">
                  <c:v>8.3358897711618269E-4</c:v>
                </c:pt>
                <c:pt idx="136">
                  <c:v>7.8971637566170941E-4</c:v>
                </c:pt>
                <c:pt idx="137">
                  <c:v>7.4584371836322301E-4</c:v>
                </c:pt>
                <c:pt idx="138">
                  <c:v>7.0197100522056337E-4</c:v>
                </c:pt>
                <c:pt idx="139">
                  <c:v>6.5809823623357131E-4</c:v>
                </c:pt>
                <c:pt idx="140">
                  <c:v>6.1422541140208659E-4</c:v>
                </c:pt>
                <c:pt idx="141">
                  <c:v>5.7035253072594929E-4</c:v>
                </c:pt>
                <c:pt idx="142">
                  <c:v>5.2647959420500014E-4</c:v>
                </c:pt>
                <c:pt idx="143">
                  <c:v>4.8260660183907771E-4</c:v>
                </c:pt>
                <c:pt idx="144">
                  <c:v>4.3873355362802262E-4</c:v>
                </c:pt>
                <c:pt idx="145">
                  <c:v>3.9486044957167532E-4</c:v>
                </c:pt>
                <c:pt idx="146">
                  <c:v>3.5098728966987558E-4</c:v>
                </c:pt>
                <c:pt idx="147">
                  <c:v>3.0711407392246357E-4</c:v>
                </c:pt>
                <c:pt idx="148">
                  <c:v>2.6324080232927944E-4</c:v>
                </c:pt>
                <c:pt idx="149">
                  <c:v>2.193674748901631E-4</c:v>
                </c:pt>
                <c:pt idx="150">
                  <c:v>1.7549409160495471E-4</c:v>
                </c:pt>
                <c:pt idx="151">
                  <c:v>1.3162065247349414E-4</c:v>
                </c:pt>
                <c:pt idx="152">
                  <c:v>8.7747157495621646E-5</c:v>
                </c:pt>
                <c:pt idx="153">
                  <c:v>8.3359804926274694E-5</c:v>
                </c:pt>
                <c:pt idx="154">
                  <c:v>7.8972451798462752E-5</c:v>
                </c:pt>
                <c:pt idx="155">
                  <c:v>7.4585098112184763E-5</c:v>
                </c:pt>
                <c:pt idx="156">
                  <c:v>7.0197743867440591E-5</c:v>
                </c:pt>
                <c:pt idx="157">
                  <c:v>6.5810389064230033E-5</c:v>
                </c:pt>
                <c:pt idx="158">
                  <c:v>6.142303370255298E-5</c:v>
                </c:pt>
                <c:pt idx="159">
                  <c:v>5.703567778240925E-5</c:v>
                </c:pt>
                <c:pt idx="160">
                  <c:v>5.2648321303798652E-5</c:v>
                </c:pt>
                <c:pt idx="161">
                  <c:v>4.8260964266721072E-5</c:v>
                </c:pt>
                <c:pt idx="162">
                  <c:v>4.3873606671176333E-5</c:v>
                </c:pt>
                <c:pt idx="163">
                  <c:v>3.9486248517164273E-5</c:v>
                </c:pt>
                <c:pt idx="164">
                  <c:v>3.5098889804684736E-5</c:v>
                </c:pt>
                <c:pt idx="165">
                  <c:v>3.0711530533737559E-5</c:v>
                </c:pt>
                <c:pt idx="166">
                  <c:v>2.6324170704322579E-5</c:v>
                </c:pt>
                <c:pt idx="167">
                  <c:v>2.1936810316439648E-5</c:v>
                </c:pt>
                <c:pt idx="168">
                  <c:v>1.7549449370088599E-5</c:v>
                </c:pt>
                <c:pt idx="169">
                  <c:v>1.3162087865269265E-5</c:v>
                </c:pt>
                <c:pt idx="170">
                  <c:v>8.7747258019814849E-6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9-4021-BECD-31F8B1345F17}"/>
            </c:ext>
          </c:extLst>
        </c:ser>
        <c:ser>
          <c:idx val="2"/>
          <c:order val="2"/>
          <c:tx>
            <c:v>10h BoL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'WSO-UV_WUVS_check'!$I$30:$I$200</c:f>
              <c:numCache>
                <c:formatCode>0.00E+00</c:formatCode>
                <c:ptCount val="171"/>
                <c:pt idx="0">
                  <c:v>3887.1866270179712</c:v>
                </c:pt>
                <c:pt idx="1">
                  <c:v>3687.548217147712</c:v>
                </c:pt>
                <c:pt idx="2">
                  <c:v>3476.4643091620701</c:v>
                </c:pt>
                <c:pt idx="3">
                  <c:v>3251.7067366573306</c:v>
                </c:pt>
                <c:pt idx="4">
                  <c:v>3010.2142553663839</c:v>
                </c:pt>
                <c:pt idx="5">
                  <c:v>2747.5778261056712</c:v>
                </c:pt>
                <c:pt idx="6">
                  <c:v>2457.0265578117132</c:v>
                </c:pt>
                <c:pt idx="7">
                  <c:v>2127.152602191331</c:v>
                </c:pt>
                <c:pt idx="8">
                  <c:v>1735.6798644657988</c:v>
                </c:pt>
                <c:pt idx="9">
                  <c:v>1691.5573069819181</c:v>
                </c:pt>
                <c:pt idx="10">
                  <c:v>1646.2526911829202</c:v>
                </c:pt>
                <c:pt idx="11">
                  <c:v>1599.6656027203958</c:v>
                </c:pt>
                <c:pt idx="12">
                  <c:v>1551.6805514755295</c:v>
                </c:pt>
                <c:pt idx="13">
                  <c:v>1502.1635989256149</c:v>
                </c:pt>
                <c:pt idx="14">
                  <c:v>1450.957948708015</c:v>
                </c:pt>
                <c:pt idx="15">
                  <c:v>1397.8780820286252</c:v>
                </c:pt>
                <c:pt idx="16">
                  <c:v>1342.7018041299893</c:v>
                </c:pt>
                <c:pt idx="17">
                  <c:v>1285.1592134789062</c:v>
                </c:pt>
                <c:pt idx="18">
                  <c:v>1224.9170001361877</c:v>
                </c:pt>
                <c:pt idx="19">
                  <c:v>1161.5554019816607</c:v>
                </c:pt>
                <c:pt idx="20">
                  <c:v>1094.5331295837857</c:v>
                </c:pt>
                <c:pt idx="21">
                  <c:v>1023.1315590409388</c:v>
                </c:pt>
                <c:pt idx="22">
                  <c:v>946.3609102337183</c:v>
                </c:pt>
                <c:pt idx="23">
                  <c:v>862.79099429254302</c:v>
                </c:pt>
                <c:pt idx="24">
                  <c:v>770.21584800671383</c:v>
                </c:pt>
                <c:pt idx="25">
                  <c:v>664.89538834143923</c:v>
                </c:pt>
                <c:pt idx="26">
                  <c:v>539.45419025300885</c:v>
                </c:pt>
                <c:pt idx="27">
                  <c:v>525.27271652687284</c:v>
                </c:pt>
                <c:pt idx="28">
                  <c:v>510.69995708577017</c:v>
                </c:pt>
                <c:pt idx="29">
                  <c:v>495.70181484193648</c:v>
                </c:pt>
                <c:pt idx="30">
                  <c:v>480.23896196596831</c:v>
                </c:pt>
                <c:pt idx="31">
                  <c:v>464.26564890555602</c:v>
                </c:pt>
                <c:pt idx="32">
                  <c:v>447.72814226597404</c:v>
                </c:pt>
                <c:pt idx="33">
                  <c:v>430.56264038287924</c:v>
                </c:pt>
                <c:pt idx="34">
                  <c:v>412.69243718800925</c:v>
                </c:pt>
                <c:pt idx="35">
                  <c:v>394.0239762149252</c:v>
                </c:pt>
                <c:pt idx="36">
                  <c:v>374.44121703268394</c:v>
                </c:pt>
                <c:pt idx="37">
                  <c:v>353.79734631686398</c:v>
                </c:pt>
                <c:pt idx="38">
                  <c:v>331.90213868299071</c:v>
                </c:pt>
                <c:pt idx="39">
                  <c:v>308.50183775550789</c:v>
                </c:pt>
                <c:pt idx="40">
                  <c:v>283.24539551976687</c:v>
                </c:pt>
                <c:pt idx="41">
                  <c:v>255.62392947788607</c:v>
                </c:pt>
                <c:pt idx="42">
                  <c:v>224.85236173241321</c:v>
                </c:pt>
                <c:pt idx="43">
                  <c:v>189.60923472643998</c:v>
                </c:pt>
                <c:pt idx="44">
                  <c:v>147.35880611834796</c:v>
                </c:pt>
                <c:pt idx="45">
                  <c:v>142.57336368370451</c:v>
                </c:pt>
                <c:pt idx="46">
                  <c:v>137.65667551453703</c:v>
                </c:pt>
                <c:pt idx="47">
                  <c:v>132.59853426939492</c:v>
                </c:pt>
                <c:pt idx="48">
                  <c:v>127.38742856243994</c:v>
                </c:pt>
                <c:pt idx="49">
                  <c:v>122.01030822688774</c:v>
                </c:pt>
                <c:pt idx="50">
                  <c:v>116.45229421316044</c:v>
                </c:pt>
                <c:pt idx="51">
                  <c:v>110.69631671583181</c:v>
                </c:pt>
                <c:pt idx="52">
                  <c:v>104.72265917890222</c:v>
                </c:pt>
                <c:pt idx="53">
                  <c:v>98.508377298760891</c:v>
                </c:pt>
                <c:pt idx="54">
                  <c:v>92.02654969582521</c:v>
                </c:pt>
                <c:pt idx="55">
                  <c:v>85.245298420486534</c:v>
                </c:pt>
                <c:pt idx="56">
                  <c:v>78.126489382639051</c:v>
                </c:pt>
                <c:pt idx="57">
                  <c:v>70.623979222208419</c:v>
                </c:pt>
                <c:pt idx="58">
                  <c:v>62.681205791117662</c:v>
                </c:pt>
                <c:pt idx="59">
                  <c:v>54.227805876596257</c:v>
                </c:pt>
                <c:pt idx="60">
                  <c:v>45.174751843747799</c:v>
                </c:pt>
                <c:pt idx="61">
                  <c:v>35.407162271684626</c:v>
                </c:pt>
                <c:pt idx="62">
                  <c:v>24.773325974050667</c:v>
                </c:pt>
                <c:pt idx="63">
                  <c:v>23.654967807073064</c:v>
                </c:pt>
                <c:pt idx="64">
                  <c:v>22.525711611896412</c:v>
                </c:pt>
                <c:pt idx="65">
                  <c:v>21.385306578389539</c:v>
                </c:pt>
                <c:pt idx="66">
                  <c:v>20.233493168356876</c:v>
                </c:pt>
                <c:pt idx="67">
                  <c:v>19.070002711002324</c:v>
                </c:pt>
                <c:pt idx="68">
                  <c:v>17.894556974953044</c:v>
                </c:pt>
                <c:pt idx="69">
                  <c:v>16.706867715209789</c:v>
                </c:pt>
                <c:pt idx="70">
                  <c:v>15.506636193257178</c:v>
                </c:pt>
                <c:pt idx="71">
                  <c:v>14.293552668421134</c:v>
                </c:pt>
                <c:pt idx="72">
                  <c:v>13.067295858401524</c:v>
                </c:pt>
                <c:pt idx="73">
                  <c:v>11.827532366732607</c:v>
                </c:pt>
                <c:pt idx="74">
                  <c:v>10.573916074732287</c:v>
                </c:pt>
                <c:pt idx="75">
                  <c:v>9.3060874952901056</c:v>
                </c:pt>
                <c:pt idx="76">
                  <c:v>8.0236730856124137</c:v>
                </c:pt>
                <c:pt idx="77">
                  <c:v>6.7262845157877811</c:v>
                </c:pt>
                <c:pt idx="78">
                  <c:v>5.413517889755024</c:v>
                </c:pt>
                <c:pt idx="79">
                  <c:v>4.0849529149459878</c:v>
                </c:pt>
                <c:pt idx="80">
                  <c:v>2.740152016533115</c:v>
                </c:pt>
                <c:pt idx="81">
                  <c:v>2.6047615657000311</c:v>
                </c:pt>
                <c:pt idx="82">
                  <c:v>2.469203747343188</c:v>
                </c:pt>
                <c:pt idx="83">
                  <c:v>2.3334780934047554</c:v>
                </c:pt>
                <c:pt idx="84">
                  <c:v>2.1975841338832329</c:v>
                </c:pt>
                <c:pt idx="85">
                  <c:v>2.0615213968228332</c:v>
                </c:pt>
                <c:pt idx="86">
                  <c:v>1.9252894083028047</c:v>
                </c:pt>
                <c:pt idx="87">
                  <c:v>1.788887692426675</c:v>
                </c:pt>
                <c:pt idx="88">
                  <c:v>1.6523157713114209</c:v>
                </c:pt>
                <c:pt idx="89">
                  <c:v>1.5155731650765663</c:v>
                </c:pt>
                <c:pt idx="90">
                  <c:v>1.3786593918332124</c:v>
                </c:pt>
                <c:pt idx="91">
                  <c:v>1.2415739676729818</c:v>
                </c:pt>
                <c:pt idx="92">
                  <c:v>1.1043164066568978</c:v>
                </c:pt>
                <c:pt idx="93">
                  <c:v>0.96688622080418085</c:v>
                </c:pt>
                <c:pt idx="94">
                  <c:v>0.82928292008097548</c:v>
                </c:pt>
                <c:pt idx="95">
                  <c:v>0.69150601238899079</c:v>
                </c:pt>
                <c:pt idx="96">
                  <c:v>0.55355500355407361</c:v>
                </c:pt>
                <c:pt idx="97">
                  <c:v>0.41542939731469614</c:v>
                </c:pt>
                <c:pt idx="98">
                  <c:v>0.27712869531036866</c:v>
                </c:pt>
                <c:pt idx="99">
                  <c:v>0.26328897559307174</c:v>
                </c:pt>
                <c:pt idx="100">
                  <c:v>0.24944749941352953</c:v>
                </c:pt>
                <c:pt idx="101">
                  <c:v>0.23560426626989436</c:v>
                </c:pt>
                <c:pt idx="102">
                  <c:v>0.22175927566010556</c:v>
                </c:pt>
                <c:pt idx="103">
                  <c:v>0.20791252708189042</c:v>
                </c:pt>
                <c:pt idx="104">
                  <c:v>0.19406402003276327</c:v>
                </c:pt>
                <c:pt idx="105">
                  <c:v>0.18021375401002557</c:v>
                </c:pt>
                <c:pt idx="106">
                  <c:v>0.16636172851076589</c:v>
                </c:pt>
                <c:pt idx="107">
                  <c:v>0.15250794303185994</c:v>
                </c:pt>
                <c:pt idx="108">
                  <c:v>0.13865239706996993</c:v>
                </c:pt>
                <c:pt idx="109">
                  <c:v>0.12479509012154487</c:v>
                </c:pt>
                <c:pt idx="110">
                  <c:v>0.11093602168282049</c:v>
                </c:pt>
                <c:pt idx="111">
                  <c:v>9.707519124981881E-2</c:v>
                </c:pt>
                <c:pt idx="112">
                  <c:v>8.3212598318348208E-2</c:v>
                </c:pt>
                <c:pt idx="113">
                  <c:v>6.9348242384003486E-2</c:v>
                </c:pt>
                <c:pt idx="114">
                  <c:v>5.548212294216525E-2</c:v>
                </c:pt>
                <c:pt idx="115">
                  <c:v>4.1614239488000304E-2</c:v>
                </c:pt>
                <c:pt idx="116">
                  <c:v>2.7744591516461289E-2</c:v>
                </c:pt>
                <c:pt idx="117">
                  <c:v>2.6357529651401097E-2</c:v>
                </c:pt>
                <c:pt idx="118">
                  <c:v>2.4970450135609341E-2</c:v>
                </c:pt>
                <c:pt idx="119">
                  <c:v>2.3583352968580631E-2</c:v>
                </c:pt>
                <c:pt idx="120">
                  <c:v>2.2196238149809529E-2</c:v>
                </c:pt>
                <c:pt idx="121">
                  <c:v>2.0809105678790595E-2</c:v>
                </c:pt>
                <c:pt idx="122">
                  <c:v>1.942195555501838E-2</c:v>
                </c:pt>
                <c:pt idx="123">
                  <c:v>1.8034787777987376E-2</c:v>
                </c:pt>
                <c:pt idx="124">
                  <c:v>1.6647602347192095E-2</c:v>
                </c:pt>
                <c:pt idx="125">
                  <c:v>1.5260399262126995E-2</c:v>
                </c:pt>
                <c:pt idx="126">
                  <c:v>1.3873178522286523E-2</c:v>
                </c:pt>
                <c:pt idx="127">
                  <c:v>1.2485940127165113E-2</c:v>
                </c:pt>
                <c:pt idx="128">
                  <c:v>1.1098684076257168E-2</c:v>
                </c:pt>
                <c:pt idx="129">
                  <c:v>9.7114103690570698E-3</c:v>
                </c:pt>
                <c:pt idx="130">
                  <c:v>8.3241190050591871E-3</c:v>
                </c:pt>
                <c:pt idx="131">
                  <c:v>6.9368099837578585E-3</c:v>
                </c:pt>
                <c:pt idx="132">
                  <c:v>5.5494833046474071E-3</c:v>
                </c:pt>
                <c:pt idx="133">
                  <c:v>4.1621389672221272E-3</c:v>
                </c:pt>
                <c:pt idx="134">
                  <c:v>2.774776970976296E-3</c:v>
                </c:pt>
                <c:pt idx="135">
                  <c:v>2.6360398000971155E-3</c:v>
                </c:pt>
                <c:pt idx="136">
                  <c:v>2.4973024526241633E-3</c:v>
                </c:pt>
                <c:pt idx="137">
                  <c:v>2.3585649285569358E-3</c:v>
                </c:pt>
                <c:pt idx="138">
                  <c:v>2.2198272278949288E-3</c:v>
                </c:pt>
                <c:pt idx="139">
                  <c:v>2.0810893506376356E-3</c:v>
                </c:pt>
                <c:pt idx="140">
                  <c:v>1.9423512967845504E-3</c:v>
                </c:pt>
                <c:pt idx="141">
                  <c:v>1.8036130663351686E-3</c:v>
                </c:pt>
                <c:pt idx="142">
                  <c:v>1.6648746592889858E-3</c:v>
                </c:pt>
                <c:pt idx="143">
                  <c:v>1.5261360756454909E-3</c:v>
                </c:pt>
                <c:pt idx="144">
                  <c:v>1.3873973154041816E-3</c:v>
                </c:pt>
                <c:pt idx="145">
                  <c:v>1.2486583785645518E-3</c:v>
                </c:pt>
                <c:pt idx="146">
                  <c:v>1.1099192651260956E-3</c:v>
                </c:pt>
                <c:pt idx="147">
                  <c:v>9.7117997508830694E-4</c:v>
                </c:pt>
                <c:pt idx="148">
                  <c:v>8.3244050845068069E-4</c:v>
                </c:pt>
                <c:pt idx="149">
                  <c:v>6.9370086521271072E-4</c:v>
                </c:pt>
                <c:pt idx="150">
                  <c:v>5.5496104537389136E-4</c:v>
                </c:pt>
                <c:pt idx="151">
                  <c:v>4.1622104893371655E-4</c:v>
                </c:pt>
                <c:pt idx="152">
                  <c:v>2.7748087589168067E-4</c:v>
                </c:pt>
                <c:pt idx="153">
                  <c:v>2.6360684887435243E-4</c:v>
                </c:pt>
                <c:pt idx="154">
                  <c:v>2.4973282009100293E-4</c:v>
                </c:pt>
                <c:pt idx="155">
                  <c:v>2.3585878954162861E-4</c:v>
                </c:pt>
                <c:pt idx="156">
                  <c:v>2.2198475722622922E-4</c:v>
                </c:pt>
                <c:pt idx="157">
                  <c:v>2.0811072314480406E-4</c:v>
                </c:pt>
                <c:pt idx="158">
                  <c:v>1.9423668729735274E-4</c:v>
                </c:pt>
                <c:pt idx="159">
                  <c:v>1.803626496838747E-4</c:v>
                </c:pt>
                <c:pt idx="160">
                  <c:v>1.6648861030436942E-4</c:v>
                </c:pt>
                <c:pt idx="161">
                  <c:v>1.5261456915883646E-4</c:v>
                </c:pt>
                <c:pt idx="162">
                  <c:v>1.3874052624727527E-4</c:v>
                </c:pt>
                <c:pt idx="163">
                  <c:v>1.2486648156968537E-4</c:v>
                </c:pt>
                <c:pt idx="164">
                  <c:v>1.1099243512606624E-4</c:v>
                </c:pt>
                <c:pt idx="165">
                  <c:v>9.7118386916417323E-5</c:v>
                </c:pt>
                <c:pt idx="166">
                  <c:v>8.32443369407382E-5</c:v>
                </c:pt>
                <c:pt idx="167">
                  <c:v>6.9370285199028329E-5</c:v>
                </c:pt>
                <c:pt idx="168">
                  <c:v>5.5496231691287201E-5</c:v>
                </c:pt>
                <c:pt idx="169">
                  <c:v>4.16221764175143E-5</c:v>
                </c:pt>
                <c:pt idx="170">
                  <c:v>2.7748119377709113E-5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9-4021-BECD-31F8B1345F17}"/>
            </c:ext>
          </c:extLst>
        </c:ser>
        <c:ser>
          <c:idx val="3"/>
          <c:order val="3"/>
          <c:tx>
            <c:v>10min EoL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'WSO-UV_WUVS_check'!$K$30:$K$200</c:f>
              <c:numCache>
                <c:formatCode>0.00E+00</c:formatCode>
                <c:ptCount val="171"/>
                <c:pt idx="0">
                  <c:v>501.60101840206903</c:v>
                </c:pt>
                <c:pt idx="1">
                  <c:v>475.81527864648007</c:v>
                </c:pt>
                <c:pt idx="2">
                  <c:v>448.54966009952955</c:v>
                </c:pt>
                <c:pt idx="3">
                  <c:v>419.51572670286157</c:v>
                </c:pt>
                <c:pt idx="4">
                  <c:v>388.31705612238017</c:v>
                </c:pt>
                <c:pt idx="5">
                  <c:v>354.38241647777556</c:v>
                </c:pt>
                <c:pt idx="6">
                  <c:v>316.83399479531374</c:v>
                </c:pt>
                <c:pt idx="7">
                  <c:v>274.19136920414974</c:v>
                </c:pt>
                <c:pt idx="8">
                  <c:v>223.5590288421823</c:v>
                </c:pt>
                <c:pt idx="9">
                  <c:v>217.84967851560518</c:v>
                </c:pt>
                <c:pt idx="10">
                  <c:v>211.98666598726351</c:v>
                </c:pt>
                <c:pt idx="11">
                  <c:v>205.95687762224358</c:v>
                </c:pt>
                <c:pt idx="12">
                  <c:v>199.74522190158717</c:v>
                </c:pt>
                <c:pt idx="13">
                  <c:v>193.33418491754367</c:v>
                </c:pt>
                <c:pt idx="14">
                  <c:v>186.70324859826664</c:v>
                </c:pt>
                <c:pt idx="15">
                  <c:v>179.82811602270633</c:v>
                </c:pt>
                <c:pt idx="16">
                  <c:v>172.67965940704823</c:v>
                </c:pt>
                <c:pt idx="17">
                  <c:v>165.22245889776383</c:v>
                </c:pt>
                <c:pt idx="18">
                  <c:v>157.41271916617958</c:v>
                </c:pt>
                <c:pt idx="19">
                  <c:v>149.19520599644665</c:v>
                </c:pt>
                <c:pt idx="20">
                  <c:v>140.49857332812883</c:v>
                </c:pt>
                <c:pt idx="21">
                  <c:v>131.2279096531563</c:v>
                </c:pt>
                <c:pt idx="22">
                  <c:v>121.25217084546694</c:v>
                </c:pt>
                <c:pt idx="23">
                  <c:v>110.38143254588159</c:v>
                </c:pt>
                <c:pt idx="24">
                  <c:v>98.321639376029353</c:v>
                </c:pt>
                <c:pt idx="25">
                  <c:v>84.571824926664135</c:v>
                </c:pt>
                <c:pt idx="26">
                  <c:v>68.138078705430516</c:v>
                </c:pt>
                <c:pt idx="27">
                  <c:v>66.275253280355543</c:v>
                </c:pt>
                <c:pt idx="28">
                  <c:v>64.359829396964827</c:v>
                </c:pt>
                <c:pt idx="29">
                  <c:v>62.387177138291548</c:v>
                </c:pt>
                <c:pt idx="30">
                  <c:v>60.351956974847639</c:v>
                </c:pt>
                <c:pt idx="31">
                  <c:v>58.247959896165639</c:v>
                </c:pt>
                <c:pt idx="32">
                  <c:v>56.067898682980015</c:v>
                </c:pt>
                <c:pt idx="33">
                  <c:v>53.803130965847281</c:v>
                </c:pt>
                <c:pt idx="34">
                  <c:v>51.443285055959358</c:v>
                </c:pt>
                <c:pt idx="35">
                  <c:v>48.975743907490198</c:v>
                </c:pt>
                <c:pt idx="36">
                  <c:v>46.384916469425534</c:v>
                </c:pt>
                <c:pt idx="37">
                  <c:v>43.651180457912197</c:v>
                </c:pt>
                <c:pt idx="38">
                  <c:v>40.749298819872379</c:v>
                </c:pt>
                <c:pt idx="39">
                  <c:v>37.645956837088519</c:v>
                </c:pt>
                <c:pt idx="40">
                  <c:v>34.295753850558029</c:v>
                </c:pt>
                <c:pt idx="41">
                  <c:v>30.634306410968204</c:v>
                </c:pt>
                <c:pt idx="42">
                  <c:v>26.565519527541316</c:v>
                </c:pt>
                <c:pt idx="43">
                  <c:v>21.935852294464002</c:v>
                </c:pt>
                <c:pt idx="44">
                  <c:v>16.475419790847816</c:v>
                </c:pt>
                <c:pt idx="45">
                  <c:v>15.866710259842973</c:v>
                </c:pt>
                <c:pt idx="46">
                  <c:v>15.243998858634766</c:v>
                </c:pt>
                <c:pt idx="47">
                  <c:v>14.606439219700505</c:v>
                </c:pt>
                <c:pt idx="48">
                  <c:v>13.953103958125915</c:v>
                </c:pt>
                <c:pt idx="49">
                  <c:v>13.282974009341787</c:v>
                </c:pt>
                <c:pt idx="50">
                  <c:v>12.594926164716311</c:v>
                </c:pt>
                <c:pt idx="51">
                  <c:v>11.887718429294107</c:v>
                </c:pt>
                <c:pt idx="52">
                  <c:v>11.159972731910175</c:v>
                </c:pt>
                <c:pt idx="53">
                  <c:v>10.410154396093477</c:v>
                </c:pt>
                <c:pt idx="54">
                  <c:v>9.6365476210976251</c:v>
                </c:pt>
                <c:pt idx="55">
                  <c:v>8.8372260127916036</c:v>
                </c:pt>
                <c:pt idx="56">
                  <c:v>8.0100169253133888</c:v>
                </c:pt>
                <c:pt idx="57">
                  <c:v>7.1524579996565407</c:v>
                </c:pt>
                <c:pt idx="58">
                  <c:v>6.2617437761726116</c:v>
                </c:pt>
                <c:pt idx="59">
                  <c:v>5.3346595578492542</c:v>
                </c:pt>
                <c:pt idx="60">
                  <c:v>4.3674987261758824</c:v>
                </c:pt>
                <c:pt idx="61">
                  <c:v>3.3559583345242849</c:v>
                </c:pt>
                <c:pt idx="62">
                  <c:v>2.2950058301125558</c:v>
                </c:pt>
                <c:pt idx="63">
                  <c:v>2.1859733554547556</c:v>
                </c:pt>
                <c:pt idx="64">
                  <c:v>2.0763818481200547</c:v>
                </c:pt>
                <c:pt idx="65">
                  <c:v>1.9662247038462373</c:v>
                </c:pt>
                <c:pt idx="66">
                  <c:v>1.8554952016186832</c:v>
                </c:pt>
                <c:pt idx="67">
                  <c:v>1.7441865009416764</c:v>
                </c:pt>
                <c:pt idx="68">
                  <c:v>1.6322916390304982</c:v>
                </c:pt>
                <c:pt idx="69">
                  <c:v>1.5198035279215545</c:v>
                </c:pt>
                <c:pt idx="70">
                  <c:v>1.4067149514976816</c:v>
                </c:pt>
                <c:pt idx="71">
                  <c:v>1.2930185624256489</c:v>
                </c:pt>
                <c:pt idx="72">
                  <c:v>1.178706879002767</c:v>
                </c:pt>
                <c:pt idx="73">
                  <c:v>1.0637722819093716</c:v>
                </c:pt>
                <c:pt idx="74">
                  <c:v>0.94820701086382508</c:v>
                </c:pt>
                <c:pt idx="75">
                  <c:v>0.83200316117653705</c:v>
                </c:pt>
                <c:pt idx="76">
                  <c:v>0.71515268019936873</c:v>
                </c:pt>
                <c:pt idx="77">
                  <c:v>0.59764736366660853</c:v>
                </c:pt>
                <c:pt idx="78">
                  <c:v>0.47947885192357659</c:v>
                </c:pt>
                <c:pt idx="79">
                  <c:v>0.36063862603871999</c:v>
                </c:pt>
                <c:pt idx="80">
                  <c:v>0.24111800379490675</c:v>
                </c:pt>
                <c:pt idx="81">
                  <c:v>0.22912818053271641</c:v>
                </c:pt>
                <c:pt idx="82">
                  <c:v>0.21713145600920358</c:v>
                </c:pt>
                <c:pt idx="83">
                  <c:v>0.20512782126416917</c:v>
                </c:pt>
                <c:pt idx="84">
                  <c:v>0.19311726732016074</c:v>
                </c:pt>
                <c:pt idx="85">
                  <c:v>0.18109978518242931</c:v>
                </c:pt>
                <c:pt idx="86">
                  <c:v>0.16907536583888555</c:v>
                </c:pt>
                <c:pt idx="87">
                  <c:v>0.15704400026005583</c:v>
                </c:pt>
                <c:pt idx="88">
                  <c:v>0.14500567939903819</c:v>
                </c:pt>
                <c:pt idx="89">
                  <c:v>0.13296039419145786</c:v>
                </c:pt>
                <c:pt idx="90">
                  <c:v>0.12090813555542361</c:v>
                </c:pt>
                <c:pt idx="91">
                  <c:v>0.10884889439148251</c:v>
                </c:pt>
                <c:pt idx="92">
                  <c:v>9.678266158257598E-2</c:v>
                </c:pt>
                <c:pt idx="93">
                  <c:v>8.4709427993994543E-2</c:v>
                </c:pt>
                <c:pt idx="94">
                  <c:v>7.2629184473333372E-2</c:v>
                </c:pt>
                <c:pt idx="95">
                  <c:v>6.0541921850446892E-2</c:v>
                </c:pt>
                <c:pt idx="96">
                  <c:v>4.8447630937403896E-2</c:v>
                </c:pt>
                <c:pt idx="97">
                  <c:v>3.6346302528442107E-2</c:v>
                </c:pt>
                <c:pt idx="98">
                  <c:v>2.4237927399922733E-2</c:v>
                </c:pt>
                <c:pt idx="99">
                  <c:v>2.302670196185053E-2</c:v>
                </c:pt>
                <c:pt idx="100">
                  <c:v>2.181540595493053E-2</c:v>
                </c:pt>
                <c:pt idx="101">
                  <c:v>2.0604039369909524E-2</c:v>
                </c:pt>
                <c:pt idx="102">
                  <c:v>1.9392602197532458E-2</c:v>
                </c:pt>
                <c:pt idx="103">
                  <c:v>1.8181094428542519E-2</c:v>
                </c:pt>
                <c:pt idx="104">
                  <c:v>1.6969516053681084E-2</c:v>
                </c:pt>
                <c:pt idx="105">
                  <c:v>1.575786706368773E-2</c:v>
                </c:pt>
                <c:pt idx="106">
                  <c:v>1.4546147449300226E-2</c:v>
                </c:pt>
                <c:pt idx="107">
                  <c:v>1.3334357201254568E-2</c:v>
                </c:pt>
                <c:pt idx="108">
                  <c:v>1.2122496310284924E-2</c:v>
                </c:pt>
                <c:pt idx="109">
                  <c:v>1.0910564767123666E-2</c:v>
                </c:pt>
                <c:pt idx="110">
                  <c:v>9.6985625625013779E-3</c:v>
                </c:pt>
                <c:pt idx="111">
                  <c:v>8.4864896871468237E-3</c:v>
                </c:pt>
                <c:pt idx="112">
                  <c:v>7.2743461317869781E-3</c:v>
                </c:pt>
                <c:pt idx="113">
                  <c:v>6.0621318871470166E-3</c:v>
                </c:pt>
                <c:pt idx="114">
                  <c:v>4.8498469439502943E-3</c:v>
                </c:pt>
                <c:pt idx="115">
                  <c:v>3.6374912929183754E-3</c:v>
                </c:pt>
                <c:pt idx="116">
                  <c:v>2.4250649247710208E-3</c:v>
                </c:pt>
                <c:pt idx="117">
                  <c:v>2.3038183981575924E-3</c:v>
                </c:pt>
                <c:pt idx="118">
                  <c:v>2.1825711642709084E-3</c:v>
                </c:pt>
                <c:pt idx="119">
                  <c:v>2.061323223101685E-3</c:v>
                </c:pt>
                <c:pt idx="120">
                  <c:v>1.9400745746406378E-3</c:v>
                </c:pt>
                <c:pt idx="121">
                  <c:v>1.8188252188784833E-3</c:v>
                </c:pt>
                <c:pt idx="122">
                  <c:v>1.69757515580594E-3</c:v>
                </c:pt>
                <c:pt idx="123">
                  <c:v>1.5763243854137214E-3</c:v>
                </c:pt>
                <c:pt idx="124">
                  <c:v>1.455072907692545E-3</c:v>
                </c:pt>
                <c:pt idx="125">
                  <c:v>1.333820722633126E-3</c:v>
                </c:pt>
                <c:pt idx="126">
                  <c:v>1.2125678302261794E-3</c:v>
                </c:pt>
                <c:pt idx="127">
                  <c:v>1.0913142304624205E-3</c:v>
                </c:pt>
                <c:pt idx="128">
                  <c:v>9.7005992333256568E-4</c:v>
                </c:pt>
                <c:pt idx="129">
                  <c:v>8.4880490882732838E-4</c:v>
                </c:pt>
                <c:pt idx="130">
                  <c:v>7.2754918693742439E-4</c:v>
                </c:pt>
                <c:pt idx="131">
                  <c:v>6.0629275765356817E-4</c:v>
                </c:pt>
                <c:pt idx="132">
                  <c:v>4.8503562096647397E-4</c:v>
                </c:pt>
                <c:pt idx="133">
                  <c:v>3.6377777686685592E-4</c:v>
                </c:pt>
                <c:pt idx="134">
                  <c:v>2.4251922534542812E-4</c:v>
                </c:pt>
                <c:pt idx="135">
                  <c:v>2.3039333128472859E-4</c:v>
                </c:pt>
                <c:pt idx="136">
                  <c:v>2.1826743014970862E-4</c:v>
                </c:pt>
                <c:pt idx="137">
                  <c:v>2.0614152194035906E-4</c:v>
                </c:pt>
                <c:pt idx="138">
                  <c:v>1.9401560665667064E-4</c:v>
                </c:pt>
                <c:pt idx="139">
                  <c:v>1.8188968429863416E-4</c:v>
                </c:pt>
                <c:pt idx="140">
                  <c:v>1.6976375486624026E-4</c:v>
                </c:pt>
                <c:pt idx="141">
                  <c:v>1.5763781835947979E-4</c:v>
                </c:pt>
                <c:pt idx="142">
                  <c:v>1.4551187477834351E-4</c:v>
                </c:pt>
                <c:pt idx="143">
                  <c:v>1.3338592412282175E-4</c:v>
                </c:pt>
                <c:pt idx="144">
                  <c:v>1.2125996639290545E-4</c:v>
                </c:pt>
                <c:pt idx="145">
                  <c:v>1.0913400158858534E-4</c:v>
                </c:pt>
                <c:pt idx="146">
                  <c:v>9.7008029709852136E-5</c:v>
                </c:pt>
                <c:pt idx="147">
                  <c:v>8.4882050756696499E-5</c:v>
                </c:pt>
                <c:pt idx="148">
                  <c:v>7.2756064729109231E-5</c:v>
                </c:pt>
                <c:pt idx="149">
                  <c:v>6.0630071627080996E-5</c:v>
                </c:pt>
                <c:pt idx="150">
                  <c:v>4.8504071450602503E-5</c:v>
                </c:pt>
                <c:pt idx="151">
                  <c:v>3.6378064199664454E-5</c:v>
                </c:pt>
                <c:pt idx="152">
                  <c:v>2.4252049874257587E-5</c:v>
                </c:pt>
                <c:pt idx="153">
                  <c:v>2.3039448052620512E-5</c:v>
                </c:pt>
                <c:pt idx="154">
                  <c:v>2.1826846160238899E-5</c:v>
                </c:pt>
                <c:pt idx="155">
                  <c:v>2.0614244197112475E-5</c:v>
                </c:pt>
                <c:pt idx="156">
                  <c:v>1.9401642163241252E-5</c:v>
                </c:pt>
                <c:pt idx="157">
                  <c:v>1.8189040058625204E-5</c:v>
                </c:pt>
                <c:pt idx="158">
                  <c:v>1.6976437883264331E-5</c:v>
                </c:pt>
                <c:pt idx="159">
                  <c:v>1.5763835637158626E-5</c:v>
                </c:pt>
                <c:pt idx="160">
                  <c:v>1.4551233320308064E-5</c:v>
                </c:pt>
                <c:pt idx="161">
                  <c:v>1.3338630932712649E-5</c:v>
                </c:pt>
                <c:pt idx="162">
                  <c:v>1.2126028474372373E-5</c:v>
                </c:pt>
                <c:pt idx="163">
                  <c:v>1.0913425945287222E-5</c:v>
                </c:pt>
                <c:pt idx="164">
                  <c:v>9.7008233454571884E-6</c:v>
                </c:pt>
                <c:pt idx="165">
                  <c:v>8.4882206748822616E-6</c:v>
                </c:pt>
                <c:pt idx="166">
                  <c:v>7.2756179335624316E-6</c:v>
                </c:pt>
                <c:pt idx="167">
                  <c:v>6.0630151214976915E-6</c:v>
                </c:pt>
                <c:pt idx="168">
                  <c:v>4.8504122386880312E-6</c:v>
                </c:pt>
                <c:pt idx="169">
                  <c:v>3.6378092851334418E-6</c:v>
                </c:pt>
                <c:pt idx="170">
                  <c:v>2.4252062608339094E-6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69-4021-BECD-31F8B1345F17}"/>
            </c:ext>
          </c:extLst>
        </c:ser>
        <c:ser>
          <c:idx val="4"/>
          <c:order val="4"/>
          <c:tx>
            <c:v>1h EoL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'WSO-UV_WUVS_check'!$M$30:$M$200</c:f>
              <c:numCache>
                <c:formatCode>0.00E+00</c:formatCode>
                <c:ptCount val="171"/>
                <c:pt idx="0">
                  <c:v>1229.0609376174061</c:v>
                </c:pt>
                <c:pt idx="1">
                  <c:v>1165.9202696994812</c:v>
                </c:pt>
                <c:pt idx="2">
                  <c:v>1099.1585009677631</c:v>
                </c:pt>
                <c:pt idx="3">
                  <c:v>1028.070432311174</c:v>
                </c:pt>
                <c:pt idx="4">
                  <c:v>951.68709151587132</c:v>
                </c:pt>
                <c:pt idx="5">
                  <c:v>868.61268175623775</c:v>
                </c:pt>
                <c:pt idx="6">
                  <c:v>776.70325672094964</c:v>
                </c:pt>
                <c:pt idx="7">
                  <c:v>672.34550698159956</c:v>
                </c:pt>
                <c:pt idx="8">
                  <c:v>548.48012005155942</c:v>
                </c:pt>
                <c:pt idx="9">
                  <c:v>534.51735544108351</c:v>
                </c:pt>
                <c:pt idx="10">
                  <c:v>520.17998263893435</c:v>
                </c:pt>
                <c:pt idx="11">
                  <c:v>505.43613251635827</c:v>
                </c:pt>
                <c:pt idx="12">
                  <c:v>490.24914414506173</c:v>
                </c:pt>
                <c:pt idx="13">
                  <c:v>474.57649119883541</c:v>
                </c:pt>
                <c:pt idx="14">
                  <c:v>458.36837780962617</c:v>
                </c:pt>
                <c:pt idx="15">
                  <c:v>441.56587029552918</c:v>
                </c:pt>
                <c:pt idx="16">
                  <c:v>424.09836228166301</c:v>
                </c:pt>
                <c:pt idx="17">
                  <c:v>405.88005727519391</c:v>
                </c:pt>
                <c:pt idx="18">
                  <c:v>386.80495895467607</c:v>
                </c:pt>
                <c:pt idx="19">
                  <c:v>366.73951402613812</c:v>
                </c:pt>
                <c:pt idx="20">
                  <c:v>345.51140524120586</c:v>
                </c:pt>
                <c:pt idx="21">
                  <c:v>322.89170416473519</c:v>
                </c:pt>
                <c:pt idx="22">
                  <c:v>298.56483463074755</c:v>
                </c:pt>
                <c:pt idx="23">
                  <c:v>272.07431733287223</c:v>
                </c:pt>
                <c:pt idx="24">
                  <c:v>242.71509506005026</c:v>
                </c:pt>
                <c:pt idx="25">
                  <c:v>209.28957512354108</c:v>
                </c:pt>
                <c:pt idx="26">
                  <c:v>169.43005390986627</c:v>
                </c:pt>
                <c:pt idx="27">
                  <c:v>164.9194882113224</c:v>
                </c:pt>
                <c:pt idx="28">
                  <c:v>160.28338137988587</c:v>
                </c:pt>
                <c:pt idx="29">
                  <c:v>155.5107355485153</c:v>
                </c:pt>
                <c:pt idx="30">
                  <c:v>150.58886194716513</c:v>
                </c:pt>
                <c:pt idx="31">
                  <c:v>145.50299614170086</c:v>
                </c:pt>
                <c:pt idx="32">
                  <c:v>140.23579376905266</c:v>
                </c:pt>
                <c:pt idx="33">
                  <c:v>134.76665838190476</c:v>
                </c:pt>
                <c:pt idx="34">
                  <c:v>129.0708281904902</c:v>
                </c:pt>
                <c:pt idx="35">
                  <c:v>123.11810781078459</c:v>
                </c:pt>
                <c:pt idx="36">
                  <c:v>116.87106213730577</c:v>
                </c:pt>
                <c:pt idx="37">
                  <c:v>110.28236770903277</c:v>
                </c:pt>
                <c:pt idx="38">
                  <c:v>103.29079190829358</c:v>
                </c:pt>
                <c:pt idx="39">
                  <c:v>95.814831045161</c:v>
                </c:pt>
                <c:pt idx="40">
                  <c:v>87.742122620608058</c:v>
                </c:pt>
                <c:pt idx="41">
                  <c:v>78.91067784949766</c:v>
                </c:pt>
                <c:pt idx="42">
                  <c:v>69.072805216194396</c:v>
                </c:pt>
                <c:pt idx="43">
                  <c:v>57.817813221776575</c:v>
                </c:pt>
                <c:pt idx="44">
                  <c:v>44.378863375597675</c:v>
                </c:pt>
                <c:pt idx="45">
                  <c:v>42.863506403756425</c:v>
                </c:pt>
                <c:pt idx="46">
                  <c:v>41.308613185264939</c:v>
                </c:pt>
                <c:pt idx="47">
                  <c:v>39.711345243663978</c:v>
                </c:pt>
                <c:pt idx="48">
                  <c:v>38.068534353164424</c:v>
                </c:pt>
                <c:pt idx="49">
                  <c:v>36.37662910697739</c:v>
                </c:pt>
                <c:pt idx="50">
                  <c:v>34.631630233678514</c:v>
                </c:pt>
                <c:pt idx="51">
                  <c:v>32.829011706797871</c:v>
                </c:pt>
                <c:pt idx="52">
                  <c:v>30.963623750900105</c:v>
                </c:pt>
                <c:pt idx="53">
                  <c:v>29.029572547734688</c:v>
                </c:pt>
                <c:pt idx="54">
                  <c:v>27.020069628861226</c:v>
                </c:pt>
                <c:pt idx="55">
                  <c:v>24.927241363733131</c:v>
                </c:pt>
                <c:pt idx="56">
                  <c:v>22.741885238925398</c:v>
                </c:pt>
                <c:pt idx="57">
                  <c:v>20.453154182226921</c:v>
                </c:pt>
                <c:pt idx="58">
                  <c:v>18.048142058809191</c:v>
                </c:pt>
                <c:pt idx="59">
                  <c:v>15.511331077289144</c:v>
                </c:pt>
                <c:pt idx="60">
                  <c:v>12.823842515777431</c:v>
                </c:pt>
                <c:pt idx="61">
                  <c:v>9.9624012424655533</c:v>
                </c:pt>
                <c:pt idx="62">
                  <c:v>6.8978735414700063</c:v>
                </c:pt>
                <c:pt idx="63">
                  <c:v>6.5789060663961232</c:v>
                </c:pt>
                <c:pt idx="64">
                  <c:v>6.2575033706313183</c:v>
                </c:pt>
                <c:pt idx="65">
                  <c:v>5.9336220570098988</c:v>
                </c:pt>
                <c:pt idx="66">
                  <c:v>5.6072175647497202</c:v>
                </c:pt>
                <c:pt idx="67">
                  <c:v>5.278244128042731</c:v>
                </c:pt>
                <c:pt idx="68">
                  <c:v>4.9466547328088444</c:v>
                </c:pt>
                <c:pt idx="69">
                  <c:v>4.612401071515448</c:v>
                </c:pt>
                <c:pt idx="70">
                  <c:v>4.2754334959588416</c:v>
                </c:pt>
                <c:pt idx="71">
                  <c:v>3.9357009678972812</c:v>
                </c:pt>
                <c:pt idx="72">
                  <c:v>3.593151007418466</c:v>
                </c:pt>
                <c:pt idx="73">
                  <c:v>3.2477296389167094</c:v>
                </c:pt>
                <c:pt idx="74">
                  <c:v>2.8993813345471247</c:v>
                </c:pt>
                <c:pt idx="75">
                  <c:v>2.5480489550154615</c:v>
                </c:pt>
                <c:pt idx="76">
                  <c:v>2.1936736875530598</c:v>
                </c:pt>
                <c:pt idx="77">
                  <c:v>1.8361949809163547</c:v>
                </c:pt>
                <c:pt idx="78">
                  <c:v>1.4755504772397565</c:v>
                </c:pt>
                <c:pt idx="79">
                  <c:v>1.1116759405591567</c:v>
                </c:pt>
                <c:pt idx="80">
                  <c:v>0.74450518181094472</c:v>
                </c:pt>
                <c:pt idx="81">
                  <c:v>0.70760420525577139</c:v>
                </c:pt>
                <c:pt idx="82">
                  <c:v>0.67066951665209318</c:v>
                </c:pt>
                <c:pt idx="83">
                  <c:v>0.63370104642479808</c:v>
                </c:pt>
                <c:pt idx="84">
                  <c:v>0.59669872478568842</c:v>
                </c:pt>
                <c:pt idx="85">
                  <c:v>0.5596624817326229</c:v>
                </c:pt>
                <c:pt idx="86">
                  <c:v>0.52259224704865526</c:v>
                </c:pt>
                <c:pt idx="87">
                  <c:v>0.48548795030116826</c:v>
                </c:pt>
                <c:pt idx="88">
                  <c:v>0.44834952084100249</c:v>
                </c:pt>
                <c:pt idx="89">
                  <c:v>0.41117688780158157</c:v>
                </c:pt>
                <c:pt idx="90">
                  <c:v>0.37396998009803423</c:v>
                </c:pt>
                <c:pt idx="91">
                  <c:v>0.33672872642630874</c:v>
                </c:pt>
                <c:pt idx="92">
                  <c:v>0.29945305526228683</c:v>
                </c:pt>
                <c:pt idx="93">
                  <c:v>0.26214289486088987</c:v>
                </c:pt>
                <c:pt idx="94">
                  <c:v>0.22479817325518298</c:v>
                </c:pt>
                <c:pt idx="95">
                  <c:v>0.18741881825547255</c:v>
                </c:pt>
                <c:pt idx="96">
                  <c:v>0.15000475744840128</c:v>
                </c:pt>
                <c:pt idx="97">
                  <c:v>0.11255591819603712</c:v>
                </c:pt>
                <c:pt idx="98">
                  <c:v>7.5072227634958452E-2</c:v>
                </c:pt>
                <c:pt idx="99">
                  <c:v>7.132193894487901E-2</c:v>
                </c:pt>
                <c:pt idx="100">
                  <c:v>6.7571300937787029E-2</c:v>
                </c:pt>
                <c:pt idx="101">
                  <c:v>6.3820313540445164E-2</c:v>
                </c:pt>
                <c:pt idx="102">
                  <c:v>6.0068976679593225E-2</c:v>
                </c:pt>
                <c:pt idx="103">
                  <c:v>5.6317290281948339E-2</c:v>
                </c:pt>
                <c:pt idx="104">
                  <c:v>5.2565254274204873E-2</c:v>
                </c:pt>
                <c:pt idx="105">
                  <c:v>4.8812868583034359E-2</c:v>
                </c:pt>
                <c:pt idx="106">
                  <c:v>4.5060133135085556E-2</c:v>
                </c:pt>
                <c:pt idx="107">
                  <c:v>4.1307047856984483E-2</c:v>
                </c:pt>
                <c:pt idx="108">
                  <c:v>3.7553612675334282E-2</c:v>
                </c:pt>
                <c:pt idx="109">
                  <c:v>3.3799827516715272E-2</c:v>
                </c:pt>
                <c:pt idx="110">
                  <c:v>3.0045692307685019E-2</c:v>
                </c:pt>
                <c:pt idx="111">
                  <c:v>2.6291206974778183E-2</c:v>
                </c:pt>
                <c:pt idx="112">
                  <c:v>2.2536371444506598E-2</c:v>
                </c:pt>
                <c:pt idx="113">
                  <c:v>1.8781185643359281E-2</c:v>
                </c:pt>
                <c:pt idx="114">
                  <c:v>1.5025649497802331E-2</c:v>
                </c:pt>
                <c:pt idx="115">
                  <c:v>1.1269762934279002E-2</c:v>
                </c:pt>
                <c:pt idx="116">
                  <c:v>7.5135258792096747E-3</c:v>
                </c:pt>
                <c:pt idx="117">
                  <c:v>7.1378828938342114E-3</c:v>
                </c:pt>
                <c:pt idx="118">
                  <c:v>6.7622364027336681E-3</c:v>
                </c:pt>
                <c:pt idx="119">
                  <c:v>6.3865864058344273E-3</c:v>
                </c:pt>
                <c:pt idx="120">
                  <c:v>6.0109329030628659E-3</c:v>
                </c:pt>
                <c:pt idx="121">
                  <c:v>5.6352758943453603E-3</c:v>
                </c:pt>
                <c:pt idx="122">
                  <c:v>5.2596153796082958E-3</c:v>
                </c:pt>
                <c:pt idx="123">
                  <c:v>4.883951358778036E-3</c:v>
                </c:pt>
                <c:pt idx="124">
                  <c:v>4.5082838317809576E-3</c:v>
                </c:pt>
                <c:pt idx="125">
                  <c:v>4.1326127985434292E-3</c:v>
                </c:pt>
                <c:pt idx="126">
                  <c:v>3.7569382589918141E-3</c:v>
                </c:pt>
                <c:pt idx="127">
                  <c:v>3.3812602130524777E-3</c:v>
                </c:pt>
                <c:pt idx="128">
                  <c:v>3.0055786606517846E-3</c:v>
                </c:pt>
                <c:pt idx="129">
                  <c:v>2.6298936017160905E-3</c:v>
                </c:pt>
                <c:pt idx="130">
                  <c:v>2.2542050361717557E-3</c:v>
                </c:pt>
                <c:pt idx="131">
                  <c:v>1.878512963945135E-3</c:v>
                </c:pt>
                <c:pt idx="132">
                  <c:v>1.5028173849625801E-3</c:v>
                </c:pt>
                <c:pt idx="133">
                  <c:v>1.1271182991504417E-3</c:v>
                </c:pt>
                <c:pt idx="134">
                  <c:v>7.5141570643506817E-4</c:v>
                </c:pt>
                <c:pt idx="135">
                  <c:v>7.1384525428101796E-4</c:v>
                </c:pt>
                <c:pt idx="136">
                  <c:v>6.7627476705712467E-4</c:v>
                </c:pt>
                <c:pt idx="137">
                  <c:v>6.3870424476331522E-4</c:v>
                </c:pt>
                <c:pt idx="138">
                  <c:v>6.0113368739951557E-4</c:v>
                </c:pt>
                <c:pt idx="139">
                  <c:v>5.6356309496565264E-4</c:v>
                </c:pt>
                <c:pt idx="140">
                  <c:v>5.2599246746165248E-4</c:v>
                </c:pt>
                <c:pt idx="141">
                  <c:v>4.8842180488744159E-4</c:v>
                </c:pt>
                <c:pt idx="142">
                  <c:v>4.5085110724294689E-4</c:v>
                </c:pt>
                <c:pt idx="143">
                  <c:v>4.132803745280933E-4</c:v>
                </c:pt>
                <c:pt idx="144">
                  <c:v>3.7570960674280786E-4</c:v>
                </c:pt>
                <c:pt idx="145">
                  <c:v>3.3813880388701705E-4</c:v>
                </c:pt>
                <c:pt idx="146">
                  <c:v>3.0056796596064709E-4</c:v>
                </c:pt>
                <c:pt idx="147">
                  <c:v>2.6299709296362438E-4</c:v>
                </c:pt>
                <c:pt idx="148">
                  <c:v>2.2542618489587526E-4</c:v>
                </c:pt>
                <c:pt idx="149">
                  <c:v>1.8785524175732608E-4</c:v>
                </c:pt>
                <c:pt idx="150">
                  <c:v>1.5028426354790316E-4</c:v>
                </c:pt>
                <c:pt idx="151">
                  <c:v>1.1271325026753279E-4</c:v>
                </c:pt>
                <c:pt idx="152">
                  <c:v>7.5142201916141379E-5</c:v>
                </c:pt>
                <c:pt idx="153">
                  <c:v>7.1385095152092485E-5</c:v>
                </c:pt>
                <c:pt idx="154">
                  <c:v>6.7627988037333341E-5</c:v>
                </c:pt>
                <c:pt idx="155">
                  <c:v>6.3870880571863077E-5</c:v>
                </c:pt>
                <c:pt idx="156">
                  <c:v>6.0113772755681674E-5</c:v>
                </c:pt>
                <c:pt idx="157">
                  <c:v>5.6356664588789011E-5</c:v>
                </c:pt>
                <c:pt idx="158">
                  <c:v>5.2599556071185038E-5</c:v>
                </c:pt>
                <c:pt idx="159">
                  <c:v>4.8842447202869683E-5</c:v>
                </c:pt>
                <c:pt idx="160">
                  <c:v>4.5085337983842844E-5</c:v>
                </c:pt>
                <c:pt idx="161">
                  <c:v>4.1328228414104479E-5</c:v>
                </c:pt>
                <c:pt idx="162">
                  <c:v>3.7571118493654508E-5</c:v>
                </c:pt>
                <c:pt idx="163">
                  <c:v>3.3814008222492842E-5</c:v>
                </c:pt>
                <c:pt idx="164">
                  <c:v>3.005689760061943E-5</c:v>
                </c:pt>
                <c:pt idx="165">
                  <c:v>2.6299786628034185E-5</c:v>
                </c:pt>
                <c:pt idx="166">
                  <c:v>2.2542675304737035E-5</c:v>
                </c:pt>
                <c:pt idx="167">
                  <c:v>1.8785563630727906E-5</c:v>
                </c:pt>
                <c:pt idx="168">
                  <c:v>1.5028451606006723E-5</c:v>
                </c:pt>
                <c:pt idx="169">
                  <c:v>1.1271339230573414E-5</c:v>
                </c:pt>
                <c:pt idx="170">
                  <c:v>7.5142265044278977E-6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69-4021-BECD-31F8B1345F17}"/>
            </c:ext>
          </c:extLst>
        </c:ser>
        <c:ser>
          <c:idx val="5"/>
          <c:order val="5"/>
          <c:tx>
            <c:v>10h EoL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'WSO-UV_WUVS_check'!$C$30:$C$200</c:f>
              <c:numCache>
                <c:formatCode>0.00E+00</c:formatCode>
                <c:ptCount val="171"/>
                <c:pt idx="0">
                  <c:v>6048836.2190393396</c:v>
                </c:pt>
                <c:pt idx="1">
                  <c:v>5443952.597135406</c:v>
                </c:pt>
                <c:pt idx="2">
                  <c:v>4839068.9752314715</c:v>
                </c:pt>
                <c:pt idx="3">
                  <c:v>4234185.353327536</c:v>
                </c:pt>
                <c:pt idx="4">
                  <c:v>3629301.7314236043</c:v>
                </c:pt>
                <c:pt idx="5">
                  <c:v>3024418.1095196698</c:v>
                </c:pt>
                <c:pt idx="6">
                  <c:v>2419534.4876157357</c:v>
                </c:pt>
                <c:pt idx="7">
                  <c:v>1814650.8657118022</c:v>
                </c:pt>
                <c:pt idx="8">
                  <c:v>1209767.2438078679</c:v>
                </c:pt>
                <c:pt idx="9">
                  <c:v>1149278.8816174744</c:v>
                </c:pt>
                <c:pt idx="10">
                  <c:v>1088790.5194270811</c:v>
                </c:pt>
                <c:pt idx="11">
                  <c:v>1028302.1572366876</c:v>
                </c:pt>
                <c:pt idx="12">
                  <c:v>967813.79504629434</c:v>
                </c:pt>
                <c:pt idx="13">
                  <c:v>907325.43285590108</c:v>
                </c:pt>
                <c:pt idx="14">
                  <c:v>846837.07066550746</c:v>
                </c:pt>
                <c:pt idx="15">
                  <c:v>786348.7084751142</c:v>
                </c:pt>
                <c:pt idx="16">
                  <c:v>725860.3462847207</c:v>
                </c:pt>
                <c:pt idx="17">
                  <c:v>665371.9840943272</c:v>
                </c:pt>
                <c:pt idx="18">
                  <c:v>604883.62190393393</c:v>
                </c:pt>
                <c:pt idx="19">
                  <c:v>544395.25971354055</c:v>
                </c:pt>
                <c:pt idx="20">
                  <c:v>483906.89752314717</c:v>
                </c:pt>
                <c:pt idx="21">
                  <c:v>423418.53533275373</c:v>
                </c:pt>
                <c:pt idx="22">
                  <c:v>362930.17314236035</c:v>
                </c:pt>
                <c:pt idx="23">
                  <c:v>302441.81095196697</c:v>
                </c:pt>
                <c:pt idx="24">
                  <c:v>241953.44876157359</c:v>
                </c:pt>
                <c:pt idx="25">
                  <c:v>181465.08657118017</c:v>
                </c:pt>
                <c:pt idx="26">
                  <c:v>120976.72438078679</c:v>
                </c:pt>
                <c:pt idx="27">
                  <c:v>114927.88816174743</c:v>
                </c:pt>
                <c:pt idx="28">
                  <c:v>108879.0519427081</c:v>
                </c:pt>
                <c:pt idx="29">
                  <c:v>102830.21572366876</c:v>
                </c:pt>
                <c:pt idx="30">
                  <c:v>96781.379504629396</c:v>
                </c:pt>
                <c:pt idx="31">
                  <c:v>90732.543285590087</c:v>
                </c:pt>
                <c:pt idx="32">
                  <c:v>84683.70706655072</c:v>
                </c:pt>
                <c:pt idx="33">
                  <c:v>78634.870847511411</c:v>
                </c:pt>
                <c:pt idx="34">
                  <c:v>72586.034628472073</c:v>
                </c:pt>
                <c:pt idx="35">
                  <c:v>66537.198409432734</c:v>
                </c:pt>
                <c:pt idx="36">
                  <c:v>60488.362190393396</c:v>
                </c:pt>
                <c:pt idx="37">
                  <c:v>54439.525971354051</c:v>
                </c:pt>
                <c:pt idx="38">
                  <c:v>48390.689752314698</c:v>
                </c:pt>
                <c:pt idx="39">
                  <c:v>42341.85353327536</c:v>
                </c:pt>
                <c:pt idx="40">
                  <c:v>36293.017314236036</c:v>
                </c:pt>
                <c:pt idx="41">
                  <c:v>30244.181095196698</c:v>
                </c:pt>
                <c:pt idx="42">
                  <c:v>24195.344876157349</c:v>
                </c:pt>
                <c:pt idx="43">
                  <c:v>18146.508657118018</c:v>
                </c:pt>
                <c:pt idx="44">
                  <c:v>12097.672438078675</c:v>
                </c:pt>
                <c:pt idx="45">
                  <c:v>11492.788816174741</c:v>
                </c:pt>
                <c:pt idx="46">
                  <c:v>10887.905194270808</c:v>
                </c:pt>
                <c:pt idx="47">
                  <c:v>10283.021572366873</c:v>
                </c:pt>
                <c:pt idx="48">
                  <c:v>9678.1379504629422</c:v>
                </c:pt>
                <c:pt idx="49">
                  <c:v>9073.2543285590091</c:v>
                </c:pt>
                <c:pt idx="50">
                  <c:v>8468.370706655076</c:v>
                </c:pt>
                <c:pt idx="51">
                  <c:v>7863.4870847511402</c:v>
                </c:pt>
                <c:pt idx="52">
                  <c:v>7258.6034628472062</c:v>
                </c:pt>
                <c:pt idx="53">
                  <c:v>6653.7198409432731</c:v>
                </c:pt>
                <c:pt idx="54">
                  <c:v>6048.8362190393373</c:v>
                </c:pt>
                <c:pt idx="55">
                  <c:v>5443.9525971354042</c:v>
                </c:pt>
                <c:pt idx="56">
                  <c:v>4839.0689752314711</c:v>
                </c:pt>
                <c:pt idx="57">
                  <c:v>4234.185353327538</c:v>
                </c:pt>
                <c:pt idx="58">
                  <c:v>3629.3017314236031</c:v>
                </c:pt>
                <c:pt idx="59">
                  <c:v>3024.4181095196686</c:v>
                </c:pt>
                <c:pt idx="60">
                  <c:v>2419.5344876157355</c:v>
                </c:pt>
                <c:pt idx="61">
                  <c:v>1814.6508657118015</c:v>
                </c:pt>
                <c:pt idx="62">
                  <c:v>1209.7672438078678</c:v>
                </c:pt>
                <c:pt idx="63">
                  <c:v>1149.2788816174741</c:v>
                </c:pt>
                <c:pt idx="64">
                  <c:v>1088.7905194270807</c:v>
                </c:pt>
                <c:pt idx="65">
                  <c:v>1028.3021572366877</c:v>
                </c:pt>
                <c:pt idx="66">
                  <c:v>967.81379504629444</c:v>
                </c:pt>
                <c:pt idx="67">
                  <c:v>907.32543285590077</c:v>
                </c:pt>
                <c:pt idx="68">
                  <c:v>846.83707066550744</c:v>
                </c:pt>
                <c:pt idx="69">
                  <c:v>786.34870847511388</c:v>
                </c:pt>
                <c:pt idx="70">
                  <c:v>725.86034628472078</c:v>
                </c:pt>
                <c:pt idx="71">
                  <c:v>665.37198409432733</c:v>
                </c:pt>
                <c:pt idx="72">
                  <c:v>604.88362190393389</c:v>
                </c:pt>
                <c:pt idx="73">
                  <c:v>544.39525971354033</c:v>
                </c:pt>
                <c:pt idx="74">
                  <c:v>483.90689752314722</c:v>
                </c:pt>
                <c:pt idx="75">
                  <c:v>423.41853533275372</c:v>
                </c:pt>
                <c:pt idx="76">
                  <c:v>362.93017314236039</c:v>
                </c:pt>
                <c:pt idx="77">
                  <c:v>302.44181095196694</c:v>
                </c:pt>
                <c:pt idx="78">
                  <c:v>241.95344876157361</c:v>
                </c:pt>
                <c:pt idx="79">
                  <c:v>181.46508657118019</c:v>
                </c:pt>
                <c:pt idx="80">
                  <c:v>120.97672438078681</c:v>
                </c:pt>
                <c:pt idx="81">
                  <c:v>114.92788816174746</c:v>
                </c:pt>
                <c:pt idx="82">
                  <c:v>108.8790519427081</c:v>
                </c:pt>
                <c:pt idx="83">
                  <c:v>102.83021572366876</c:v>
                </c:pt>
                <c:pt idx="84">
                  <c:v>96.781379504629442</c:v>
                </c:pt>
                <c:pt idx="85">
                  <c:v>90.732543285590097</c:v>
                </c:pt>
                <c:pt idx="86">
                  <c:v>84.683707066550738</c:v>
                </c:pt>
                <c:pt idx="87">
                  <c:v>78.634870847511394</c:v>
                </c:pt>
                <c:pt idx="88">
                  <c:v>72.586034628472078</c:v>
                </c:pt>
                <c:pt idx="89">
                  <c:v>66.537198409432719</c:v>
                </c:pt>
                <c:pt idx="90">
                  <c:v>60.488362190393403</c:v>
                </c:pt>
                <c:pt idx="91">
                  <c:v>54.439525971354051</c:v>
                </c:pt>
                <c:pt idx="92">
                  <c:v>48.390689752314721</c:v>
                </c:pt>
                <c:pt idx="93">
                  <c:v>42.341853533275369</c:v>
                </c:pt>
                <c:pt idx="94">
                  <c:v>36.293017314236039</c:v>
                </c:pt>
                <c:pt idx="95">
                  <c:v>30.244181095196701</c:v>
                </c:pt>
                <c:pt idx="96">
                  <c:v>24.19534487615736</c:v>
                </c:pt>
                <c:pt idx="97">
                  <c:v>18.146508657118019</c:v>
                </c:pt>
                <c:pt idx="98">
                  <c:v>12.09767243807868</c:v>
                </c:pt>
                <c:pt idx="99">
                  <c:v>11.492788816174745</c:v>
                </c:pt>
                <c:pt idx="100">
                  <c:v>10.887905194270809</c:v>
                </c:pt>
                <c:pt idx="101">
                  <c:v>10.283021572366879</c:v>
                </c:pt>
                <c:pt idx="102">
                  <c:v>9.6781379504629435</c:v>
                </c:pt>
                <c:pt idx="103">
                  <c:v>9.0732543285590097</c:v>
                </c:pt>
                <c:pt idx="104">
                  <c:v>8.468370706655076</c:v>
                </c:pt>
                <c:pt idx="105">
                  <c:v>7.8634870847511422</c:v>
                </c:pt>
                <c:pt idx="106">
                  <c:v>7.2586034628472049</c:v>
                </c:pt>
                <c:pt idx="107">
                  <c:v>6.6537198409432721</c:v>
                </c:pt>
                <c:pt idx="108">
                  <c:v>6.0488362190393401</c:v>
                </c:pt>
                <c:pt idx="109">
                  <c:v>5.4439525971354046</c:v>
                </c:pt>
                <c:pt idx="110">
                  <c:v>4.8390689752314717</c:v>
                </c:pt>
                <c:pt idx="111">
                  <c:v>4.234185353327538</c:v>
                </c:pt>
                <c:pt idx="112">
                  <c:v>3.6293017314236025</c:v>
                </c:pt>
                <c:pt idx="113">
                  <c:v>3.0244181095196701</c:v>
                </c:pt>
                <c:pt idx="114">
                  <c:v>2.4195344876157359</c:v>
                </c:pt>
                <c:pt idx="115">
                  <c:v>1.8146508657118012</c:v>
                </c:pt>
                <c:pt idx="116">
                  <c:v>1.2097672438078679</c:v>
                </c:pt>
                <c:pt idx="117">
                  <c:v>1.1492788816174744</c:v>
                </c:pt>
                <c:pt idx="118">
                  <c:v>1.088790519427081</c:v>
                </c:pt>
                <c:pt idx="119">
                  <c:v>1.0283021572366879</c:v>
                </c:pt>
                <c:pt idx="120">
                  <c:v>0.9678137950462945</c:v>
                </c:pt>
                <c:pt idx="121">
                  <c:v>0.90732543285590062</c:v>
                </c:pt>
                <c:pt idx="122">
                  <c:v>0.84683707066550751</c:v>
                </c:pt>
                <c:pt idx="123">
                  <c:v>0.78634870847511384</c:v>
                </c:pt>
                <c:pt idx="124">
                  <c:v>0.72586034628472063</c:v>
                </c:pt>
                <c:pt idx="125">
                  <c:v>0.66537198409432741</c:v>
                </c:pt>
                <c:pt idx="126">
                  <c:v>0.60488362190393397</c:v>
                </c:pt>
                <c:pt idx="127">
                  <c:v>0.54439525971354052</c:v>
                </c:pt>
                <c:pt idx="128">
                  <c:v>0.48390689752314725</c:v>
                </c:pt>
                <c:pt idx="129">
                  <c:v>0.42341853533275375</c:v>
                </c:pt>
                <c:pt idx="130">
                  <c:v>0.36293017314236031</c:v>
                </c:pt>
                <c:pt idx="131">
                  <c:v>0.30244181095196698</c:v>
                </c:pt>
                <c:pt idx="132">
                  <c:v>0.24195344876157363</c:v>
                </c:pt>
                <c:pt idx="133">
                  <c:v>0.18146508657118016</c:v>
                </c:pt>
                <c:pt idx="134">
                  <c:v>0.12097672438078665</c:v>
                </c:pt>
                <c:pt idx="135">
                  <c:v>0.11492788816174743</c:v>
                </c:pt>
                <c:pt idx="136">
                  <c:v>0.10887905194270811</c:v>
                </c:pt>
                <c:pt idx="137">
                  <c:v>0.10283021572366878</c:v>
                </c:pt>
                <c:pt idx="138">
                  <c:v>9.6781379504629422E-2</c:v>
                </c:pt>
                <c:pt idx="139">
                  <c:v>9.0732543285590078E-2</c:v>
                </c:pt>
                <c:pt idx="140">
                  <c:v>8.4683707066550734E-2</c:v>
                </c:pt>
                <c:pt idx="141">
                  <c:v>7.8634870847511418E-2</c:v>
                </c:pt>
                <c:pt idx="142">
                  <c:v>7.2586034628472199E-2</c:v>
                </c:pt>
                <c:pt idx="143">
                  <c:v>6.6537198409432854E-2</c:v>
                </c:pt>
                <c:pt idx="144">
                  <c:v>6.0488362190393503E-2</c:v>
                </c:pt>
                <c:pt idx="145">
                  <c:v>5.4439525971354173E-2</c:v>
                </c:pt>
                <c:pt idx="146">
                  <c:v>4.8390689752314829E-2</c:v>
                </c:pt>
                <c:pt idx="147">
                  <c:v>4.2341853533275485E-2</c:v>
                </c:pt>
                <c:pt idx="148">
                  <c:v>3.6293017314236148E-2</c:v>
                </c:pt>
                <c:pt idx="149">
                  <c:v>3.0244181095196814E-2</c:v>
                </c:pt>
                <c:pt idx="150">
                  <c:v>2.419534487615748E-2</c:v>
                </c:pt>
                <c:pt idx="151">
                  <c:v>1.8146508657118136E-2</c:v>
                </c:pt>
                <c:pt idx="152">
                  <c:v>1.2097672438078797E-2</c:v>
                </c:pt>
                <c:pt idx="153">
                  <c:v>1.1492788816174741E-2</c:v>
                </c:pt>
                <c:pt idx="154">
                  <c:v>1.0887905194270809E-2</c:v>
                </c:pt>
                <c:pt idx="155">
                  <c:v>1.0283021572366874E-2</c:v>
                </c:pt>
                <c:pt idx="156">
                  <c:v>9.6781379504629426E-3</c:v>
                </c:pt>
                <c:pt idx="157">
                  <c:v>9.0732543285590075E-3</c:v>
                </c:pt>
                <c:pt idx="158">
                  <c:v>8.4683707066550741E-3</c:v>
                </c:pt>
                <c:pt idx="159">
                  <c:v>7.8634870847511425E-3</c:v>
                </c:pt>
                <c:pt idx="160">
                  <c:v>7.2586034628472065E-3</c:v>
                </c:pt>
                <c:pt idx="161">
                  <c:v>6.6537198409432731E-3</c:v>
                </c:pt>
                <c:pt idx="162">
                  <c:v>6.0488362190393389E-3</c:v>
                </c:pt>
                <c:pt idx="163">
                  <c:v>5.4439525971354047E-3</c:v>
                </c:pt>
                <c:pt idx="164">
                  <c:v>4.8390689752314713E-3</c:v>
                </c:pt>
                <c:pt idx="165">
                  <c:v>4.2341853533275371E-3</c:v>
                </c:pt>
                <c:pt idx="166">
                  <c:v>3.6293017314236032E-3</c:v>
                </c:pt>
                <c:pt idx="167">
                  <c:v>3.0244181095196694E-3</c:v>
                </c:pt>
                <c:pt idx="168">
                  <c:v>2.4195344876157356E-3</c:v>
                </c:pt>
                <c:pt idx="169">
                  <c:v>1.8146508657118016E-3</c:v>
                </c:pt>
                <c:pt idx="170">
                  <c:v>1.2097672438078663E-3</c:v>
                </c:pt>
              </c:numCache>
            </c:numRef>
          </c:xVal>
          <c:yVal>
            <c:numRef>
              <c:f>'WSO-UV_WUVS_check'!$O$30:$O$200</c:f>
              <c:numCache>
                <c:formatCode>0.00E+00</c:formatCode>
                <c:ptCount val="171"/>
                <c:pt idx="0">
                  <c:v>3886.6319460131253</c:v>
                </c:pt>
                <c:pt idx="1">
                  <c:v>3686.963622408161</c:v>
                </c:pt>
                <c:pt idx="2">
                  <c:v>3475.8443725945217</c:v>
                </c:pt>
                <c:pt idx="3">
                  <c:v>3251.0441611772735</c:v>
                </c:pt>
                <c:pt idx="4">
                  <c:v>3009.4988289712596</c:v>
                </c:pt>
                <c:pt idx="5">
                  <c:v>2746.794478856697</c:v>
                </c:pt>
                <c:pt idx="6">
                  <c:v>2456.1513573086845</c:v>
                </c:pt>
                <c:pt idx="7">
                  <c:v>2126.1431766424953</c:v>
                </c:pt>
                <c:pt idx="8">
                  <c:v>1734.446430685517</c:v>
                </c:pt>
                <c:pt idx="9">
                  <c:v>1690.2922920836195</c:v>
                </c:pt>
                <c:pt idx="10">
                  <c:v>1644.9535383658776</c:v>
                </c:pt>
                <c:pt idx="11">
                  <c:v>1598.3293904983846</c:v>
                </c:pt>
                <c:pt idx="12">
                  <c:v>1550.3039164465961</c:v>
                </c:pt>
                <c:pt idx="13">
                  <c:v>1500.7426361591727</c:v>
                </c:pt>
                <c:pt idx="14">
                  <c:v>1449.4880812750002</c:v>
                </c:pt>
                <c:pt idx="15">
                  <c:v>1396.3538871283602</c:v>
                </c:pt>
                <c:pt idx="16">
                  <c:v>1341.1167767572992</c:v>
                </c:pt>
                <c:pt idx="17">
                  <c:v>1283.5054378292079</c:v>
                </c:pt>
                <c:pt idx="18">
                  <c:v>1223.1846805447192</c:v>
                </c:pt>
                <c:pt idx="19">
                  <c:v>1159.7321723058647</c:v>
                </c:pt>
                <c:pt idx="20">
                  <c:v>1092.6029981276492</c:v>
                </c:pt>
                <c:pt idx="21">
                  <c:v>1021.0732227338392</c:v>
                </c:pt>
                <c:pt idx="22">
                  <c:v>944.14490666467941</c:v>
                </c:pt>
                <c:pt idx="23">
                  <c:v>860.37453560730432</c:v>
                </c:pt>
                <c:pt idx="24">
                  <c:v>767.53252289404145</c:v>
                </c:pt>
                <c:pt idx="25">
                  <c:v>661.83174791930571</c:v>
                </c:pt>
                <c:pt idx="26">
                  <c:v>535.78487444029429</c:v>
                </c:pt>
                <c:pt idx="27">
                  <c:v>521.52121329706722</c:v>
                </c:pt>
                <c:pt idx="28">
                  <c:v>506.86055623386147</c:v>
                </c:pt>
                <c:pt idx="29">
                  <c:v>491.76812494142257</c:v>
                </c:pt>
                <c:pt idx="30">
                  <c:v>476.20379400570044</c:v>
                </c:pt>
                <c:pt idx="31">
                  <c:v>460.12087418646649</c:v>
                </c:pt>
                <c:pt idx="32">
                  <c:v>443.46451779185526</c:v>
                </c:pt>
                <c:pt idx="33">
                  <c:v>426.16959313664114</c:v>
                </c:pt>
                <c:pt idx="34">
                  <c:v>408.15779656621828</c:v>
                </c:pt>
                <c:pt idx="35">
                  <c:v>389.33364189224619</c:v>
                </c:pt>
                <c:pt idx="36">
                  <c:v>369.57874891695252</c:v>
                </c:pt>
                <c:pt idx="37">
                  <c:v>348.74346771674897</c:v>
                </c:pt>
                <c:pt idx="38">
                  <c:v>326.63416375269759</c:v>
                </c:pt>
                <c:pt idx="39">
                  <c:v>302.99309972692032</c:v>
                </c:pt>
                <c:pt idx="40">
                  <c:v>277.46495421890342</c:v>
                </c:pt>
                <c:pt idx="41">
                  <c:v>249.53747371221019</c:v>
                </c:pt>
                <c:pt idx="42">
                  <c:v>218.42738886033345</c:v>
                </c:pt>
                <c:pt idx="43">
                  <c:v>182.83597911101199</c:v>
                </c:pt>
                <c:pt idx="44">
                  <c:v>140.33828823631723</c:v>
                </c:pt>
                <c:pt idx="45">
                  <c:v>135.54630873708319</c:v>
                </c:pt>
                <c:pt idx="46">
                  <c:v>130.62930464830029</c:v>
                </c:pt>
                <c:pt idx="47">
                  <c:v>125.57829991927242</c:v>
                </c:pt>
                <c:pt idx="48">
                  <c:v>120.38327574036435</c:v>
                </c:pt>
                <c:pt idx="49">
                  <c:v>115.03300157722543</c:v>
                </c:pt>
                <c:pt idx="50">
                  <c:v>109.5148306231734</c:v>
                </c:pt>
                <c:pt idx="51">
                  <c:v>103.81445032581311</c:v>
                </c:pt>
                <c:pt idx="52">
                  <c:v>97.915575665330437</c:v>
                </c:pt>
                <c:pt idx="53">
                  <c:v>91.799568751938679</c:v>
                </c:pt>
                <c:pt idx="54">
                  <c:v>85.444962563541964</c:v>
                </c:pt>
                <c:pt idx="55">
                  <c:v>78.826858494158444</c:v>
                </c:pt>
                <c:pt idx="56">
                  <c:v>71.91615564116681</c:v>
                </c:pt>
                <c:pt idx="57">
                  <c:v>64.678552550435668</c:v>
                </c:pt>
                <c:pt idx="58">
                  <c:v>57.07323644011764</c:v>
                </c:pt>
                <c:pt idx="59">
                  <c:v>49.051135745186983</c:v>
                </c:pt>
                <c:pt idx="60">
                  <c:v>40.552550705160442</c:v>
                </c:pt>
                <c:pt idx="61">
                  <c:v>31.503878890682525</c:v>
                </c:pt>
                <c:pt idx="62">
                  <c:v>21.81299140285714</c:v>
                </c:pt>
                <c:pt idx="63">
                  <c:v>20.804327682110689</c:v>
                </c:pt>
                <c:pt idx="64">
                  <c:v>19.787963117375753</c:v>
                </c:pt>
                <c:pt idx="65">
                  <c:v>18.763760474764748</c:v>
                </c:pt>
                <c:pt idx="66">
                  <c:v>17.731578840711784</c:v>
                </c:pt>
                <c:pt idx="67">
                  <c:v>16.691273491024457</c:v>
                </c:pt>
                <c:pt idx="68">
                  <c:v>15.642695754127592</c:v>
                </c:pt>
                <c:pt idx="69">
                  <c:v>14.585692868189998</c:v>
                </c:pt>
                <c:pt idx="70">
                  <c:v>13.520107831806238</c:v>
                </c:pt>
                <c:pt idx="71">
                  <c:v>12.445779247884639</c:v>
                </c:pt>
                <c:pt idx="72">
                  <c:v>11.362541160370922</c:v>
                </c:pt>
                <c:pt idx="73">
                  <c:v>10.270222883413027</c:v>
                </c:pt>
                <c:pt idx="74">
                  <c:v>9.1686488225475546</c:v>
                </c:pt>
                <c:pt idx="75">
                  <c:v>8.0576382874607759</c:v>
                </c:pt>
                <c:pt idx="76">
                  <c:v>6.9370052958482304</c:v>
                </c:pt>
                <c:pt idx="77">
                  <c:v>5.8065583678650912</c:v>
                </c:pt>
                <c:pt idx="78">
                  <c:v>4.6661003106260734</c:v>
                </c:pt>
                <c:pt idx="79">
                  <c:v>3.5154279921768934</c:v>
                </c:pt>
                <c:pt idx="80">
                  <c:v>2.3543321043203478</c:v>
                </c:pt>
                <c:pt idx="81">
                  <c:v>2.2376409705215266</c:v>
                </c:pt>
                <c:pt idx="82">
                  <c:v>2.1208432298648394</c:v>
                </c:pt>
                <c:pt idx="83">
                  <c:v>2.0039386623344644</c:v>
                </c:pt>
                <c:pt idx="84">
                  <c:v>1.8869270472407424</c:v>
                </c:pt>
                <c:pt idx="85">
                  <c:v>1.7698081632174671</c:v>
                </c:pt>
                <c:pt idx="86">
                  <c:v>1.6525817882191571</c:v>
                </c:pt>
                <c:pt idx="87">
                  <c:v>1.5352476995183206</c:v>
                </c:pt>
                <c:pt idx="88">
                  <c:v>1.4178056737026992</c:v>
                </c:pt>
                <c:pt idx="89">
                  <c:v>1.3002554866725016</c:v>
                </c:pt>
                <c:pt idx="90">
                  <c:v>1.1825969136376269</c:v>
                </c:pt>
                <c:pt idx="91">
                  <c:v>1.0648297291148658</c:v>
                </c:pt>
                <c:pt idx="92">
                  <c:v>0.94695370692509684</c:v>
                </c:pt>
                <c:pt idx="93">
                  <c:v>0.82896862019046025</c:v>
                </c:pt>
                <c:pt idx="94">
                  <c:v>0.71087424133152588</c:v>
                </c:pt>
                <c:pt idx="95">
                  <c:v>0.59267034206443847</c:v>
                </c:pt>
                <c:pt idx="96">
                  <c:v>0.4743566933980557</c:v>
                </c:pt>
                <c:pt idx="97">
                  <c:v>0.35593306563106775</c:v>
                </c:pt>
                <c:pt idx="98">
                  <c:v>0.23739922834910437</c:v>
                </c:pt>
                <c:pt idx="99">
                  <c:v>0.22553977420528401</c:v>
                </c:pt>
                <c:pt idx="100">
                  <c:v>0.21367921542407858</c:v>
                </c:pt>
                <c:pt idx="101">
                  <c:v>0.20181755177389127</c:v>
                </c:pt>
                <c:pt idx="102">
                  <c:v>0.18995478302305296</c:v>
                </c:pt>
                <c:pt idx="103">
                  <c:v>0.17809090893982302</c:v>
                </c:pt>
                <c:pt idx="104">
                  <c:v>0.1662259292923885</c:v>
                </c:pt>
                <c:pt idx="105">
                  <c:v>0.15435984384886448</c:v>
                </c:pt>
                <c:pt idx="106">
                  <c:v>0.142492652377294</c:v>
                </c:pt>
                <c:pt idx="107">
                  <c:v>0.13062435464564814</c:v>
                </c:pt>
                <c:pt idx="108">
                  <c:v>0.1187549504218257</c:v>
                </c:pt>
                <c:pt idx="109">
                  <c:v>0.10688443947365317</c:v>
                </c:pt>
                <c:pt idx="110">
                  <c:v>9.5012821568885256E-2</c:v>
                </c:pt>
                <c:pt idx="111">
                  <c:v>8.3140096475204123E-2</c:v>
                </c:pt>
                <c:pt idx="112">
                  <c:v>7.1266263960219803E-2</c:v>
                </c:pt>
                <c:pt idx="113">
                  <c:v>5.9391323791470149E-2</c:v>
                </c:pt>
                <c:pt idx="114">
                  <c:v>4.7515275736420538E-2</c:v>
                </c:pt>
                <c:pt idx="115">
                  <c:v>3.5638119562464134E-2</c:v>
                </c:pt>
                <c:pt idx="116">
                  <c:v>2.3759855036921733E-2</c:v>
                </c:pt>
                <c:pt idx="117">
                  <c:v>2.257196761606995E-2</c:v>
                </c:pt>
                <c:pt idx="118">
                  <c:v>2.1384069109142062E-2</c:v>
                </c:pt>
                <c:pt idx="119">
                  <c:v>2.0196159515905272E-2</c:v>
                </c:pt>
                <c:pt idx="120">
                  <c:v>1.9008238836126762E-2</c:v>
                </c:pt>
                <c:pt idx="121">
                  <c:v>1.7820307069573719E-2</c:v>
                </c:pt>
                <c:pt idx="122">
                  <c:v>1.6632364216013343E-2</c:v>
                </c:pt>
                <c:pt idx="123">
                  <c:v>1.5444410275212782E-2</c:v>
                </c:pt>
                <c:pt idx="124">
                  <c:v>1.4256445246939226E-2</c:v>
                </c:pt>
                <c:pt idx="125">
                  <c:v>1.3068469130959812E-2</c:v>
                </c:pt>
                <c:pt idx="126">
                  <c:v>1.1880481927041697E-2</c:v>
                </c:pt>
                <c:pt idx="127">
                  <c:v>1.0692483634952026E-2</c:v>
                </c:pt>
                <c:pt idx="128">
                  <c:v>9.5044742544579362E-3</c:v>
                </c:pt>
                <c:pt idx="129">
                  <c:v>8.3164537853265517E-3</c:v>
                </c:pt>
                <c:pt idx="130">
                  <c:v>7.1284222273249971E-3</c:v>
                </c:pt>
                <c:pt idx="131">
                  <c:v>5.9403795802203873E-3</c:v>
                </c:pt>
                <c:pt idx="132">
                  <c:v>4.7523258437798307E-3</c:v>
                </c:pt>
                <c:pt idx="133">
                  <c:v>3.5642610177704227E-3</c:v>
                </c:pt>
                <c:pt idx="134">
                  <c:v>2.3761851019592569E-3</c:v>
                </c:pt>
                <c:pt idx="135">
                  <c:v>2.2573769004300796E-3</c:v>
                </c:pt>
                <c:pt idx="136">
                  <c:v>2.1385685880003203E-3</c:v>
                </c:pt>
                <c:pt idx="137">
                  <c:v>2.0197601646697481E-3</c:v>
                </c:pt>
                <c:pt idx="138">
                  <c:v>1.90095163043813E-3</c:v>
                </c:pt>
                <c:pt idx="139">
                  <c:v>1.7821429853052343E-3</c:v>
                </c:pt>
                <c:pt idx="140">
                  <c:v>1.6633342292708265E-3</c:v>
                </c:pt>
                <c:pt idx="141">
                  <c:v>1.5445253623346757E-3</c:v>
                </c:pt>
                <c:pt idx="142">
                  <c:v>1.425716384496549E-3</c:v>
                </c:pt>
                <c:pt idx="143">
                  <c:v>1.3069072957562103E-3</c:v>
                </c:pt>
                <c:pt idx="144">
                  <c:v>1.1880980961134285E-3</c:v>
                </c:pt>
                <c:pt idx="145">
                  <c:v>1.0692887855679708E-3</c:v>
                </c:pt>
                <c:pt idx="146">
                  <c:v>9.5047936411960432E-4</c:v>
                </c:pt>
                <c:pt idx="147">
                  <c:v>8.3166983176809586E-4</c:v>
                </c:pt>
                <c:pt idx="148">
                  <c:v>7.1286018851321291E-4</c:v>
                </c:pt>
                <c:pt idx="149">
                  <c:v>5.9405043435472238E-4</c:v>
                </c:pt>
                <c:pt idx="150">
                  <c:v>4.7524056929239131E-4</c:v>
                </c:pt>
                <c:pt idx="151">
                  <c:v>3.5643059332598657E-4</c:v>
                </c:pt>
                <c:pt idx="152">
                  <c:v>2.3762050645527547E-4</c:v>
                </c:pt>
                <c:pt idx="153">
                  <c:v>2.2573949166845614E-4</c:v>
                </c:pt>
                <c:pt idx="154">
                  <c:v>2.1385847577259364E-4</c:v>
                </c:pt>
                <c:pt idx="155">
                  <c:v>2.0197745876768516E-4</c:v>
                </c:pt>
                <c:pt idx="156">
                  <c:v>1.9009644065373071E-4</c:v>
                </c:pt>
                <c:pt idx="157">
                  <c:v>1.7821542143072987E-4</c:v>
                </c:pt>
                <c:pt idx="158">
                  <c:v>1.6633440109868248E-4</c:v>
                </c:pt>
                <c:pt idx="159">
                  <c:v>1.5445337965758833E-4</c:v>
                </c:pt>
                <c:pt idx="160">
                  <c:v>1.4257235710744709E-4</c:v>
                </c:pt>
                <c:pt idx="161">
                  <c:v>1.3069133344825864E-4</c:v>
                </c:pt>
                <c:pt idx="162">
                  <c:v>1.1881030868002269E-4</c:v>
                </c:pt>
                <c:pt idx="163">
                  <c:v>1.0692928280273902E-4</c:v>
                </c:pt>
                <c:pt idx="164">
                  <c:v>9.5048255816407393E-5</c:v>
                </c:pt>
                <c:pt idx="165">
                  <c:v>8.3167227721027553E-5</c:v>
                </c:pt>
                <c:pt idx="166">
                  <c:v>7.1286198516599326E-5</c:v>
                </c:pt>
                <c:pt idx="167">
                  <c:v>5.9405168203122442E-5</c:v>
                </c:pt>
                <c:pt idx="168">
                  <c:v>4.7524136780596656E-5</c:v>
                </c:pt>
                <c:pt idx="169">
                  <c:v>3.5643104249021752E-5</c:v>
                </c:pt>
                <c:pt idx="170">
                  <c:v>2.3762070608397476E-5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69-4021-BECD-31F8B134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28639"/>
        <c:axId val="590221567"/>
      </c:scatterChart>
      <c:valAx>
        <c:axId val="590228639"/>
        <c:scaling>
          <c:logBase val="10"/>
          <c:orientation val="minMax"/>
          <c:max val="5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Incoming</a:t>
                </a:r>
                <a:r>
                  <a:rPr lang="en-US" altLang="ja-JP" baseline="0"/>
                  <a:t> flux, photon/h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1567"/>
        <c:crossesAt val="3"/>
        <c:crossBetween val="midCat"/>
      </c:valAx>
      <c:valAx>
        <c:axId val="590221567"/>
        <c:scaling>
          <c:logBase val="10"/>
          <c:orientation val="minMax"/>
          <c:max val="1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SNR</a:t>
                </a:r>
                <a:r>
                  <a:rPr lang="en-US" altLang="ja-JP" baseline="0"/>
                  <a:t> (resel)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'LAPYUTA_Ly-alpha_bg (2)'!$G$46:$I$46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'LAPYUTA_Ly-alpha_bg (2)'!$A$51:$A$290</c:f>
              <c:numCache>
                <c:formatCode>0.00E+00</c:formatCode>
                <c:ptCount val="240"/>
                <c:pt idx="0">
                  <c:v>1E-14</c:v>
                </c:pt>
                <c:pt idx="1">
                  <c:v>5.0000000000000002E-14</c:v>
                </c:pt>
                <c:pt idx="2">
                  <c:v>1E-13</c:v>
                </c:pt>
                <c:pt idx="3">
                  <c:v>4.9999999999999999E-13</c:v>
                </c:pt>
                <c:pt idx="4">
                  <c:v>9.9999999999999998E-13</c:v>
                </c:pt>
              </c:numCache>
            </c:numRef>
          </c:xVal>
          <c:yVal>
            <c:numRef>
              <c:f>'LAPYUTA_Ly-alpha_bg (2)'!$C$51:$C$290</c:f>
              <c:numCache>
                <c:formatCode>0.00E+00</c:formatCode>
                <c:ptCount val="240"/>
                <c:pt idx="0">
                  <c:v>0.1996694044564255</c:v>
                </c:pt>
                <c:pt idx="1">
                  <c:v>0.1996694044564255</c:v>
                </c:pt>
                <c:pt idx="2">
                  <c:v>0.1996694044564255</c:v>
                </c:pt>
                <c:pt idx="3">
                  <c:v>0.1996694044564255</c:v>
                </c:pt>
                <c:pt idx="4">
                  <c:v>0.1996694044564255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C-4F1F-AA90-E0FE51F0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SNR caluculation for WUVS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10min BoL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'WSO-UV_WUVS_130nm'!$E$30:$E$200</c:f>
              <c:numCache>
                <c:formatCode>0.00E+00</c:formatCode>
                <c:ptCount val="171"/>
                <c:pt idx="0">
                  <c:v>792.36885173336225</c:v>
                </c:pt>
                <c:pt idx="1">
                  <c:v>751.68317860016111</c:v>
                </c:pt>
                <c:pt idx="2">
                  <c:v>708.66551383794365</c:v>
                </c:pt>
                <c:pt idx="3">
                  <c:v>662.86199784325231</c:v>
                </c:pt>
                <c:pt idx="4">
                  <c:v>613.64913274247851</c:v>
                </c:pt>
                <c:pt idx="5">
                  <c:v>560.1290098155107</c:v>
                </c:pt>
                <c:pt idx="6">
                  <c:v>500.92293960298957</c:v>
                </c:pt>
                <c:pt idx="7">
                  <c:v>433.70859302456455</c:v>
                </c:pt>
                <c:pt idx="8">
                  <c:v>353.95291602263853</c:v>
                </c:pt>
                <c:pt idx="9">
                  <c:v>344.96469213911666</c:v>
                </c:pt>
                <c:pt idx="10">
                  <c:v>335.73593323054183</c:v>
                </c:pt>
                <c:pt idx="11">
                  <c:v>326.24622899114109</c:v>
                </c:pt>
                <c:pt idx="12">
                  <c:v>316.47210831632589</c:v>
                </c:pt>
                <c:pt idx="13">
                  <c:v>306.38635537185746</c:v>
                </c:pt>
                <c:pt idx="14">
                  <c:v>295.95711566654245</c:v>
                </c:pt>
                <c:pt idx="15">
                  <c:v>285.14670750017541</c:v>
                </c:pt>
                <c:pt idx="16">
                  <c:v>273.91001063512903</c:v>
                </c:pt>
                <c:pt idx="17">
                  <c:v>262.19223244732677</c:v>
                </c:pt>
                <c:pt idx="18">
                  <c:v>249.92572968162827</c:v>
                </c:pt>
                <c:pt idx="19">
                  <c:v>237.02534658129787</c:v>
                </c:pt>
                <c:pt idx="20">
                  <c:v>223.38132353263967</c:v>
                </c:pt>
                <c:pt idx="21">
                  <c:v>208.84802272827829</c:v>
                </c:pt>
                <c:pt idx="22">
                  <c:v>193.22499135083854</c:v>
                </c:pt>
                <c:pt idx="23">
                  <c:v>176.22283852624028</c:v>
                </c:pt>
                <c:pt idx="24">
                  <c:v>157.39571887753286</c:v>
                </c:pt>
                <c:pt idx="25">
                  <c:v>135.98894637205061</c:v>
                </c:pt>
                <c:pt idx="26">
                  <c:v>110.51783362124154</c:v>
                </c:pt>
                <c:pt idx="27">
                  <c:v>107.64058565578148</c:v>
                </c:pt>
                <c:pt idx="28">
                  <c:v>104.68454986630783</c:v>
                </c:pt>
                <c:pt idx="29">
                  <c:v>101.6428987565306</c:v>
                </c:pt>
                <c:pt idx="30">
                  <c:v>98.507761279580279</c:v>
                </c:pt>
                <c:pt idx="31">
                  <c:v>95.269985666751893</c:v>
                </c:pt>
                <c:pt idx="32">
                  <c:v>91.918828348377374</c:v>
                </c:pt>
                <c:pt idx="33">
                  <c:v>88.441538807976031</c:v>
                </c:pt>
                <c:pt idx="34">
                  <c:v>84.822794545383445</c:v>
                </c:pt>
                <c:pt idx="35">
                  <c:v>81.043914483689136</c:v>
                </c:pt>
                <c:pt idx="36">
                  <c:v>77.081734961281597</c:v>
                </c:pt>
                <c:pt idx="37">
                  <c:v>72.906953639293292</c:v>
                </c:pt>
                <c:pt idx="38">
                  <c:v>68.481599035404614</c:v>
                </c:pt>
                <c:pt idx="39">
                  <c:v>63.754990232110913</c:v>
                </c:pt>
                <c:pt idx="40">
                  <c:v>58.656926253118371</c:v>
                </c:pt>
                <c:pt idx="41">
                  <c:v>53.08538892101155</c:v>
                </c:pt>
                <c:pt idx="42">
                  <c:v>46.882246442662073</c:v>
                </c:pt>
                <c:pt idx="43">
                  <c:v>39.778920467049559</c:v>
                </c:pt>
                <c:pt idx="44">
                  <c:v>31.250499886557723</c:v>
                </c:pt>
                <c:pt idx="45">
                  <c:v>30.282254815029734</c:v>
                </c:pt>
                <c:pt idx="46">
                  <c:v>29.286676268405788</c:v>
                </c:pt>
                <c:pt idx="47">
                  <c:v>28.26151368285845</c:v>
                </c:pt>
                <c:pt idx="48">
                  <c:v>27.204207451556769</c:v>
                </c:pt>
                <c:pt idx="49">
                  <c:v>26.111828510162646</c:v>
                </c:pt>
                <c:pt idx="50">
                  <c:v>24.981002318273784</c:v>
                </c:pt>
                <c:pt idx="51">
                  <c:v>23.807812135467316</c:v>
                </c:pt>
                <c:pt idx="52">
                  <c:v>22.587674436414037</c:v>
                </c:pt>
                <c:pt idx="53">
                  <c:v>21.31517625501424</c:v>
                </c:pt>
                <c:pt idx="54">
                  <c:v>19.983859610903462</c:v>
                </c:pt>
                <c:pt idx="55">
                  <c:v>18.585930970668148</c:v>
                </c:pt>
                <c:pt idx="56">
                  <c:v>17.111862223028599</c:v>
                </c:pt>
                <c:pt idx="57">
                  <c:v>15.549830835216353</c:v>
                </c:pt>
                <c:pt idx="58">
                  <c:v>13.884914992746408</c:v>
                </c:pt>
                <c:pt idx="59">
                  <c:v>12.097903506241249</c:v>
                </c:pt>
                <c:pt idx="60">
                  <c:v>10.163477471357464</c:v>
                </c:pt>
                <c:pt idx="61">
                  <c:v>8.0473223271590264</c:v>
                </c:pt>
                <c:pt idx="62">
                  <c:v>5.701322824967848</c:v>
                </c:pt>
                <c:pt idx="63">
                  <c:v>5.4516316076978049</c:v>
                </c:pt>
                <c:pt idx="64">
                  <c:v>5.1988820570322209</c:v>
                </c:pt>
                <c:pt idx="65">
                  <c:v>4.9429843538065166</c:v>
                </c:pt>
                <c:pt idx="66">
                  <c:v>4.6838446645893477</c:v>
                </c:pt>
                <c:pt idx="67">
                  <c:v>4.4213649016532539</c:v>
                </c:pt>
                <c:pt idx="68">
                  <c:v>4.1554424649328645</c:v>
                </c:pt>
                <c:pt idx="69">
                  <c:v>3.8859699643391008</c:v>
                </c:pt>
                <c:pt idx="70">
                  <c:v>3.6128349206240662</c:v>
                </c:pt>
                <c:pt idx="71">
                  <c:v>3.33591944279627</c:v>
                </c:pt>
                <c:pt idx="72">
                  <c:v>3.0550998798664355</c:v>
                </c:pt>
                <c:pt idx="73">
                  <c:v>2.7702464444570434</c:v>
                </c:pt>
                <c:pt idx="74">
                  <c:v>2.481222805529872</c:v>
                </c:pt>
                <c:pt idx="75">
                  <c:v>2.1878856471705639</c:v>
                </c:pt>
                <c:pt idx="76">
                  <c:v>1.8900841900122052</c:v>
                </c:pt>
                <c:pt idx="77">
                  <c:v>1.5876596714747875</c:v>
                </c:pt>
                <c:pt idx="78">
                  <c:v>1.2804447805369013</c:v>
                </c:pt>
                <c:pt idx="79">
                  <c:v>0.9682630422313101</c:v>
                </c:pt>
                <c:pt idx="80">
                  <c:v>0.65092814645724273</c:v>
                </c:pt>
                <c:pt idx="81">
                  <c:v>0.61890374913572388</c:v>
                </c:pt>
                <c:pt idx="82">
                  <c:v>0.58682565790566255</c:v>
                </c:pt>
                <c:pt idx="83">
                  <c:v>0.5546936686994085</c:v>
                </c:pt>
                <c:pt idx="84">
                  <c:v>0.52250757629670352</c:v>
                </c:pt>
                <c:pt idx="85">
                  <c:v>0.49026717431611699</c:v>
                </c:pt>
                <c:pt idx="86">
                  <c:v>0.45797225520640272</c:v>
                </c:pt>
                <c:pt idx="87">
                  <c:v>0.42562261023777753</c:v>
                </c:pt>
                <c:pt idx="88">
                  <c:v>0.39321802949311796</c:v>
                </c:pt>
                <c:pt idx="89">
                  <c:v>0.36075830185907592</c:v>
                </c:pt>
                <c:pt idx="90">
                  <c:v>0.3282432150171134</c:v>
                </c:pt>
                <c:pt idx="91">
                  <c:v>0.29567255543445231</c:v>
                </c:pt>
                <c:pt idx="92">
                  <c:v>0.26304610835494174</c:v>
                </c:pt>
                <c:pt idx="93">
                  <c:v>0.23036365778983919</c:v>
                </c:pt>
                <c:pt idx="94">
                  <c:v>0.19762498650850677</c:v>
                </c:pt>
                <c:pt idx="95">
                  <c:v>0.16482987602901972</c:v>
                </c:pt>
                <c:pt idx="96">
                  <c:v>0.13197810660868772</c:v>
                </c:pt>
                <c:pt idx="97">
                  <c:v>9.9069457234487332E-2</c:v>
                </c:pt>
                <c:pt idx="98">
                  <c:v>6.6103705613404479E-2</c:v>
                </c:pt>
                <c:pt idx="99">
                  <c:v>6.2803981231006722E-2</c:v>
                </c:pt>
                <c:pt idx="100">
                  <c:v>5.9503683367089666E-2</c:v>
                </c:pt>
                <c:pt idx="101">
                  <c:v>5.6202811797228192E-2</c:v>
                </c:pt>
                <c:pt idx="102">
                  <c:v>5.2901366296867036E-2</c:v>
                </c:pt>
                <c:pt idx="103">
                  <c:v>4.9599346641320624E-2</c:v>
                </c:pt>
                <c:pt idx="104">
                  <c:v>4.6296752605773109E-2</c:v>
                </c:pt>
                <c:pt idx="105">
                  <c:v>4.2993583965278109E-2</c:v>
                </c:pt>
                <c:pt idx="106">
                  <c:v>3.9689840494758731E-2</c:v>
                </c:pt>
                <c:pt idx="107">
                  <c:v>3.6385521969007482E-2</c:v>
                </c:pt>
                <c:pt idx="108">
                  <c:v>3.3080628162686039E-2</c:v>
                </c:pt>
                <c:pt idx="109">
                  <c:v>2.9775158850325244E-2</c:v>
                </c:pt>
                <c:pt idx="110">
                  <c:v>2.6469113806325027E-2</c:v>
                </c:pt>
                <c:pt idx="111">
                  <c:v>2.3162492804954225E-2</c:v>
                </c:pt>
                <c:pt idx="112">
                  <c:v>1.9855295620350554E-2</c:v>
                </c:pt>
                <c:pt idx="113">
                  <c:v>1.6547522026520489E-2</c:v>
                </c:pt>
                <c:pt idx="114">
                  <c:v>1.3239171797339121E-2</c:v>
                </c:pt>
                <c:pt idx="115">
                  <c:v>9.9302447065501079E-3</c:v>
                </c:pt>
                <c:pt idx="116">
                  <c:v>6.6207405277655751E-3</c:v>
                </c:pt>
                <c:pt idx="117">
                  <c:v>6.2897583613275047E-3</c:v>
                </c:pt>
                <c:pt idx="118">
                  <c:v>5.9587704215178037E-3</c:v>
                </c:pt>
                <c:pt idx="119">
                  <c:v>5.6277767081098599E-3</c:v>
                </c:pt>
                <c:pt idx="120">
                  <c:v>5.2967772208770605E-3</c:v>
                </c:pt>
                <c:pt idx="121">
                  <c:v>4.9657719595927697E-3</c:v>
                </c:pt>
                <c:pt idx="122">
                  <c:v>4.6347609240303496E-3</c:v>
                </c:pt>
                <c:pt idx="123">
                  <c:v>4.3037441139631349E-3</c:v>
                </c:pt>
                <c:pt idx="124">
                  <c:v>3.9727215291644581E-3</c:v>
                </c:pt>
                <c:pt idx="125">
                  <c:v>3.641693169407636E-3</c:v>
                </c:pt>
                <c:pt idx="126">
                  <c:v>3.3106590344659688E-3</c:v>
                </c:pt>
                <c:pt idx="127">
                  <c:v>2.9796191241127463E-3</c:v>
                </c:pt>
                <c:pt idx="128">
                  <c:v>2.648573438121245E-3</c:v>
                </c:pt>
                <c:pt idx="129">
                  <c:v>2.3175219762647283E-3</c:v>
                </c:pt>
                <c:pt idx="130">
                  <c:v>1.9864647383164452E-3</c:v>
                </c:pt>
                <c:pt idx="131">
                  <c:v>1.6554017240496346E-3</c:v>
                </c:pt>
                <c:pt idx="132">
                  <c:v>1.3243329332375173E-3</c:v>
                </c:pt>
                <c:pt idx="133">
                  <c:v>9.9325836565330441E-4</c:v>
                </c:pt>
                <c:pt idx="134">
                  <c:v>6.6217802107019315E-4</c:v>
                </c:pt>
                <c:pt idx="135">
                  <c:v>6.2906966886821115E-4</c:v>
                </c:pt>
                <c:pt idx="136">
                  <c:v>5.9596125889374444E-4</c:v>
                </c:pt>
                <c:pt idx="137">
                  <c:v>5.6285279114656696E-4</c:v>
                </c:pt>
                <c:pt idx="138">
                  <c:v>5.2974426562645179E-4</c:v>
                </c:pt>
                <c:pt idx="139">
                  <c:v>4.9663568233317221E-4</c:v>
                </c:pt>
                <c:pt idx="140">
                  <c:v>4.6352704126650137E-4</c:v>
                </c:pt>
                <c:pt idx="141">
                  <c:v>4.3041834242621245E-4</c:v>
                </c:pt>
                <c:pt idx="142">
                  <c:v>3.9730958581207933E-4</c:v>
                </c:pt>
                <c:pt idx="143">
                  <c:v>3.6420077142387374E-4</c:v>
                </c:pt>
                <c:pt idx="144">
                  <c:v>3.3109189926136946E-4</c:v>
                </c:pt>
                <c:pt idx="145">
                  <c:v>2.9798296932433989E-4</c:v>
                </c:pt>
                <c:pt idx="146">
                  <c:v>2.6487398161255789E-4</c:v>
                </c:pt>
                <c:pt idx="147">
                  <c:v>2.31764936125797E-4</c:v>
                </c:pt>
                <c:pt idx="148">
                  <c:v>1.9865583286383007E-4</c:v>
                </c:pt>
                <c:pt idx="149">
                  <c:v>1.6554667182643037E-4</c:v>
                </c:pt>
                <c:pt idx="150">
                  <c:v>1.3243745301337102E-4</c:v>
                </c:pt>
                <c:pt idx="151">
                  <c:v>9.9328176424425289E-5</c:v>
                </c:pt>
                <c:pt idx="152">
                  <c:v>6.6218842059366146E-5</c:v>
                </c:pt>
                <c:pt idx="153">
                  <c:v>6.2907905445164618E-5</c:v>
                </c:pt>
                <c:pt idx="154">
                  <c:v>5.9596968253200121E-5</c:v>
                </c:pt>
                <c:pt idx="155">
                  <c:v>5.6286030483471768E-5</c:v>
                </c:pt>
                <c:pt idx="156">
                  <c:v>5.2975092135979334E-5</c:v>
                </c:pt>
                <c:pt idx="157">
                  <c:v>4.9664153210722583E-5</c:v>
                </c:pt>
                <c:pt idx="158">
                  <c:v>4.635321370770129E-5</c:v>
                </c:pt>
                <c:pt idx="159">
                  <c:v>4.3042273626915253E-5</c:v>
                </c:pt>
                <c:pt idx="160">
                  <c:v>3.9731332968364214E-5</c:v>
                </c:pt>
                <c:pt idx="161">
                  <c:v>3.6420391732047964E-5</c:v>
                </c:pt>
                <c:pt idx="162">
                  <c:v>3.3109449917966257E-5</c:v>
                </c:pt>
                <c:pt idx="163">
                  <c:v>2.9798507526118881E-5</c:v>
                </c:pt>
                <c:pt idx="164">
                  <c:v>2.6487564556505632E-5</c:v>
                </c:pt>
                <c:pt idx="165">
                  <c:v>2.3176621009126233E-5</c:v>
                </c:pt>
                <c:pt idx="166">
                  <c:v>1.98656768839805E-5</c:v>
                </c:pt>
                <c:pt idx="167">
                  <c:v>1.6554732181068183E-5</c:v>
                </c:pt>
                <c:pt idx="168">
                  <c:v>1.3243786900389064E-5</c:v>
                </c:pt>
                <c:pt idx="169">
                  <c:v>9.9328410419429113E-6</c:v>
                </c:pt>
                <c:pt idx="170">
                  <c:v>6.6218946057294935E-6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4-4CF8-A7A6-634DA37F160C}"/>
            </c:ext>
          </c:extLst>
        </c:ser>
        <c:ser>
          <c:idx val="0"/>
          <c:order val="1"/>
          <c:tx>
            <c:v>1h BoL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'WSO-UV_WUVS_130nm'!$G$30:$G$200</c:f>
              <c:numCache>
                <c:formatCode>0.00E+00</c:formatCode>
                <c:ptCount val="171"/>
                <c:pt idx="0">
                  <c:v>1941.1495358175271</c:v>
                </c:pt>
                <c:pt idx="1">
                  <c:v>1841.503909138494</c:v>
                </c:pt>
                <c:pt idx="2">
                  <c:v>1736.1485491541637</c:v>
                </c:pt>
                <c:pt idx="3">
                  <c:v>1623.9725788721657</c:v>
                </c:pt>
                <c:pt idx="4">
                  <c:v>1503.4500694684555</c:v>
                </c:pt>
                <c:pt idx="5">
                  <c:v>1372.3838098156405</c:v>
                </c:pt>
                <c:pt idx="6">
                  <c:v>1227.4007470212855</c:v>
                </c:pt>
                <c:pt idx="7">
                  <c:v>1062.8207707027623</c:v>
                </c:pt>
                <c:pt idx="8">
                  <c:v>867.56192773391319</c:v>
                </c:pt>
                <c:pt idx="9">
                  <c:v>845.55975850938069</c:v>
                </c:pt>
                <c:pt idx="10">
                  <c:v>822.96957590273485</c:v>
                </c:pt>
                <c:pt idx="11">
                  <c:v>799.74155408204024</c:v>
                </c:pt>
                <c:pt idx="12">
                  <c:v>775.81840594319146</c:v>
                </c:pt>
                <c:pt idx="13">
                  <c:v>751.13371840259674</c:v>
                </c:pt>
                <c:pt idx="14">
                  <c:v>725.60977735277731</c:v>
                </c:pt>
                <c:pt idx="15">
                  <c:v>699.15467695264374</c:v>
                </c:pt>
                <c:pt idx="16">
                  <c:v>671.65840250787903</c:v>
                </c:pt>
                <c:pt idx="17">
                  <c:v>642.98740291786896</c:v>
                </c:pt>
                <c:pt idx="18">
                  <c:v>612.97687330593408</c:v>
                </c:pt>
                <c:pt idx="19">
                  <c:v>581.41944328769694</c:v>
                </c:pt>
                <c:pt idx="20">
                  <c:v>548.04798491924521</c:v>
                </c:pt>
                <c:pt idx="21">
                  <c:v>512.50830758172697</c:v>
                </c:pt>
                <c:pt idx="22">
                  <c:v>474.31335292257938</c:v>
                </c:pt>
                <c:pt idx="23">
                  <c:v>432.76078741185029</c:v>
                </c:pt>
                <c:pt idx="24">
                  <c:v>386.77028527250559</c:v>
                </c:pt>
                <c:pt idx="25">
                  <c:v>334.51730273637105</c:v>
                </c:pt>
                <c:pt idx="26">
                  <c:v>272.42506176731013</c:v>
                </c:pt>
                <c:pt idx="27">
                  <c:v>265.41876228856415</c:v>
                </c:pt>
                <c:pt idx="28">
                  <c:v>258.22263392846418</c:v>
                </c:pt>
                <c:pt idx="29">
                  <c:v>250.8203744262434</c:v>
                </c:pt>
                <c:pt idx="30">
                  <c:v>243.19320820717681</c:v>
                </c:pt>
                <c:pt idx="31">
                  <c:v>235.31932750380673</c:v>
                </c:pt>
                <c:pt idx="32">
                  <c:v>227.1731600282132</c:v>
                </c:pt>
                <c:pt idx="33">
                  <c:v>218.72439258061485</c:v>
                </c:pt>
                <c:pt idx="34">
                  <c:v>209.93664331459931</c:v>
                </c:pt>
                <c:pt idx="35">
                  <c:v>200.76561485846375</c:v>
                </c:pt>
                <c:pt idx="36">
                  <c:v>191.15645686719381</c:v>
                </c:pt>
                <c:pt idx="37">
                  <c:v>181.03988143748506</c:v>
                </c:pt>
                <c:pt idx="38">
                  <c:v>170.32622703768737</c:v>
                </c:pt>
                <c:pt idx="39">
                  <c:v>158.89597296018181</c:v>
                </c:pt>
                <c:pt idx="40">
                  <c:v>146.58371784756886</c:v>
                </c:pt>
                <c:pt idx="41">
                  <c:v>133.14913558003173</c:v>
                </c:pt>
                <c:pt idx="42">
                  <c:v>118.21915430227078</c:v>
                </c:pt>
                <c:pt idx="43">
                  <c:v>101.15677625857246</c:v>
                </c:pt>
                <c:pt idx="44">
                  <c:v>80.69838377402877</c:v>
                </c:pt>
                <c:pt idx="45">
                  <c:v>78.374774304994091</c:v>
                </c:pt>
                <c:pt idx="46">
                  <c:v>75.984680660918613</c:v>
                </c:pt>
                <c:pt idx="47">
                  <c:v>73.522318098444487</c:v>
                </c:pt>
                <c:pt idx="48">
                  <c:v>70.981040945490548</c:v>
                </c:pt>
                <c:pt idx="49">
                  <c:v>68.353156867248217</c:v>
                </c:pt>
                <c:pt idx="50">
                  <c:v>65.629687411204017</c:v>
                </c:pt>
                <c:pt idx="51">
                  <c:v>62.800054905357115</c:v>
                </c:pt>
                <c:pt idx="52">
                  <c:v>59.851666565761498</c:v>
                </c:pt>
                <c:pt idx="53">
                  <c:v>56.76935222835607</c:v>
                </c:pt>
                <c:pt idx="54">
                  <c:v>53.534588873640601</c:v>
                </c:pt>
                <c:pt idx="55">
                  <c:v>50.12440652733568</c:v>
                </c:pt>
                <c:pt idx="56">
                  <c:v>46.509803799098641</c:v>
                </c:pt>
                <c:pt idx="57">
                  <c:v>42.65338265955041</c:v>
                </c:pt>
                <c:pt idx="58">
                  <c:v>38.505689601836366</c:v>
                </c:pt>
                <c:pt idx="59">
                  <c:v>33.999309717433349</c:v>
                </c:pt>
                <c:pt idx="60">
                  <c:v>29.038828018517133</c:v>
                </c:pt>
                <c:pt idx="61">
                  <c:v>23.482634535240731</c:v>
                </c:pt>
                <c:pt idx="62">
                  <c:v>17.107124663045386</c:v>
                </c:pt>
                <c:pt idx="63">
                  <c:v>16.411830794026784</c:v>
                </c:pt>
                <c:pt idx="64">
                  <c:v>15.7042587721497</c:v>
                </c:pt>
                <c:pt idx="65">
                  <c:v>14.983868139206109</c:v>
                </c:pt>
                <c:pt idx="66">
                  <c:v>14.250081629450946</c:v>
                </c:pt>
                <c:pt idx="67">
                  <c:v>13.502281777128161</c:v>
                </c:pt>
                <c:pt idx="68">
                  <c:v>12.739807127706586</c:v>
                </c:pt>
                <c:pt idx="69">
                  <c:v>11.961947996429002</c:v>
                </c:pt>
                <c:pt idx="70">
                  <c:v>11.167941708257072</c:v>
                </c:pt>
                <c:pt idx="71">
                  <c:v>10.35696724190281</c:v>
                </c:pt>
                <c:pt idx="72">
                  <c:v>9.5281391869538687</c:v>
                </c:pt>
                <c:pt idx="73">
                  <c:v>8.6805009065940233</c:v>
                </c:pt>
                <c:pt idx="74">
                  <c:v>7.8130167784253013</c:v>
                </c:pt>
                <c:pt idx="75">
                  <c:v>6.9245633615650446</c:v>
                </c:pt>
                <c:pt idx="76">
                  <c:v>6.013919308438723</c:v>
                </c:pt>
                <c:pt idx="77">
                  <c:v>5.0797538031282805</c:v>
                </c:pt>
                <c:pt idx="78">
                  <c:v>4.1206132629724843</c:v>
                </c:pt>
                <c:pt idx="79">
                  <c:v>3.1349059840179372</c:v>
                </c:pt>
                <c:pt idx="80">
                  <c:v>2.1208843408345754</c:v>
                </c:pt>
                <c:pt idx="81">
                  <c:v>2.0178524557836304</c:v>
                </c:pt>
                <c:pt idx="82">
                  <c:v>1.9145163214082295</c:v>
                </c:pt>
                <c:pt idx="83">
                  <c:v>1.8108738891837266</c:v>
                </c:pt>
                <c:pt idx="84">
                  <c:v>1.7069230900366368</c:v>
                </c:pt>
                <c:pt idx="85">
                  <c:v>1.6026618340729952</c:v>
                </c:pt>
                <c:pt idx="86">
                  <c:v>1.4980880103022647</c:v>
                </c:pt>
                <c:pt idx="87">
                  <c:v>1.3931994863567101</c:v>
                </c:pt>
                <c:pt idx="88">
                  <c:v>1.2879941082061466</c:v>
                </c:pt>
                <c:pt idx="89">
                  <c:v>1.1824696998679765</c:v>
                </c:pt>
                <c:pt idx="90">
                  <c:v>1.0766240631124171</c:v>
                </c:pt>
                <c:pt idx="91">
                  <c:v>0.97045497716282503</c:v>
                </c:pt>
                <c:pt idx="92">
                  <c:v>0.86396019839102367</c:v>
                </c:pt>
                <c:pt idx="93">
                  <c:v>0.75713746000752913</c:v>
                </c:pt>
                <c:pt idx="94">
                  <c:v>0.64998447174657614</c:v>
                </c:pt>
                <c:pt idx="95">
                  <c:v>0.54249891954583929</c:v>
                </c:pt>
                <c:pt idx="96">
                  <c:v>0.43467846522074177</c:v>
                </c:pt>
                <c:pt idx="97">
                  <c:v>0.32652074613324478</c:v>
                </c:pt>
                <c:pt idx="98">
                  <c:v>0.21802337485500525</c:v>
                </c:pt>
                <c:pt idx="99">
                  <c:v>0.2071548641926578</c:v>
                </c:pt>
                <c:pt idx="100">
                  <c:v>0.19628293047732309</c:v>
                </c:pt>
                <c:pt idx="101">
                  <c:v>0.18540757127996055</c:v>
                </c:pt>
                <c:pt idx="102">
                  <c:v>0.17452878416897469</c:v>
                </c:pt>
                <c:pt idx="103">
                  <c:v>0.16364656671021113</c:v>
                </c:pt>
                <c:pt idx="104">
                  <c:v>0.15276091646695372</c:v>
                </c:pt>
                <c:pt idx="105">
                  <c:v>0.14187183099992043</c:v>
                </c:pt>
                <c:pt idx="106">
                  <c:v>0.13097930786725986</c:v>
                </c:pt>
                <c:pt idx="107">
                  <c:v>0.12008334462454823</c:v>
                </c:pt>
                <c:pt idx="108">
                  <c:v>0.10918393882478505</c:v>
                </c:pt>
                <c:pt idx="109">
                  <c:v>9.8281088018390056E-2</c:v>
                </c:pt>
                <c:pt idx="110">
                  <c:v>8.7374789753199539E-2</c:v>
                </c:pt>
                <c:pt idx="111">
                  <c:v>7.6465041574462655E-2</c:v>
                </c:pt>
                <c:pt idx="112">
                  <c:v>6.5551841024837992E-2</c:v>
                </c:pt>
                <c:pt idx="113">
                  <c:v>5.4635185644389919E-2</c:v>
                </c:pt>
                <c:pt idx="114">
                  <c:v>4.3715072970584905E-2</c:v>
                </c:pt>
                <c:pt idx="115">
                  <c:v>3.279150053828802E-2</c:v>
                </c:pt>
                <c:pt idx="116">
                  <c:v>2.1864465879759376E-2</c:v>
                </c:pt>
                <c:pt idx="117">
                  <c:v>2.0771571896377947E-2</c:v>
                </c:pt>
                <c:pt idx="118">
                  <c:v>1.9678643263561099E-2</c:v>
                </c:pt>
                <c:pt idx="119">
                  <c:v>1.8585679978836769E-2</c:v>
                </c:pt>
                <c:pt idx="120">
                  <c:v>1.749268203973265E-2</c:v>
                </c:pt>
                <c:pt idx="121">
                  <c:v>1.6399649443776171E-2</c:v>
                </c:pt>
                <c:pt idx="122">
                  <c:v>1.5306582188494521E-2</c:v>
                </c:pt>
                <c:pt idx="123">
                  <c:v>1.4213480271414589E-2</c:v>
                </c:pt>
                <c:pt idx="124">
                  <c:v>1.3120343690063031E-2</c:v>
                </c:pt>
                <c:pt idx="125">
                  <c:v>1.2027172441966234E-2</c:v>
                </c:pt>
                <c:pt idx="126">
                  <c:v>1.0933966524650316E-2</c:v>
                </c:pt>
                <c:pt idx="127">
                  <c:v>9.8407259356411442E-3</c:v>
                </c:pt>
                <c:pt idx="128">
                  <c:v>8.7474506724643172E-3</c:v>
                </c:pt>
                <c:pt idx="129">
                  <c:v>7.6541407326451791E-3</c:v>
                </c:pt>
                <c:pt idx="130">
                  <c:v>6.5607961137088026E-3</c:v>
                </c:pt>
                <c:pt idx="131">
                  <c:v>5.4674168131800122E-3</c:v>
                </c:pt>
                <c:pt idx="132">
                  <c:v>4.3740028285833522E-3</c:v>
                </c:pt>
                <c:pt idx="133">
                  <c:v>3.2805541574431208E-3</c:v>
                </c:pt>
                <c:pt idx="134">
                  <c:v>2.1870707972833476E-3</c:v>
                </c:pt>
                <c:pt idx="135">
                  <c:v>2.0777205532759658E-3</c:v>
                </c:pt>
                <c:pt idx="136">
                  <c:v>1.9683699623511473E-3</c:v>
                </c:pt>
                <c:pt idx="137">
                  <c:v>1.8590190245064192E-3</c:v>
                </c:pt>
                <c:pt idx="138">
                  <c:v>1.7496677397393033E-3</c:v>
                </c:pt>
                <c:pt idx="139">
                  <c:v>1.6403161080473247E-3</c:v>
                </c:pt>
                <c:pt idx="140">
                  <c:v>1.5309641294280066E-3</c:v>
                </c:pt>
                <c:pt idx="141">
                  <c:v>1.4216118038788725E-3</c:v>
                </c:pt>
                <c:pt idx="142">
                  <c:v>1.3122591313974479E-3</c:v>
                </c:pt>
                <c:pt idx="143">
                  <c:v>1.2029061119812516E-3</c:v>
                </c:pt>
                <c:pt idx="144">
                  <c:v>1.0935527456278095E-3</c:v>
                </c:pt>
                <c:pt idx="145">
                  <c:v>9.8419903233464522E-4</c:v>
                </c:pt>
                <c:pt idx="146">
                  <c:v>8.7484497209928144E-4</c:v>
                </c:pt>
                <c:pt idx="147">
                  <c:v>7.6549056491924232E-4</c:v>
                </c:pt>
                <c:pt idx="148">
                  <c:v>6.5613581079205065E-4</c:v>
                </c:pt>
                <c:pt idx="149">
                  <c:v>5.4678070971523002E-4</c:v>
                </c:pt>
                <c:pt idx="150">
                  <c:v>4.3742526168630324E-4</c:v>
                </c:pt>
                <c:pt idx="151">
                  <c:v>3.2806946670279409E-4</c:v>
                </c:pt>
                <c:pt idx="152">
                  <c:v>2.1871332476222519E-4</c:v>
                </c:pt>
                <c:pt idx="153">
                  <c:v>2.0777769148543258E-4</c:v>
                </c:pt>
                <c:pt idx="154">
                  <c:v>1.9684205473904424E-4</c:v>
                </c:pt>
                <c:pt idx="155">
                  <c:v>1.8590641452305559E-4</c:v>
                </c:pt>
                <c:pt idx="156">
                  <c:v>1.7497077083746419E-4</c:v>
                </c:pt>
                <c:pt idx="157">
                  <c:v>1.6403512368226746E-4</c:v>
                </c:pt>
                <c:pt idx="158">
                  <c:v>1.5309947305746296E-4</c:v>
                </c:pt>
                <c:pt idx="159">
                  <c:v>1.4216381896304831E-4</c:v>
                </c:pt>
                <c:pt idx="160">
                  <c:v>1.3122816139902088E-4</c:v>
                </c:pt>
                <c:pt idx="161">
                  <c:v>1.2029250036537836E-4</c:v>
                </c:pt>
                <c:pt idx="162">
                  <c:v>1.0935683586211809E-4</c:v>
                </c:pt>
                <c:pt idx="163">
                  <c:v>9.8421167889237735E-5</c:v>
                </c:pt>
                <c:pt idx="164">
                  <c:v>8.7485496446734802E-5</c:v>
                </c:pt>
                <c:pt idx="165">
                  <c:v>7.6549821534606743E-5</c:v>
                </c:pt>
                <c:pt idx="166">
                  <c:v>6.5614143152851144E-5</c:v>
                </c:pt>
                <c:pt idx="167">
                  <c:v>5.4678461301465492E-5</c:v>
                </c:pt>
                <c:pt idx="168">
                  <c:v>4.3742775980447334E-5</c:v>
                </c:pt>
                <c:pt idx="169">
                  <c:v>3.2807087189794182E-5</c:v>
                </c:pt>
                <c:pt idx="170">
                  <c:v>2.187139492950353E-5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4-4CF8-A7A6-634DA37F160C}"/>
            </c:ext>
          </c:extLst>
        </c:ser>
        <c:ser>
          <c:idx val="2"/>
          <c:order val="2"/>
          <c:tx>
            <c:v>10h BoL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'WSO-UV_WUVS_130nm'!$I$30:$I$200</c:f>
              <c:numCache>
                <c:formatCode>0.00E+00</c:formatCode>
                <c:ptCount val="171"/>
                <c:pt idx="0">
                  <c:v>6138.4538121619853</c:v>
                </c:pt>
                <c:pt idx="1">
                  <c:v>5823.3466729814008</c:v>
                </c:pt>
                <c:pt idx="2">
                  <c:v>5490.183771723955</c:v>
                </c:pt>
                <c:pt idx="3">
                  <c:v>5135.4522068934812</c:v>
                </c:pt>
                <c:pt idx="4">
                  <c:v>4754.326567858694</c:v>
                </c:pt>
                <c:pt idx="5">
                  <c:v>4339.8586629567699</c:v>
                </c:pt>
                <c:pt idx="6">
                  <c:v>3881.3819623793916</c:v>
                </c:pt>
                <c:pt idx="7">
                  <c:v>3360.9343799562848</c:v>
                </c:pt>
                <c:pt idx="8">
                  <c:v>2743.4717028855675</c:v>
                </c:pt>
                <c:pt idx="9">
                  <c:v>2673.894734671584</c:v>
                </c:pt>
                <c:pt idx="10">
                  <c:v>2602.4583048754635</c:v>
                </c:pt>
                <c:pt idx="11">
                  <c:v>2529.004850381978</c:v>
                </c:pt>
                <c:pt idx="12">
                  <c:v>2453.3532134615975</c:v>
                </c:pt>
                <c:pt idx="13">
                  <c:v>2375.2933775037382</c:v>
                </c:pt>
                <c:pt idx="14">
                  <c:v>2294.5795889224396</c:v>
                </c:pt>
                <c:pt idx="15">
                  <c:v>2210.9212159295853</c:v>
                </c:pt>
                <c:pt idx="16">
                  <c:v>2123.970361515047</c:v>
                </c:pt>
                <c:pt idx="17">
                  <c:v>2033.3047000168615</c:v>
                </c:pt>
                <c:pt idx="18">
                  <c:v>1938.403072655218</c:v>
                </c:pt>
                <c:pt idx="19">
                  <c:v>1838.6097166962197</c:v>
                </c:pt>
                <c:pt idx="20">
                  <c:v>1733.0798994104262</c:v>
                </c:pt>
                <c:pt idx="21">
                  <c:v>1620.6935717163994</c:v>
                </c:pt>
                <c:pt idx="22">
                  <c:v>1499.9105198666334</c:v>
                </c:pt>
                <c:pt idx="23">
                  <c:v>1368.5097702293715</c:v>
                </c:pt>
                <c:pt idx="24">
                  <c:v>1223.0750327341955</c:v>
                </c:pt>
                <c:pt idx="25">
                  <c:v>1057.8365933830089</c:v>
                </c:pt>
                <c:pt idx="26">
                  <c:v>861.48368689675556</c:v>
                </c:pt>
                <c:pt idx="27">
                  <c:v>839.32782257466795</c:v>
                </c:pt>
                <c:pt idx="28">
                  <c:v>816.57166662181965</c:v>
                </c:pt>
                <c:pt idx="29">
                  <c:v>793.16366676317784</c:v>
                </c:pt>
                <c:pt idx="30">
                  <c:v>769.0444494182326</c:v>
                </c:pt>
                <c:pt idx="31">
                  <c:v>744.14505237113451</c:v>
                </c:pt>
                <c:pt idx="32">
                  <c:v>718.38460894707498</c:v>
                </c:pt>
                <c:pt idx="33">
                  <c:v>691.66726039157675</c:v>
                </c:pt>
                <c:pt idx="34">
                  <c:v>663.87795720449481</c:v>
                </c:pt>
                <c:pt idx="35">
                  <c:v>634.87661879688869</c:v>
                </c:pt>
                <c:pt idx="36">
                  <c:v>604.48979314806741</c:v>
                </c:pt>
                <c:pt idx="37">
                  <c:v>572.49837266929114</c:v>
                </c:pt>
                <c:pt idx="38">
                  <c:v>538.61882270204626</c:v>
                </c:pt>
                <c:pt idx="39">
                  <c:v>502.47318558270183</c:v>
                </c:pt>
                <c:pt idx="40">
                  <c:v>463.53841629379195</c:v>
                </c:pt>
                <c:pt idx="41">
                  <c:v>421.05453691546501</c:v>
                </c:pt>
                <c:pt idx="42">
                  <c:v>373.84179065406943</c:v>
                </c:pt>
                <c:pt idx="43">
                  <c:v>319.88581373713481</c:v>
                </c:pt>
                <c:pt idx="44">
                  <c:v>255.19069622030563</c:v>
                </c:pt>
                <c:pt idx="45">
                  <c:v>247.84279790542155</c:v>
                </c:pt>
                <c:pt idx="46">
                  <c:v>240.28465816905123</c:v>
                </c:pt>
                <c:pt idx="47">
                  <c:v>232.49798404650434</c:v>
                </c:pt>
                <c:pt idx="48">
                  <c:v>224.46176007742176</c:v>
                </c:pt>
                <c:pt idx="49">
                  <c:v>216.15166096328389</c:v>
                </c:pt>
                <c:pt idx="50">
                  <c:v>207.53929434428437</c:v>
                </c:pt>
                <c:pt idx="51">
                  <c:v>198.59121068455843</c:v>
                </c:pt>
                <c:pt idx="52">
                  <c:v>189.26758810475428</c:v>
                </c:pt>
                <c:pt idx="53">
                  <c:v>179.52045433396043</c:v>
                </c:pt>
                <c:pt idx="54">
                  <c:v>169.29123444141234</c:v>
                </c:pt>
                <c:pt idx="55">
                  <c:v>158.50729099059174</c:v>
                </c:pt>
                <c:pt idx="56">
                  <c:v>147.07691353270405</c:v>
                </c:pt>
                <c:pt idx="57">
                  <c:v>134.88183911490958</c:v>
                </c:pt>
                <c:pt idx="58">
                  <c:v>121.76568201726501</c:v>
                </c:pt>
                <c:pt idx="59">
                  <c:v>107.51525758058517</c:v>
                </c:pt>
                <c:pt idx="60">
                  <c:v>91.828837120428346</c:v>
                </c:pt>
                <c:pt idx="61">
                  <c:v>74.258610592690232</c:v>
                </c:pt>
                <c:pt idx="62">
                  <c:v>54.097478151663935</c:v>
                </c:pt>
                <c:pt idx="63">
                  <c:v>51.898765882414374</c:v>
                </c:pt>
                <c:pt idx="64">
                  <c:v>49.6612266846723</c:v>
                </c:pt>
                <c:pt idx="65">
                  <c:v>47.383151479520222</c:v>
                </c:pt>
                <c:pt idx="66">
                  <c:v>45.06271479238854</c:v>
                </c:pt>
                <c:pt idx="67">
                  <c:v>42.697964025110991</c:v>
                </c:pt>
                <c:pt idx="68">
                  <c:v>40.286807474800419</c:v>
                </c:pt>
                <c:pt idx="69">
                  <c:v>37.827000921203343</c:v>
                </c:pt>
                <c:pt idx="70">
                  <c:v>35.316132574084023</c:v>
                </c:pt>
                <c:pt idx="71">
                  <c:v>32.751606136164973</c:v>
                </c:pt>
                <c:pt idx="72">
                  <c:v>30.130621693879124</c:v>
                </c:pt>
                <c:pt idx="73">
                  <c:v>27.450154095993646</c:v>
                </c:pt>
                <c:pt idx="74">
                  <c:v>24.70692841693505</c:v>
                </c:pt>
                <c:pt idx="75">
                  <c:v>21.897392024697595</c:v>
                </c:pt>
                <c:pt idx="76">
                  <c:v>19.017682679131045</c:v>
                </c:pt>
                <c:pt idx="77">
                  <c:v>16.063591970787925</c:v>
                </c:pt>
                <c:pt idx="78">
                  <c:v>13.030523267691418</c:v>
                </c:pt>
                <c:pt idx="79">
                  <c:v>9.9134431599880948</c:v>
                </c:pt>
                <c:pt idx="80">
                  <c:v>6.7068251708221176</c:v>
                </c:pt>
                <c:pt idx="81">
                  <c:v>6.3810097424404768</c:v>
                </c:pt>
                <c:pt idx="82">
                  <c:v>6.0542321932169898</c:v>
                </c:pt>
                <c:pt idx="83">
                  <c:v>5.7264860451479267</c:v>
                </c:pt>
                <c:pt idx="84">
                  <c:v>5.3977647552484349</c:v>
                </c:pt>
                <c:pt idx="85">
                  <c:v>5.0680617146935152</c:v>
                </c:pt>
                <c:pt idx="86">
                  <c:v>4.7373702479449484</c:v>
                </c:pt>
                <c:pt idx="87">
                  <c:v>4.4056836118638847</c:v>
                </c:pt>
                <c:pt idx="88">
                  <c:v>4.0729949948087922</c:v>
                </c:pt>
                <c:pt idx="89">
                  <c:v>3.7392975157185107</c:v>
                </c:pt>
                <c:pt idx="90">
                  <c:v>3.4045842231801076</c:v>
                </c:pt>
                <c:pt idx="91">
                  <c:v>3.0688480944812162</c:v>
                </c:pt>
                <c:pt idx="92">
                  <c:v>2.7320820346465755</c:v>
                </c:pt>
                <c:pt idx="93">
                  <c:v>2.3942788754584394</c:v>
                </c:pt>
                <c:pt idx="94">
                  <c:v>2.055431374460543</c:v>
                </c:pt>
                <c:pt idx="95">
                  <c:v>1.7155322139452907</c:v>
                </c:pt>
                <c:pt idx="96">
                  <c:v>1.3745739999238296</c:v>
                </c:pt>
                <c:pt idx="97">
                  <c:v>1.0325492610786706</c:v>
                </c:pt>
                <c:pt idx="98">
                  <c:v>0.6894504476984995</c:v>
                </c:pt>
                <c:pt idx="99">
                  <c:v>0.6550811992316562</c:v>
                </c:pt>
                <c:pt idx="100">
                  <c:v>0.62070112612082184</c:v>
                </c:pt>
                <c:pt idx="101">
                  <c:v>0.58631022068469552</c:v>
                </c:pt>
                <c:pt idx="102">
                  <c:v>0.5519084752338973</c:v>
                </c:pt>
                <c:pt idx="103">
                  <c:v>0.51749588207095498</c:v>
                </c:pt>
                <c:pt idx="104">
                  <c:v>0.48307243349029566</c:v>
                </c:pt>
                <c:pt idx="105">
                  <c:v>0.44863812177823215</c:v>
                </c:pt>
                <c:pt idx="106">
                  <c:v>0.41419293921295236</c:v>
                </c:pt>
                <c:pt idx="107">
                  <c:v>0.37973687806450951</c:v>
                </c:pt>
                <c:pt idx="108">
                  <c:v>0.34526993059480876</c:v>
                </c:pt>
                <c:pt idx="109">
                  <c:v>0.31079208905759709</c:v>
                </c:pt>
                <c:pt idx="110">
                  <c:v>0.27630334569845194</c:v>
                </c:pt>
                <c:pt idx="111">
                  <c:v>0.24180369275476962</c:v>
                </c:pt>
                <c:pt idx="112">
                  <c:v>0.20729312245575424</c:v>
                </c:pt>
                <c:pt idx="113">
                  <c:v>0.17277162702240639</c:v>
                </c:pt>
                <c:pt idx="114">
                  <c:v>0.13823919866751119</c:v>
                </c:pt>
                <c:pt idx="115">
                  <c:v>0.10369582959562758</c:v>
                </c:pt>
                <c:pt idx="116">
                  <c:v>6.9141512003076833E-2</c:v>
                </c:pt>
                <c:pt idx="117">
                  <c:v>6.568547777449732E-2</c:v>
                </c:pt>
                <c:pt idx="118">
                  <c:v>6.2229333974782232E-2</c:v>
                </c:pt>
                <c:pt idx="119">
                  <c:v>5.8773080596114219E-2</c:v>
                </c:pt>
                <c:pt idx="120">
                  <c:v>5.5316717630675194E-2</c:v>
                </c:pt>
                <c:pt idx="121">
                  <c:v>5.1860245070646176E-2</c:v>
                </c:pt>
                <c:pt idx="122">
                  <c:v>4.840366290820744E-2</c:v>
                </c:pt>
                <c:pt idx="123">
                  <c:v>4.4946971135538347E-2</c:v>
                </c:pt>
                <c:pt idx="124">
                  <c:v>4.1490169744817479E-2</c:v>
                </c:pt>
                <c:pt idx="125">
                  <c:v>3.8033258728222594E-2</c:v>
                </c:pt>
                <c:pt idx="126">
                  <c:v>3.4576238077930595E-2</c:v>
                </c:pt>
                <c:pt idx="127">
                  <c:v>3.1119107786117563E-2</c:v>
                </c:pt>
                <c:pt idx="128">
                  <c:v>2.7661867844958776E-2</c:v>
                </c:pt>
                <c:pt idx="129">
                  <c:v>2.4204518246628681E-2</c:v>
                </c:pt>
                <c:pt idx="130">
                  <c:v>2.074705898330087E-2</c:v>
                </c:pt>
                <c:pt idx="131">
                  <c:v>1.7289490047148144E-2</c:v>
                </c:pt>
                <c:pt idx="132">
                  <c:v>1.3831811430342435E-2</c:v>
                </c:pt>
                <c:pt idx="133">
                  <c:v>1.0374023125054881E-2</c:v>
                </c:pt>
                <c:pt idx="134">
                  <c:v>6.9161251234557755E-3</c:v>
                </c:pt>
                <c:pt idx="135">
                  <c:v>6.5703292896972703E-3</c:v>
                </c:pt>
                <c:pt idx="136">
                  <c:v>6.2245323588895072E-3</c:v>
                </c:pt>
                <c:pt idx="137">
                  <c:v>5.8787343310246617E-3</c:v>
                </c:pt>
                <c:pt idx="138">
                  <c:v>5.5329352060949017E-3</c:v>
                </c:pt>
                <c:pt idx="139">
                  <c:v>5.1871349840923965E-3</c:v>
                </c:pt>
                <c:pt idx="140">
                  <c:v>4.8413336650093173E-3</c:v>
                </c:pt>
                <c:pt idx="141">
                  <c:v>4.4955312488378302E-3</c:v>
                </c:pt>
                <c:pt idx="142">
                  <c:v>4.1497277355701115E-3</c:v>
                </c:pt>
                <c:pt idx="143">
                  <c:v>3.8039231251983151E-3</c:v>
                </c:pt>
                <c:pt idx="144">
                  <c:v>3.4581174177146165E-3</c:v>
                </c:pt>
                <c:pt idx="145">
                  <c:v>3.1123106131111852E-3</c:v>
                </c:pt>
                <c:pt idx="146">
                  <c:v>2.7665027113801866E-3</c:v>
                </c:pt>
                <c:pt idx="147">
                  <c:v>2.420693712513793E-3</c:v>
                </c:pt>
                <c:pt idx="148">
                  <c:v>2.0748836165041689E-3</c:v>
                </c:pt>
                <c:pt idx="149">
                  <c:v>1.7290724233434832E-3</c:v>
                </c:pt>
                <c:pt idx="150">
                  <c:v>1.383260133023904E-3</c:v>
                </c:pt>
                <c:pt idx="151">
                  <c:v>1.0374467455375996E-3</c:v>
                </c:pt>
                <c:pt idx="152">
                  <c:v>6.9163226087673641E-4</c:v>
                </c:pt>
                <c:pt idx="153">
                  <c:v>6.5705075206574112E-4</c:v>
                </c:pt>
                <c:pt idx="154">
                  <c:v>6.2246923228292082E-4</c:v>
                </c:pt>
                <c:pt idx="155">
                  <c:v>5.8788770152826098E-4</c:v>
                </c:pt>
                <c:pt idx="156">
                  <c:v>5.5330615980175391E-4</c:v>
                </c:pt>
                <c:pt idx="157">
                  <c:v>5.1872460710339135E-4</c:v>
                </c:pt>
                <c:pt idx="158">
                  <c:v>4.8414304343316584E-4</c:v>
                </c:pt>
                <c:pt idx="159">
                  <c:v>4.4956146879106945E-4</c:v>
                </c:pt>
                <c:pt idx="160">
                  <c:v>4.1497988317709423E-4</c:v>
                </c:pt>
                <c:pt idx="161">
                  <c:v>3.8039828659123257E-4</c:v>
                </c:pt>
                <c:pt idx="162">
                  <c:v>3.4581667903347635E-4</c:v>
                </c:pt>
                <c:pt idx="163">
                  <c:v>3.1123506050381792E-4</c:v>
                </c:pt>
                <c:pt idx="164">
                  <c:v>2.7665343100224959E-4</c:v>
                </c:pt>
                <c:pt idx="165">
                  <c:v>2.4207179052876323E-4</c:v>
                </c:pt>
                <c:pt idx="166">
                  <c:v>2.0749013908335121E-4</c:v>
                </c:pt>
                <c:pt idx="167">
                  <c:v>1.7290847666600557E-4</c:v>
                </c:pt>
                <c:pt idx="168">
                  <c:v>1.3832680327671858E-4</c:v>
                </c:pt>
                <c:pt idx="169">
                  <c:v>1.0374511891548235E-4</c:v>
                </c:pt>
                <c:pt idx="170">
                  <c:v>6.9163423582288983E-5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4-4CF8-A7A6-634DA37F160C}"/>
            </c:ext>
          </c:extLst>
        </c:ser>
        <c:ser>
          <c:idx val="3"/>
          <c:order val="3"/>
          <c:tx>
            <c:v>10min EoL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'WSO-UV_WUVS_130nm'!$M$30:$M$200</c:f>
              <c:numCache>
                <c:formatCode>0.00E+00</c:formatCode>
                <c:ptCount val="171"/>
                <c:pt idx="0">
                  <c:v>792.32347427279285</c:v>
                </c:pt>
                <c:pt idx="1">
                  <c:v>751.63535157852357</c:v>
                </c:pt>
                <c:pt idx="2">
                  <c:v>708.61479227746145</c:v>
                </c:pt>
                <c:pt idx="3">
                  <c:v>662.80778336124797</c:v>
                </c:pt>
                <c:pt idx="4">
                  <c:v>613.59058757797595</c:v>
                </c:pt>
                <c:pt idx="5">
                  <c:v>560.06489698795826</c:v>
                </c:pt>
                <c:pt idx="6">
                  <c:v>500.851293114893</c:v>
                </c:pt>
                <c:pt idx="7">
                  <c:v>433.62592782788761</c:v>
                </c:pt>
                <c:pt idx="8">
                  <c:v>353.85183125230753</c:v>
                </c:pt>
                <c:pt idx="9">
                  <c:v>344.86100707221277</c:v>
                </c:pt>
                <c:pt idx="10">
                  <c:v>335.6294362979209</c:v>
                </c:pt>
                <c:pt idx="11">
                  <c:v>326.13667828570419</c:v>
                </c:pt>
                <c:pt idx="12">
                  <c:v>316.3592251314044</c:v>
                </c:pt>
                <c:pt idx="13">
                  <c:v>306.26981585529137</c:v>
                </c:pt>
                <c:pt idx="14">
                  <c:v>295.83653987223181</c:v>
                </c:pt>
                <c:pt idx="15">
                  <c:v>285.0216447712159</c:v>
                </c:pt>
                <c:pt idx="16">
                  <c:v>273.77991969513249</c:v>
                </c:pt>
                <c:pt idx="17">
                  <c:v>262.05645365305162</c:v>
                </c:pt>
                <c:pt idx="18">
                  <c:v>249.78344530214196</c:v>
                </c:pt>
                <c:pt idx="19">
                  <c:v>236.87552211718341</c:v>
                </c:pt>
                <c:pt idx="20">
                  <c:v>223.22261769752231</c:v>
                </c:pt>
                <c:pt idx="21">
                  <c:v>208.67864287476934</c:v>
                </c:pt>
                <c:pt idx="22">
                  <c:v>193.04244761682449</c:v>
                </c:pt>
                <c:pt idx="23">
                  <c:v>176.02349392543994</c:v>
                </c:pt>
                <c:pt idx="24">
                  <c:v>157.17388127622718</c:v>
                </c:pt>
                <c:pt idx="25">
                  <c:v>135.73476444634622</c:v>
                </c:pt>
                <c:pt idx="26">
                  <c:v>110.21126870732158</c:v>
                </c:pt>
                <c:pt idx="27">
                  <c:v>107.32681373272818</c:v>
                </c:pt>
                <c:pt idx="28">
                  <c:v>104.36304040574774</c:v>
                </c:pt>
                <c:pt idx="29">
                  <c:v>101.31305325610963</c:v>
                </c:pt>
                <c:pt idx="30">
                  <c:v>98.168900531073561</c:v>
                </c:pt>
                <c:pt idx="31">
                  <c:v>94.921333826631283</c:v>
                </c:pt>
                <c:pt idx="32">
                  <c:v>91.559492790927692</c:v>
                </c:pt>
                <c:pt idx="33">
                  <c:v>88.070484344857704</c:v>
                </c:pt>
                <c:pt idx="34">
                  <c:v>84.438810019857073</c:v>
                </c:pt>
                <c:pt idx="35">
                  <c:v>80.645568903981243</c:v>
                </c:pt>
                <c:pt idx="36">
                  <c:v>76.667319098068816</c:v>
                </c:pt>
                <c:pt idx="37">
                  <c:v>72.474401213520196</c:v>
                </c:pt>
                <c:pt idx="38">
                  <c:v>68.028379138453616</c:v>
                </c:pt>
                <c:pt idx="39">
                  <c:v>63.277959733550546</c:v>
                </c:pt>
                <c:pt idx="40">
                  <c:v>58.152129971945712</c:v>
                </c:pt>
                <c:pt idx="41">
                  <c:v>52.547807703215419</c:v>
                </c:pt>
                <c:pt idx="42">
                  <c:v>46.305573553194115</c:v>
                </c:pt>
                <c:pt idx="43">
                  <c:v>39.155882815835895</c:v>
                </c:pt>
                <c:pt idx="44">
                  <c:v>30.576925264180616</c:v>
                </c:pt>
                <c:pt idx="45">
                  <c:v>29.604037324146717</c:v>
                </c:pt>
                <c:pt idx="46">
                  <c:v>28.604074985445187</c:v>
                </c:pt>
                <c:pt idx="47">
                  <c:v>27.57487527640831</c:v>
                </c:pt>
                <c:pt idx="48">
                  <c:v>26.513989530705842</c:v>
                </c:pt>
                <c:pt idx="49">
                  <c:v>25.418629984541436</c:v>
                </c:pt>
                <c:pt idx="50">
                  <c:v>24.285603248088481</c:v>
                </c:pt>
                <c:pt idx="51">
                  <c:v>23.1112265851201</c:v>
                </c:pt>
                <c:pt idx="52">
                  <c:v>21.891221389816479</c:v>
                </c:pt>
                <c:pt idx="53">
                  <c:v>20.620575997834784</c:v>
                </c:pt>
                <c:pt idx="54">
                  <c:v>19.293366625345325</c:v>
                </c:pt>
                <c:pt idx="55">
                  <c:v>17.902520163841775</c:v>
                </c:pt>
                <c:pt idx="56">
                  <c:v>16.439494707605149</c:v>
                </c:pt>
                <c:pt idx="57">
                  <c:v>14.893841213725596</c:v>
                </c:pt>
                <c:pt idx="58">
                  <c:v>13.252589297778348</c:v>
                </c:pt>
                <c:pt idx="59">
                  <c:v>11.499365742041842</c:v>
                </c:pt>
                <c:pt idx="60">
                  <c:v>9.6130940305512436</c:v>
                </c:pt>
                <c:pt idx="61">
                  <c:v>7.5660132095696149</c:v>
                </c:pt>
                <c:pt idx="62">
                  <c:v>5.320543438006279</c:v>
                </c:pt>
                <c:pt idx="63">
                  <c:v>5.0832297888309874</c:v>
                </c:pt>
                <c:pt idx="64">
                  <c:v>4.843362583194196</c:v>
                </c:pt>
                <c:pt idx="65">
                  <c:v>4.6008765396157703</c:v>
                </c:pt>
                <c:pt idx="66">
                  <c:v>4.3557038467097078</c:v>
                </c:pt>
                <c:pt idx="67">
                  <c:v>4.1077740323692016</c:v>
                </c:pt>
                <c:pt idx="68">
                  <c:v>3.8570138244825904</c:v>
                </c:pt>
                <c:pt idx="69">
                  <c:v>3.6033470025197682</c:v>
                </c:pt>
                <c:pt idx="70">
                  <c:v>3.3466942392683405</c:v>
                </c:pt>
                <c:pt idx="71">
                  <c:v>3.0869729319319696</c:v>
                </c:pt>
                <c:pt idx="72">
                  <c:v>2.8240970217295471</c:v>
                </c:pt>
                <c:pt idx="73">
                  <c:v>2.5579768010519355</c:v>
                </c:pt>
                <c:pt idx="74">
                  <c:v>2.2885187071422646</c:v>
                </c:pt>
                <c:pt idx="75">
                  <c:v>2.0156251011648956</c:v>
                </c:pt>
                <c:pt idx="76">
                  <c:v>1.7391940314159655</c:v>
                </c:pt>
                <c:pt idx="77">
                  <c:v>1.4591189793034856</c:v>
                </c:pt>
                <c:pt idx="78">
                  <c:v>1.175288586585592</c:v>
                </c:pt>
                <c:pt idx="79">
                  <c:v>0.88758636219982256</c:v>
                </c:pt>
                <c:pt idx="80">
                  <c:v>0.59589036684217511</c:v>
                </c:pt>
                <c:pt idx="81">
                  <c:v>0.56649624446131797</c:v>
                </c:pt>
                <c:pt idx="82">
                  <c:v>0.53706078115450917</c:v>
                </c:pt>
                <c:pt idx="83">
                  <c:v>0.50758384528526013</c:v>
                </c:pt>
                <c:pt idx="84">
                  <c:v>0.47806530459448426</c:v>
                </c:pt>
                <c:pt idx="85">
                  <c:v>0.44850502619662536</c:v>
                </c:pt>
                <c:pt idx="86">
                  <c:v>0.41890287657575476</c:v>
                </c:pt>
                <c:pt idx="87">
                  <c:v>0.38925872158164032</c:v>
                </c:pt>
                <c:pt idx="88">
                  <c:v>0.35957242642578296</c:v>
                </c:pt>
                <c:pt idx="89">
                  <c:v>0.32984385567742391</c:v>
                </c:pt>
                <c:pt idx="90">
                  <c:v>0.30007287325952142</c:v>
                </c:pt>
                <c:pt idx="91">
                  <c:v>0.27025934244469468</c:v>
                </c:pt>
                <c:pt idx="92">
                  <c:v>0.24040312585113846</c:v>
                </c:pt>
                <c:pt idx="93">
                  <c:v>0.21050408543850374</c:v>
                </c:pt>
                <c:pt idx="94">
                  <c:v>0.18056208250374828</c:v>
                </c:pt>
                <c:pt idx="95">
                  <c:v>0.15057697767695344</c:v>
                </c:pt>
                <c:pt idx="96">
                  <c:v>0.1205486309171091</c:v>
                </c:pt>
                <c:pt idx="97">
                  <c:v>9.047690150786547E-2</c:v>
                </c:pt>
                <c:pt idx="98">
                  <c:v>6.0361648053251678E-2</c:v>
                </c:pt>
                <c:pt idx="99">
                  <c:v>5.7347723421166411E-2</c:v>
                </c:pt>
                <c:pt idx="100">
                  <c:v>5.4333361985938806E-2</c:v>
                </c:pt>
                <c:pt idx="101">
                  <c:v>5.1318563605042632E-2</c:v>
                </c:pt>
                <c:pt idx="102">
                  <c:v>4.8303328135882721E-2</c:v>
                </c:pt>
                <c:pt idx="103">
                  <c:v>4.5287655435794903E-2</c:v>
                </c:pt>
                <c:pt idx="104">
                  <c:v>4.2271545362046109E-2</c:v>
                </c:pt>
                <c:pt idx="105">
                  <c:v>3.9254997771834103E-2</c:v>
                </c:pt>
                <c:pt idx="106">
                  <c:v>3.623801252228763E-2</c:v>
                </c:pt>
                <c:pt idx="107">
                  <c:v>3.3220589470466313E-2</c:v>
                </c:pt>
                <c:pt idx="108">
                  <c:v>3.0202728473360561E-2</c:v>
                </c:pt>
                <c:pt idx="109">
                  <c:v>2.7184429387891548E-2</c:v>
                </c:pt>
                <c:pt idx="110">
                  <c:v>2.4165692070911227E-2</c:v>
                </c:pt>
                <c:pt idx="111">
                  <c:v>2.1146516379202202E-2</c:v>
                </c:pt>
                <c:pt idx="112">
                  <c:v>1.8126902169477734E-2</c:v>
                </c:pt>
                <c:pt idx="113">
                  <c:v>1.5106849298381717E-2</c:v>
                </c:pt>
                <c:pt idx="114">
                  <c:v>1.2086357622488556E-2</c:v>
                </c:pt>
                <c:pt idx="115">
                  <c:v>9.0654269983031794E-3</c:v>
                </c:pt>
                <c:pt idx="116">
                  <c:v>6.0440572822610186E-3</c:v>
                </c:pt>
                <c:pt idx="117">
                  <c:v>5.7418961550753638E-3</c:v>
                </c:pt>
                <c:pt idx="118">
                  <c:v>5.4397306353911878E-3</c:v>
                </c:pt>
                <c:pt idx="119">
                  <c:v>5.1375607230648053E-3</c:v>
                </c:pt>
                <c:pt idx="120">
                  <c:v>4.8353864179525325E-3</c:v>
                </c:pt>
                <c:pt idx="121">
                  <c:v>4.5332077199106745E-3</c:v>
                </c:pt>
                <c:pt idx="122">
                  <c:v>4.2310246287955364E-3</c:v>
                </c:pt>
                <c:pt idx="123">
                  <c:v>3.928837144463404E-3</c:v>
                </c:pt>
                <c:pt idx="124">
                  <c:v>3.6266452667705674E-3</c:v>
                </c:pt>
                <c:pt idx="125">
                  <c:v>3.3244489955733046E-3</c:v>
                </c:pt>
                <c:pt idx="126">
                  <c:v>3.022248330727886E-3</c:v>
                </c:pt>
                <c:pt idx="127">
                  <c:v>2.7200432720905767E-3</c:v>
                </c:pt>
                <c:pt idx="128">
                  <c:v>2.4178338195176359E-3</c:v>
                </c:pt>
                <c:pt idx="129">
                  <c:v>2.1156199728653131E-3</c:v>
                </c:pt>
                <c:pt idx="130">
                  <c:v>1.8134017319898536E-3</c:v>
                </c:pt>
                <c:pt idx="131">
                  <c:v>1.5111790967474946E-3</c:v>
                </c:pt>
                <c:pt idx="132">
                  <c:v>1.2089520669944646E-3</c:v>
                </c:pt>
                <c:pt idx="133">
                  <c:v>9.0672064258698738E-4</c:v>
                </c:pt>
                <c:pt idx="134">
                  <c:v>6.0448482338127871E-4</c:v>
                </c:pt>
                <c:pt idx="135">
                  <c:v>5.7426099974127007E-4</c:v>
                </c:pt>
                <c:pt idx="136">
                  <c:v>5.4403713215169674E-4</c:v>
                </c:pt>
                <c:pt idx="137">
                  <c:v>5.138132206124155E-4</c:v>
                </c:pt>
                <c:pt idx="138">
                  <c:v>4.8358926512328263E-4</c:v>
                </c:pt>
                <c:pt idx="139">
                  <c:v>4.5336526568415437E-4</c:v>
                </c:pt>
                <c:pt idx="140">
                  <c:v>4.2314122229488701E-4</c:v>
                </c:pt>
                <c:pt idx="141">
                  <c:v>3.9291713495533673E-4</c:v>
                </c:pt>
                <c:pt idx="142">
                  <c:v>3.6269300366536015E-4</c:v>
                </c:pt>
                <c:pt idx="143">
                  <c:v>3.3246882842481241E-4</c:v>
                </c:pt>
                <c:pt idx="144">
                  <c:v>3.0224460923355013E-4</c:v>
                </c:pt>
                <c:pt idx="145">
                  <c:v>2.7202034609142986E-4</c:v>
                </c:pt>
                <c:pt idx="146">
                  <c:v>2.4179603899830742E-4</c:v>
                </c:pt>
                <c:pt idx="147">
                  <c:v>2.1157168795403935E-4</c:v>
                </c:pt>
                <c:pt idx="148">
                  <c:v>1.8134729295848161E-4</c:v>
                </c:pt>
                <c:pt idx="149">
                  <c:v>1.5112285401149049E-4</c:v>
                </c:pt>
                <c:pt idx="150">
                  <c:v>1.2089837111292214E-4</c:v>
                </c:pt>
                <c:pt idx="151">
                  <c:v>9.0673844262632817E-5</c:v>
                </c:pt>
                <c:pt idx="152">
                  <c:v>6.044927346047861E-5</c:v>
                </c:pt>
                <c:pt idx="153">
                  <c:v>5.7426813962904499E-5</c:v>
                </c:pt>
                <c:pt idx="154">
                  <c:v>5.4404354025810745E-5</c:v>
                </c:pt>
                <c:pt idx="155">
                  <c:v>5.1381893649196636E-5</c:v>
                </c:pt>
                <c:pt idx="156">
                  <c:v>4.8359432833062003E-5</c:v>
                </c:pt>
                <c:pt idx="157">
                  <c:v>4.533697157740669E-5</c:v>
                </c:pt>
                <c:pt idx="158">
                  <c:v>4.2314509882230582E-5</c:v>
                </c:pt>
                <c:pt idx="159">
                  <c:v>3.9292047747533536E-5</c:v>
                </c:pt>
                <c:pt idx="160">
                  <c:v>3.6269585173315384E-5</c:v>
                </c:pt>
                <c:pt idx="161">
                  <c:v>3.3247122159576002E-5</c:v>
                </c:pt>
                <c:pt idx="162">
                  <c:v>3.0224658706315229E-5</c:v>
                </c:pt>
                <c:pt idx="163">
                  <c:v>2.7202194813532935E-5</c:v>
                </c:pt>
                <c:pt idx="164">
                  <c:v>2.4179730481228982E-5</c:v>
                </c:pt>
                <c:pt idx="165">
                  <c:v>2.1157265709403208E-5</c:v>
                </c:pt>
                <c:pt idx="166">
                  <c:v>1.8134800498055483E-5</c:v>
                </c:pt>
                <c:pt idx="167">
                  <c:v>1.5112334847185656E-5</c:v>
                </c:pt>
                <c:pt idx="168">
                  <c:v>1.2089868756793591E-5</c:v>
                </c:pt>
                <c:pt idx="169">
                  <c:v>9.0674022268791313E-6</c:v>
                </c:pt>
                <c:pt idx="170">
                  <c:v>6.0449352574421366E-6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4-4CF8-A7A6-634DA37F160C}"/>
            </c:ext>
          </c:extLst>
        </c:ser>
        <c:ser>
          <c:idx val="4"/>
          <c:order val="4"/>
          <c:tx>
            <c:v>1h EoL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'WSO-UV_WUVS_130nm'!$O$30:$O$200</c:f>
              <c:numCache>
                <c:formatCode>0.00E+00</c:formatCode>
                <c:ptCount val="171"/>
                <c:pt idx="0">
                  <c:v>1941.0383412114948</c:v>
                </c:pt>
                <c:pt idx="1">
                  <c:v>1841.3867070056722</c:v>
                </c:pt>
                <c:pt idx="2">
                  <c:v>1736.0242471619238</c:v>
                </c:pt>
                <c:pt idx="3">
                  <c:v>1623.8397077038435</c:v>
                </c:pt>
                <c:pt idx="4">
                  <c:v>1503.3065712835776</c:v>
                </c:pt>
                <c:pt idx="5">
                  <c:v>1372.226644683418</c:v>
                </c:pt>
                <c:pt idx="6">
                  <c:v>1227.2250801019154</c:v>
                </c:pt>
                <c:pt idx="7">
                  <c:v>1062.6180223355202</c:v>
                </c:pt>
                <c:pt idx="8">
                  <c:v>867.3138434741935</c:v>
                </c:pt>
                <c:pt idx="9">
                  <c:v>845.30526677848718</c:v>
                </c:pt>
                <c:pt idx="10">
                  <c:v>822.70815312952072</c:v>
                </c:pt>
                <c:pt idx="11">
                  <c:v>799.47260127435231</c:v>
                </c:pt>
                <c:pt idx="12">
                  <c:v>775.54123254542708</c:v>
                </c:pt>
                <c:pt idx="13">
                  <c:v>750.84752142108107</c:v>
                </c:pt>
                <c:pt idx="14">
                  <c:v>725.31361393497889</c:v>
                </c:pt>
                <c:pt idx="15">
                  <c:v>698.84742772271863</c:v>
                </c:pt>
                <c:pt idx="16">
                  <c:v>671.33872154063283</c:v>
                </c:pt>
                <c:pt idx="17">
                  <c:v>642.65364787349552</c:v>
                </c:pt>
                <c:pt idx="18">
                  <c:v>612.62700517650592</c:v>
                </c:pt>
                <c:pt idx="19">
                  <c:v>581.05087786493709</c:v>
                </c:pt>
                <c:pt idx="20">
                  <c:v>547.65736414635205</c:v>
                </c:pt>
                <c:pt idx="21">
                  <c:v>512.09113074155857</c:v>
                </c:pt>
                <c:pt idx="22">
                  <c:v>473.86334598106686</c:v>
                </c:pt>
                <c:pt idx="23">
                  <c:v>432.26874041966448</c:v>
                </c:pt>
                <c:pt idx="24">
                  <c:v>386.22168174479202</c:v>
                </c:pt>
                <c:pt idx="25">
                  <c:v>333.88674044410493</c:v>
                </c:pt>
                <c:pt idx="26">
                  <c:v>271.65983109970449</c:v>
                </c:pt>
                <c:pt idx="27">
                  <c:v>264.63478369486961</c:v>
                </c:pt>
                <c:pt idx="28">
                  <c:v>257.41846087486755</c:v>
                </c:pt>
                <c:pt idx="29">
                  <c:v>249.99436467613637</c:v>
                </c:pt>
                <c:pt idx="30">
                  <c:v>242.34348473279289</c:v>
                </c:pt>
                <c:pt idx="31">
                  <c:v>234.44372878687952</c:v>
                </c:pt>
                <c:pt idx="32">
                  <c:v>226.26917601876167</c:v>
                </c:pt>
                <c:pt idx="33">
                  <c:v>217.7890809359975</c:v>
                </c:pt>
                <c:pt idx="34">
                  <c:v>208.96651800089052</c:v>
                </c:pt>
                <c:pt idx="35">
                  <c:v>199.75649517780261</c:v>
                </c:pt>
                <c:pt idx="36">
                  <c:v>190.10325843617019</c:v>
                </c:pt>
                <c:pt idx="37">
                  <c:v>179.93631966670179</c:v>
                </c:pt>
                <c:pt idx="38">
                  <c:v>169.16438460715813</c:v>
                </c:pt>
                <c:pt idx="39">
                  <c:v>157.66564849817004</c:v>
                </c:pt>
                <c:pt idx="40">
                  <c:v>145.27140919329824</c:v>
                </c:pt>
                <c:pt idx="41">
                  <c:v>131.73638973635747</c:v>
                </c:pt>
                <c:pt idx="42">
                  <c:v>116.67979496320014</c:v>
                </c:pt>
                <c:pt idx="43">
                  <c:v>99.452263130595767</c:v>
                </c:pt>
                <c:pt idx="44">
                  <c:v>78.772151300579381</c:v>
                </c:pt>
                <c:pt idx="45">
                  <c:v>76.42268268626988</c:v>
                </c:pt>
                <c:pt idx="46">
                  <c:v>74.006109448116533</c:v>
                </c:pt>
                <c:pt idx="47">
                  <c:v>71.516715777761988</c:v>
                </c:pt>
                <c:pt idx="48">
                  <c:v>68.947963326282135</c:v>
                </c:pt>
                <c:pt idx="49">
                  <c:v>66.292321155763219</c:v>
                </c:pt>
                <c:pt idx="50">
                  <c:v>63.541048902869001</c:v>
                </c:pt>
                <c:pt idx="51">
                  <c:v>60.683916753004347</c:v>
                </c:pt>
                <c:pt idx="52">
                  <c:v>57.70883869740419</c:v>
                </c:pt>
                <c:pt idx="53">
                  <c:v>54.601384650680131</c:v>
                </c:pt>
                <c:pt idx="54">
                  <c:v>51.344119946970764</c:v>
                </c:pt>
                <c:pt idx="55">
                  <c:v>47.915693295667189</c:v>
                </c:pt>
                <c:pt idx="56">
                  <c:v>44.289548796345194</c:v>
                </c:pt>
                <c:pt idx="57">
                  <c:v>40.432059586028757</c:v>
                </c:pt>
                <c:pt idx="58">
                  <c:v>36.299741449900296</c:v>
                </c:pt>
                <c:pt idx="59">
                  <c:v>31.834944611309858</c:v>
                </c:pt>
                <c:pt idx="60">
                  <c:v>26.95890914573571</c:v>
                </c:pt>
                <c:pt idx="61">
                  <c:v>21.559991521300702</c:v>
                </c:pt>
                <c:pt idx="62">
                  <c:v>15.472419074092819</c:v>
                </c:pt>
                <c:pt idx="63">
                  <c:v>14.816901770691675</c:v>
                </c:pt>
                <c:pt idx="64">
                  <c:v>14.151693608192369</c:v>
                </c:pt>
                <c:pt idx="65">
                  <c:v>13.476445196857005</c:v>
                </c:pt>
                <c:pt idx="66">
                  <c:v>12.790787838907534</c:v>
                </c:pt>
                <c:pt idx="67">
                  <c:v>12.094332093805226</c:v>
                </c:pt>
                <c:pt idx="68">
                  <c:v>11.386666209154583</c:v>
                </c:pt>
                <c:pt idx="69">
                  <c:v>10.667354401978319</c:v>
                </c:pt>
                <c:pt idx="70">
                  <c:v>9.9359349730666757</c:v>
                </c:pt>
                <c:pt idx="71">
                  <c:v>9.1919182347436248</c:v>
                </c:pt>
                <c:pt idx="72">
                  <c:v>8.4347842296591384</c:v>
                </c:pt>
                <c:pt idx="73">
                  <c:v>7.6639802150425176</c:v>
                </c:pt>
                <c:pt idx="74">
                  <c:v>6.8789178831565883</c:v>
                </c:pt>
                <c:pt idx="75">
                  <c:v>6.0789702843777746</c:v>
                </c:pt>
                <c:pt idx="76">
                  <c:v>5.2634684142746488</c:v>
                </c:pt>
                <c:pt idx="77">
                  <c:v>4.4316974201230597</c:v>
                </c:pt>
                <c:pt idx="78">
                  <c:v>3.582892375303254</c:v>
                </c:pt>
                <c:pt idx="79">
                  <c:v>2.7162335617576905</c:v>
                </c:pt>
                <c:pt idx="80">
                  <c:v>1.830841190881989</c:v>
                </c:pt>
                <c:pt idx="81">
                  <c:v>1.7412358016375418</c:v>
                </c:pt>
                <c:pt idx="82">
                  <c:v>1.6514326948675098</c:v>
                </c:pt>
                <c:pt idx="83">
                  <c:v>1.5614308792632445</c:v>
                </c:pt>
                <c:pt idx="84">
                  <c:v>1.4712293561221979</c:v>
                </c:pt>
                <c:pt idx="85">
                  <c:v>1.3808271192753194</c:v>
                </c:pt>
                <c:pt idx="86">
                  <c:v>1.2902231550135745</c:v>
                </c:pt>
                <c:pt idx="87">
                  <c:v>1.1994164420135642</c:v>
                </c:pt>
                <c:pt idx="88">
                  <c:v>1.1084059512622391</c:v>
                </c:pt>
                <c:pt idx="89">
                  <c:v>1.0171906459806901</c:v>
                </c:pt>
                <c:pt idx="90">
                  <c:v>0.92576948154700667</c:v>
                </c:pt>
                <c:pt idx="91">
                  <c:v>0.83414140541818671</c:v>
                </c:pt>
                <c:pt idx="92">
                  <c:v>0.74230535705108192</c:v>
                </c:pt>
                <c:pt idx="93">
                  <c:v>0.65026026782236934</c:v>
                </c:pt>
                <c:pt idx="94">
                  <c:v>0.55800506094753188</c:v>
                </c:pt>
                <c:pt idx="95">
                  <c:v>0.46553865139883244</c:v>
                </c:pt>
                <c:pt idx="96">
                  <c:v>0.37285994582226861</c:v>
                </c:pt>
                <c:pt idx="97">
                  <c:v>0.27996784245349254</c:v>
                </c:pt>
                <c:pt idx="98">
                  <c:v>0.18686123103268004</c:v>
                </c:pt>
                <c:pt idx="99">
                  <c:v>0.17753872894714473</c:v>
                </c:pt>
                <c:pt idx="100">
                  <c:v>0.16821406947623821</c:v>
                </c:pt>
                <c:pt idx="101">
                  <c:v>0.15888725149550495</c:v>
                </c:pt>
                <c:pt idx="102">
                  <c:v>0.14955827387962103</c:v>
                </c:pt>
                <c:pt idx="103">
                  <c:v>0.14022713550239266</c:v>
                </c:pt>
                <c:pt idx="104">
                  <c:v>0.13089383523675602</c:v>
                </c:pt>
                <c:pt idx="105">
                  <c:v>0.12155837195477577</c:v>
                </c:pt>
                <c:pt idx="106">
                  <c:v>0.11222074452764444</c:v>
                </c:pt>
                <c:pt idx="107">
                  <c:v>0.10288095182568166</c:v>
                </c:pt>
                <c:pt idx="108">
                  <c:v>9.3538992718332964E-2</c:v>
                </c:pt>
                <c:pt idx="109">
                  <c:v>8.4194866074169039E-2</c:v>
                </c:pt>
                <c:pt idx="110">
                  <c:v>7.4848570760885011E-2</c:v>
                </c:pt>
                <c:pt idx="111">
                  <c:v>6.5500105645299234E-2</c:v>
                </c:pt>
                <c:pt idx="112">
                  <c:v>5.6149469593352659E-2</c:v>
                </c:pt>
                <c:pt idx="113">
                  <c:v>4.67966614701079E-2</c:v>
                </c:pt>
                <c:pt idx="114">
                  <c:v>3.7441680139748162E-2</c:v>
                </c:pt>
                <c:pt idx="115">
                  <c:v>2.8084524465576542E-2</c:v>
                </c:pt>
                <c:pt idx="116">
                  <c:v>1.8725193310015098E-2</c:v>
                </c:pt>
                <c:pt idx="117">
                  <c:v>1.7789140499159441E-2</c:v>
                </c:pt>
                <c:pt idx="118">
                  <c:v>1.6853065920967081E-2</c:v>
                </c:pt>
                <c:pt idx="119">
                  <c:v>1.5916969574298966E-2</c:v>
                </c:pt>
                <c:pt idx="120">
                  <c:v>1.4980851458015983E-2</c:v>
                </c:pt>
                <c:pt idx="121">
                  <c:v>1.4044711570978911E-2</c:v>
                </c:pt>
                <c:pt idx="122">
                  <c:v>1.3108549912048474E-2</c:v>
                </c:pt>
                <c:pt idx="123">
                  <c:v>1.2172366480085265E-2</c:v>
                </c:pt>
                <c:pt idx="124">
                  <c:v>1.1236161273949812E-2</c:v>
                </c:pt>
                <c:pt idx="125">
                  <c:v>1.0299934292502561E-2</c:v>
                </c:pt>
                <c:pt idx="126">
                  <c:v>9.3636855346038491E-3</c:v>
                </c:pt>
                <c:pt idx="127">
                  <c:v>8.4274149991139403E-3</c:v>
                </c:pt>
                <c:pt idx="128">
                  <c:v>7.4911226848930037E-3</c:v>
                </c:pt>
                <c:pt idx="129">
                  <c:v>6.5548085908011281E-3</c:v>
                </c:pt>
                <c:pt idx="130">
                  <c:v>5.6184727156983012E-3</c:v>
                </c:pt>
                <c:pt idx="131">
                  <c:v>4.6821150584444365E-3</c:v>
                </c:pt>
                <c:pt idx="132">
                  <c:v>3.7457356178993446E-3</c:v>
                </c:pt>
                <c:pt idx="133">
                  <c:v>2.8093343929227587E-3</c:v>
                </c:pt>
                <c:pt idx="134">
                  <c:v>1.8729113823743172E-3</c:v>
                </c:pt>
                <c:pt idx="135">
                  <c:v>1.7792678830691167E-3</c:v>
                </c:pt>
                <c:pt idx="136">
                  <c:v>1.6856241658956515E-3</c:v>
                </c:pt>
                <c:pt idx="137">
                  <c:v>1.5919802308527818E-3</c:v>
                </c:pt>
                <c:pt idx="138">
                  <c:v>1.4983360779393673E-3</c:v>
                </c:pt>
                <c:pt idx="139">
                  <c:v>1.4046917071542679E-3</c:v>
                </c:pt>
                <c:pt idx="140">
                  <c:v>1.3110471184963432E-3</c:v>
                </c:pt>
                <c:pt idx="141">
                  <c:v>1.2174023119644528E-3</c:v>
                </c:pt>
                <c:pt idx="142">
                  <c:v>1.1237572875574572E-3</c:v>
                </c:pt>
                <c:pt idx="143">
                  <c:v>1.0301120452742127E-3</c:v>
                </c:pt>
                <c:pt idx="144">
                  <c:v>9.3646658511358015E-4</c:v>
                </c:pt>
                <c:pt idx="145">
                  <c:v>8.428209070744199E-4</c:v>
                </c:pt>
                <c:pt idx="146">
                  <c:v>7.4917501115559005E-4</c:v>
                </c:pt>
                <c:pt idx="147">
                  <c:v>6.5552889735595132E-4</c:v>
                </c:pt>
                <c:pt idx="148">
                  <c:v>5.6188256567436237E-4</c:v>
                </c:pt>
                <c:pt idx="149">
                  <c:v>4.6823601610968273E-4</c:v>
                </c:pt>
                <c:pt idx="150">
                  <c:v>3.7458924866077165E-4</c:v>
                </c:pt>
                <c:pt idx="151">
                  <c:v>2.8094226332648882E-4</c:v>
                </c:pt>
                <c:pt idx="152">
                  <c:v>1.8729506010569318E-4</c:v>
                </c:pt>
                <c:pt idx="153">
                  <c:v>1.7793032779980973E-4</c:v>
                </c:pt>
                <c:pt idx="154">
                  <c:v>1.6856559331505038E-4</c:v>
                </c:pt>
                <c:pt idx="155">
                  <c:v>1.5920085665141226E-4</c:v>
                </c:pt>
                <c:pt idx="156">
                  <c:v>1.4983611780889418E-4</c:v>
                </c:pt>
                <c:pt idx="157">
                  <c:v>1.4047137678749495E-4</c:v>
                </c:pt>
                <c:pt idx="158">
                  <c:v>1.3110663358721351E-4</c:v>
                </c:pt>
                <c:pt idx="159">
                  <c:v>1.2174188820804872E-4</c:v>
                </c:pt>
                <c:pt idx="160">
                  <c:v>1.123771406499994E-4</c:v>
                </c:pt>
                <c:pt idx="161">
                  <c:v>1.0301239091306443E-4</c:v>
                </c:pt>
                <c:pt idx="162">
                  <c:v>9.3647638997242645E-5</c:v>
                </c:pt>
                <c:pt idx="163">
                  <c:v>8.4282884902532913E-5</c:v>
                </c:pt>
                <c:pt idx="164">
                  <c:v>7.4918128628934127E-5</c:v>
                </c:pt>
                <c:pt idx="165">
                  <c:v>6.5553370176445094E-5</c:v>
                </c:pt>
                <c:pt idx="166">
                  <c:v>5.618860954506473E-5</c:v>
                </c:pt>
                <c:pt idx="167">
                  <c:v>4.6823846734791849E-5</c:v>
                </c:pt>
                <c:pt idx="168">
                  <c:v>3.7459081745625326E-5</c:v>
                </c:pt>
                <c:pt idx="169">
                  <c:v>2.8094314577564019E-5</c:v>
                </c:pt>
                <c:pt idx="170">
                  <c:v>1.8729545230606767E-5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4-4CF8-A7A6-634DA37F160C}"/>
            </c:ext>
          </c:extLst>
        </c:ser>
        <c:ser>
          <c:idx val="5"/>
          <c:order val="5"/>
          <c:tx>
            <c:v>10h EoL</c:v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'WSO-UV_WUVS_130nm'!$C$30:$C$200</c:f>
              <c:numCache>
                <c:formatCode>0.00E+00</c:formatCode>
                <c:ptCount val="171"/>
                <c:pt idx="0">
                  <c:v>9664741.4002210274</c:v>
                </c:pt>
                <c:pt idx="1">
                  <c:v>8698267.2601989266</c:v>
                </c:pt>
                <c:pt idx="2">
                  <c:v>7731793.1201768219</c:v>
                </c:pt>
                <c:pt idx="3">
                  <c:v>6765318.9801547183</c:v>
                </c:pt>
                <c:pt idx="4">
                  <c:v>5798844.8401326193</c:v>
                </c:pt>
                <c:pt idx="5">
                  <c:v>4832370.7001105137</c:v>
                </c:pt>
                <c:pt idx="6">
                  <c:v>3865896.560088411</c:v>
                </c:pt>
                <c:pt idx="7">
                  <c:v>2899422.4200663096</c:v>
                </c:pt>
                <c:pt idx="8">
                  <c:v>1932948.2800442055</c:v>
                </c:pt>
                <c:pt idx="9">
                  <c:v>1836300.8660419954</c:v>
                </c:pt>
                <c:pt idx="10">
                  <c:v>1739653.4520397848</c:v>
                </c:pt>
                <c:pt idx="11">
                  <c:v>1643006.0380375749</c:v>
                </c:pt>
                <c:pt idx="12">
                  <c:v>1546358.6240353647</c:v>
                </c:pt>
                <c:pt idx="13">
                  <c:v>1449711.2100331548</c:v>
                </c:pt>
                <c:pt idx="14">
                  <c:v>1353063.796030944</c:v>
                </c:pt>
                <c:pt idx="15">
                  <c:v>1256416.3820287341</c:v>
                </c:pt>
                <c:pt idx="16">
                  <c:v>1159768.9680265235</c:v>
                </c:pt>
                <c:pt idx="17">
                  <c:v>1063121.5540243133</c:v>
                </c:pt>
                <c:pt idx="18">
                  <c:v>966474.14002210274</c:v>
                </c:pt>
                <c:pt idx="19">
                  <c:v>869826.72601989238</c:v>
                </c:pt>
                <c:pt idx="20">
                  <c:v>773179.31201768236</c:v>
                </c:pt>
                <c:pt idx="21">
                  <c:v>676531.89801547199</c:v>
                </c:pt>
                <c:pt idx="22">
                  <c:v>579884.48401326174</c:v>
                </c:pt>
                <c:pt idx="23">
                  <c:v>483237.07001105137</c:v>
                </c:pt>
                <c:pt idx="24">
                  <c:v>386589.65600884118</c:v>
                </c:pt>
                <c:pt idx="25">
                  <c:v>289942.24200663087</c:v>
                </c:pt>
                <c:pt idx="26">
                  <c:v>193294.82800442059</c:v>
                </c:pt>
                <c:pt idx="27">
                  <c:v>183630.08660419952</c:v>
                </c:pt>
                <c:pt idx="28">
                  <c:v>173965.34520397853</c:v>
                </c:pt>
                <c:pt idx="29">
                  <c:v>164300.60380375749</c:v>
                </c:pt>
                <c:pt idx="30">
                  <c:v>154635.86240353642</c:v>
                </c:pt>
                <c:pt idx="31">
                  <c:v>144971.12100331543</c:v>
                </c:pt>
                <c:pt idx="32">
                  <c:v>135306.37960309442</c:v>
                </c:pt>
                <c:pt idx="33">
                  <c:v>125641.63820287336</c:v>
                </c:pt>
                <c:pt idx="34">
                  <c:v>115976.89680265235</c:v>
                </c:pt>
                <c:pt idx="35">
                  <c:v>106312.15540243131</c:v>
                </c:pt>
                <c:pt idx="36">
                  <c:v>96647.414002210295</c:v>
                </c:pt>
                <c:pt idx="37">
                  <c:v>86982.672601989267</c:v>
                </c:pt>
                <c:pt idx="38">
                  <c:v>77317.93120176821</c:v>
                </c:pt>
                <c:pt idx="39">
                  <c:v>67653.189801547211</c:v>
                </c:pt>
                <c:pt idx="40">
                  <c:v>57988.448401326175</c:v>
                </c:pt>
                <c:pt idx="41">
                  <c:v>48323.707001105147</c:v>
                </c:pt>
                <c:pt idx="42">
                  <c:v>38658.965600884105</c:v>
                </c:pt>
                <c:pt idx="43">
                  <c:v>28994.224200663088</c:v>
                </c:pt>
                <c:pt idx="44">
                  <c:v>19329.482800442052</c:v>
                </c:pt>
                <c:pt idx="45">
                  <c:v>18363.008660419953</c:v>
                </c:pt>
                <c:pt idx="46">
                  <c:v>17396.53452039785</c:v>
                </c:pt>
                <c:pt idx="47">
                  <c:v>16430.060380375748</c:v>
                </c:pt>
                <c:pt idx="48">
                  <c:v>15463.586240353645</c:v>
                </c:pt>
                <c:pt idx="49">
                  <c:v>14497.112100331544</c:v>
                </c:pt>
                <c:pt idx="50">
                  <c:v>13530.637960309441</c:v>
                </c:pt>
                <c:pt idx="51">
                  <c:v>12564.163820287338</c:v>
                </c:pt>
                <c:pt idx="52">
                  <c:v>11597.689680265232</c:v>
                </c:pt>
                <c:pt idx="53">
                  <c:v>10631.215540243129</c:v>
                </c:pt>
                <c:pt idx="54">
                  <c:v>9664.7414002210262</c:v>
                </c:pt>
                <c:pt idx="55">
                  <c:v>8698.2672601989252</c:v>
                </c:pt>
                <c:pt idx="56">
                  <c:v>7731.7931201768224</c:v>
                </c:pt>
                <c:pt idx="57">
                  <c:v>6765.3189801547205</c:v>
                </c:pt>
                <c:pt idx="58">
                  <c:v>5798.8448401326159</c:v>
                </c:pt>
                <c:pt idx="59">
                  <c:v>4832.3707001105131</c:v>
                </c:pt>
                <c:pt idx="60">
                  <c:v>3865.8965600884112</c:v>
                </c:pt>
                <c:pt idx="61">
                  <c:v>2899.422420066308</c:v>
                </c:pt>
                <c:pt idx="62">
                  <c:v>1932.9482800442056</c:v>
                </c:pt>
                <c:pt idx="63">
                  <c:v>1836.3008660419953</c:v>
                </c:pt>
                <c:pt idx="64">
                  <c:v>1739.6534520397852</c:v>
                </c:pt>
                <c:pt idx="65">
                  <c:v>1643.0060380375751</c:v>
                </c:pt>
                <c:pt idx="66">
                  <c:v>1546.3586240353648</c:v>
                </c:pt>
                <c:pt idx="67">
                  <c:v>1449.711210033154</c:v>
                </c:pt>
                <c:pt idx="68">
                  <c:v>1353.0637960309441</c:v>
                </c:pt>
                <c:pt idx="69">
                  <c:v>1256.4163820287338</c:v>
                </c:pt>
                <c:pt idx="70">
                  <c:v>1159.7689680265237</c:v>
                </c:pt>
                <c:pt idx="71">
                  <c:v>1063.1215540243131</c:v>
                </c:pt>
                <c:pt idx="72">
                  <c:v>966.4741400221028</c:v>
                </c:pt>
                <c:pt idx="73">
                  <c:v>869.82672601989259</c:v>
                </c:pt>
                <c:pt idx="74">
                  <c:v>773.17931201768238</c:v>
                </c:pt>
                <c:pt idx="75">
                  <c:v>676.53189801547205</c:v>
                </c:pt>
                <c:pt idx="76">
                  <c:v>579.88448401326184</c:v>
                </c:pt>
                <c:pt idx="77">
                  <c:v>483.2370700110514</c:v>
                </c:pt>
                <c:pt idx="78">
                  <c:v>386.58965600884119</c:v>
                </c:pt>
                <c:pt idx="79">
                  <c:v>289.94224200663092</c:v>
                </c:pt>
                <c:pt idx="80">
                  <c:v>193.29482800442059</c:v>
                </c:pt>
                <c:pt idx="81">
                  <c:v>183.63008660419953</c:v>
                </c:pt>
                <c:pt idx="82">
                  <c:v>173.96534520397853</c:v>
                </c:pt>
                <c:pt idx="83">
                  <c:v>164.3006038037575</c:v>
                </c:pt>
                <c:pt idx="84">
                  <c:v>154.63586240353649</c:v>
                </c:pt>
                <c:pt idx="85">
                  <c:v>144.97112100331546</c:v>
                </c:pt>
                <c:pt idx="86">
                  <c:v>135.3063796030944</c:v>
                </c:pt>
                <c:pt idx="87">
                  <c:v>125.64163820287335</c:v>
                </c:pt>
                <c:pt idx="88">
                  <c:v>115.97689680265235</c:v>
                </c:pt>
                <c:pt idx="89">
                  <c:v>106.3121554024313</c:v>
                </c:pt>
                <c:pt idx="90">
                  <c:v>96.647414002210297</c:v>
                </c:pt>
                <c:pt idx="91">
                  <c:v>86.982672601989265</c:v>
                </c:pt>
                <c:pt idx="92">
                  <c:v>77.317931201768246</c:v>
                </c:pt>
                <c:pt idx="93">
                  <c:v>67.6531898015472</c:v>
                </c:pt>
                <c:pt idx="94">
                  <c:v>57.988448401326174</c:v>
                </c:pt>
                <c:pt idx="95">
                  <c:v>48.323707001105149</c:v>
                </c:pt>
                <c:pt idx="96">
                  <c:v>38.658965600884123</c:v>
                </c:pt>
                <c:pt idx="97">
                  <c:v>28.994224200663087</c:v>
                </c:pt>
                <c:pt idx="98">
                  <c:v>19.329482800442062</c:v>
                </c:pt>
                <c:pt idx="99">
                  <c:v>18.363008660419954</c:v>
                </c:pt>
                <c:pt idx="100">
                  <c:v>17.396534520397854</c:v>
                </c:pt>
                <c:pt idx="101">
                  <c:v>16.43006038037575</c:v>
                </c:pt>
                <c:pt idx="102">
                  <c:v>15.463586240353651</c:v>
                </c:pt>
                <c:pt idx="103">
                  <c:v>14.497112100331544</c:v>
                </c:pt>
                <c:pt idx="104">
                  <c:v>13.530637960309443</c:v>
                </c:pt>
                <c:pt idx="105">
                  <c:v>12.564163820287341</c:v>
                </c:pt>
                <c:pt idx="106">
                  <c:v>11.597689680265233</c:v>
                </c:pt>
                <c:pt idx="107">
                  <c:v>10.631215540243129</c:v>
                </c:pt>
                <c:pt idx="108">
                  <c:v>9.6647414002210308</c:v>
                </c:pt>
                <c:pt idx="109">
                  <c:v>8.6982672601989268</c:v>
                </c:pt>
                <c:pt idx="110">
                  <c:v>7.7317931201768255</c:v>
                </c:pt>
                <c:pt idx="111">
                  <c:v>6.7653189801547216</c:v>
                </c:pt>
                <c:pt idx="112">
                  <c:v>5.7988448401326167</c:v>
                </c:pt>
                <c:pt idx="113">
                  <c:v>4.8323707001105154</c:v>
                </c:pt>
                <c:pt idx="114">
                  <c:v>3.8658965600884128</c:v>
                </c:pt>
                <c:pt idx="115">
                  <c:v>2.8994224200663083</c:v>
                </c:pt>
                <c:pt idx="116">
                  <c:v>1.9329482800442064</c:v>
                </c:pt>
                <c:pt idx="117">
                  <c:v>1.8363008660419955</c:v>
                </c:pt>
                <c:pt idx="118">
                  <c:v>1.7396534520397855</c:v>
                </c:pt>
                <c:pt idx="119">
                  <c:v>1.6430060380375751</c:v>
                </c:pt>
                <c:pt idx="120">
                  <c:v>1.5463586240353648</c:v>
                </c:pt>
                <c:pt idx="121">
                  <c:v>1.4497112100331542</c:v>
                </c:pt>
                <c:pt idx="122">
                  <c:v>1.3530637960309442</c:v>
                </c:pt>
                <c:pt idx="123">
                  <c:v>1.2564163820287337</c:v>
                </c:pt>
                <c:pt idx="124">
                  <c:v>1.1597689680265233</c:v>
                </c:pt>
                <c:pt idx="125">
                  <c:v>1.0631215540243133</c:v>
                </c:pt>
                <c:pt idx="126">
                  <c:v>0.96647414002210319</c:v>
                </c:pt>
                <c:pt idx="127">
                  <c:v>0.86982672601989275</c:v>
                </c:pt>
                <c:pt idx="128">
                  <c:v>0.77317931201768242</c:v>
                </c:pt>
                <c:pt idx="129">
                  <c:v>0.67653189801547209</c:v>
                </c:pt>
                <c:pt idx="130">
                  <c:v>0.57988448401326165</c:v>
                </c:pt>
                <c:pt idx="131">
                  <c:v>0.48323707001105159</c:v>
                </c:pt>
                <c:pt idx="132">
                  <c:v>0.38658965600884121</c:v>
                </c:pt>
                <c:pt idx="133">
                  <c:v>0.28994224200663082</c:v>
                </c:pt>
                <c:pt idx="134">
                  <c:v>0.19329482800442035</c:v>
                </c:pt>
                <c:pt idx="135">
                  <c:v>0.18363008660419952</c:v>
                </c:pt>
                <c:pt idx="136">
                  <c:v>0.17396534520397852</c:v>
                </c:pt>
                <c:pt idx="137">
                  <c:v>0.16430060380375749</c:v>
                </c:pt>
                <c:pt idx="138">
                  <c:v>0.15463586240353647</c:v>
                </c:pt>
                <c:pt idx="139">
                  <c:v>0.14497112100331541</c:v>
                </c:pt>
                <c:pt idx="140">
                  <c:v>0.13530637960309438</c:v>
                </c:pt>
                <c:pt idx="141">
                  <c:v>0.12564163820287338</c:v>
                </c:pt>
                <c:pt idx="142">
                  <c:v>0.11597689680265255</c:v>
                </c:pt>
                <c:pt idx="143">
                  <c:v>0.10631215540243152</c:v>
                </c:pt>
                <c:pt idx="144">
                  <c:v>9.6647414002210469E-2</c:v>
                </c:pt>
                <c:pt idx="145">
                  <c:v>8.6982672601989469E-2</c:v>
                </c:pt>
                <c:pt idx="146">
                  <c:v>7.73179312017684E-2</c:v>
                </c:pt>
                <c:pt idx="147">
                  <c:v>6.7653189801547386E-2</c:v>
                </c:pt>
                <c:pt idx="148">
                  <c:v>5.7988448401326359E-2</c:v>
                </c:pt>
                <c:pt idx="149">
                  <c:v>4.8323707001105332E-2</c:v>
                </c:pt>
                <c:pt idx="150">
                  <c:v>3.8658965600884304E-2</c:v>
                </c:pt>
                <c:pt idx="151">
                  <c:v>2.8994224200663284E-2</c:v>
                </c:pt>
                <c:pt idx="152">
                  <c:v>1.9329482800442246E-2</c:v>
                </c:pt>
                <c:pt idx="153">
                  <c:v>1.8363008660419955E-2</c:v>
                </c:pt>
                <c:pt idx="154">
                  <c:v>1.7396534520397852E-2</c:v>
                </c:pt>
                <c:pt idx="155">
                  <c:v>1.6430060380375748E-2</c:v>
                </c:pt>
                <c:pt idx="156">
                  <c:v>1.5463586240353648E-2</c:v>
                </c:pt>
                <c:pt idx="157">
                  <c:v>1.4497112100331545E-2</c:v>
                </c:pt>
                <c:pt idx="158">
                  <c:v>1.3530637960309439E-2</c:v>
                </c:pt>
                <c:pt idx="159">
                  <c:v>1.2564163820287338E-2</c:v>
                </c:pt>
                <c:pt idx="160">
                  <c:v>1.1597689680265236E-2</c:v>
                </c:pt>
                <c:pt idx="161">
                  <c:v>1.0631215540243133E-2</c:v>
                </c:pt>
                <c:pt idx="162">
                  <c:v>9.6647414002210292E-3</c:v>
                </c:pt>
                <c:pt idx="163">
                  <c:v>8.6982672601989258E-3</c:v>
                </c:pt>
                <c:pt idx="164">
                  <c:v>7.731793120176824E-3</c:v>
                </c:pt>
                <c:pt idx="165">
                  <c:v>6.7653189801547197E-3</c:v>
                </c:pt>
                <c:pt idx="166">
                  <c:v>5.798844840132618E-3</c:v>
                </c:pt>
                <c:pt idx="167">
                  <c:v>4.8323707001105146E-3</c:v>
                </c:pt>
                <c:pt idx="168">
                  <c:v>3.865896560088412E-3</c:v>
                </c:pt>
                <c:pt idx="169">
                  <c:v>2.899422420066309E-3</c:v>
                </c:pt>
                <c:pt idx="170">
                  <c:v>1.9329482800442034E-3</c:v>
                </c:pt>
              </c:numCache>
            </c:numRef>
          </c:xVal>
          <c:yVal>
            <c:numRef>
              <c:f>'WSO-UV_WUVS_130nm'!$Q$30:$Q$200</c:f>
              <c:numCache>
                <c:formatCode>0.00E+00</c:formatCode>
                <c:ptCount val="171"/>
                <c:pt idx="0">
                  <c:v>6138.1021839433979</c:v>
                </c:pt>
                <c:pt idx="1">
                  <c:v>5822.9760472950547</c:v>
                </c:pt>
                <c:pt idx="2">
                  <c:v>5489.7906943107801</c:v>
                </c:pt>
                <c:pt idx="3">
                  <c:v>5135.0320313662151</c:v>
                </c:pt>
                <c:pt idx="4">
                  <c:v>4753.8727867543803</c:v>
                </c:pt>
                <c:pt idx="5">
                  <c:v>4339.3616631701843</c:v>
                </c:pt>
                <c:pt idx="6">
                  <c:v>3880.8264548046373</c:v>
                </c:pt>
                <c:pt idx="7">
                  <c:v>3360.2932333239196</c:v>
                </c:pt>
                <c:pt idx="8">
                  <c:v>2742.6871915732163</c:v>
                </c:pt>
                <c:pt idx="9">
                  <c:v>2673.0899611562822</c:v>
                </c:pt>
                <c:pt idx="10">
                  <c:v>2601.6316134798694</c:v>
                </c:pt>
                <c:pt idx="11">
                  <c:v>2528.1543469265866</c:v>
                </c:pt>
                <c:pt idx="12">
                  <c:v>2452.4767142178539</c:v>
                </c:pt>
                <c:pt idx="13">
                  <c:v>2374.388343182683</c:v>
                </c:pt>
                <c:pt idx="14">
                  <c:v>2293.6430379625758</c:v>
                </c:pt>
                <c:pt idx="15">
                  <c:v>2209.9496085536898</c:v>
                </c:pt>
                <c:pt idx="16">
                  <c:v>2122.9594415339438</c:v>
                </c:pt>
                <c:pt idx="17">
                  <c:v>2032.2492738960714</c:v>
                </c:pt>
                <c:pt idx="18">
                  <c:v>1937.2966924855232</c:v>
                </c:pt>
                <c:pt idx="19">
                  <c:v>1837.444210493516</c:v>
                </c:pt>
                <c:pt idx="20">
                  <c:v>1731.8446480667083</c:v>
                </c:pt>
                <c:pt idx="21">
                  <c:v>1619.3743427143954</c:v>
                </c:pt>
                <c:pt idx="22">
                  <c:v>1498.4874729685673</c:v>
                </c:pt>
                <c:pt idx="23">
                  <c:v>1366.9537810182292</c:v>
                </c:pt>
                <c:pt idx="24">
                  <c:v>1221.3401960542176</c:v>
                </c:pt>
                <c:pt idx="25">
                  <c:v>1055.8425803328312</c:v>
                </c:pt>
                <c:pt idx="26">
                  <c:v>859.06381505171055</c:v>
                </c:pt>
                <c:pt idx="27">
                  <c:v>836.84866458177737</c:v>
                </c:pt>
                <c:pt idx="28">
                  <c:v>814.02864813952158</c:v>
                </c:pt>
                <c:pt idx="29">
                  <c:v>790.5515945833331</c:v>
                </c:pt>
                <c:pt idx="30">
                  <c:v>766.35738785786771</c:v>
                </c:pt>
                <c:pt idx="31">
                  <c:v>741.37616610932344</c:v>
                </c:pt>
                <c:pt idx="32">
                  <c:v>715.52596050883699</c:v>
                </c:pt>
                <c:pt idx="33">
                  <c:v>688.70954527250797</c:v>
                </c:pt>
                <c:pt idx="34">
                  <c:v>660.81015159738968</c:v>
                </c:pt>
                <c:pt idx="35">
                  <c:v>631.68550217429777</c:v>
                </c:pt>
                <c:pt idx="36">
                  <c:v>601.15928727791709</c:v>
                </c:pt>
                <c:pt idx="37">
                  <c:v>569.00860393492724</c:v>
                </c:pt>
                <c:pt idx="38">
                  <c:v>534.9447543393477</c:v>
                </c:pt>
                <c:pt idx="39">
                  <c:v>498.58255802172329</c:v>
                </c:pt>
                <c:pt idx="40">
                  <c:v>459.38853195314636</c:v>
                </c:pt>
                <c:pt idx="41">
                  <c:v>416.58704229451826</c:v>
                </c:pt>
                <c:pt idx="42">
                  <c:v>368.97390900515472</c:v>
                </c:pt>
                <c:pt idx="43">
                  <c:v>314.4956699510704</c:v>
                </c:pt>
                <c:pt idx="44">
                  <c:v>249.09941430122572</c:v>
                </c:pt>
                <c:pt idx="45">
                  <c:v>241.66974218892798</c:v>
                </c:pt>
                <c:pt idx="46">
                  <c:v>234.02786662375493</c:v>
                </c:pt>
                <c:pt idx="47">
                  <c:v>226.15571263262817</c:v>
                </c:pt>
                <c:pt idx="48">
                  <c:v>218.03260414081069</c:v>
                </c:pt>
                <c:pt idx="49">
                  <c:v>209.63472623157764</c:v>
                </c:pt>
                <c:pt idx="50">
                  <c:v>200.93443944920915</c:v>
                </c:pt>
                <c:pt idx="51">
                  <c:v>191.89939427954332</c:v>
                </c:pt>
                <c:pt idx="52">
                  <c:v>182.49137140706173</c:v>
                </c:pt>
                <c:pt idx="53">
                  <c:v>172.66473889510641</c:v>
                </c:pt>
                <c:pt idx="54">
                  <c:v>162.36436348931133</c:v>
                </c:pt>
                <c:pt idx="55">
                  <c:v>151.52272648036814</c:v>
                </c:pt>
                <c:pt idx="56">
                  <c:v>140.05585073761975</c:v>
                </c:pt>
                <c:pt idx="57">
                  <c:v>127.8573987834955</c:v>
                </c:pt>
                <c:pt idx="58">
                  <c:v>114.78986145690784</c:v>
                </c:pt>
                <c:pt idx="59">
                  <c:v>100.67093415704288</c:v>
                </c:pt>
                <c:pt idx="60">
                  <c:v>85.251556134069048</c:v>
                </c:pt>
                <c:pt idx="61">
                  <c:v>68.178679541228874</c:v>
                </c:pt>
                <c:pt idx="62">
                  <c:v>48.92808518676685</c:v>
                </c:pt>
                <c:pt idx="63">
                  <c:v>46.855157462367579</c:v>
                </c:pt>
                <c:pt idx="64">
                  <c:v>44.751584550734378</c:v>
                </c:pt>
                <c:pt idx="65">
                  <c:v>42.616261584504372</c:v>
                </c:pt>
                <c:pt idx="66">
                  <c:v>40.448022638930681</c:v>
                </c:pt>
                <c:pt idx="67">
                  <c:v>38.245636194897735</c:v>
                </c:pt>
                <c:pt idx="68">
                  <c:v>36.007800177003702</c:v>
                </c:pt>
                <c:pt idx="69">
                  <c:v>33.733136518474865</c:v>
                </c:pt>
                <c:pt idx="70">
                  <c:v>31.420185198214455</c:v>
                </c:pt>
                <c:pt idx="71">
                  <c:v>29.067397687824133</c:v>
                </c:pt>
                <c:pt idx="72">
                  <c:v>26.673129737791648</c:v>
                </c:pt>
                <c:pt idx="73">
                  <c:v>24.235633422001406</c:v>
                </c:pt>
                <c:pt idx="74">
                  <c:v>21.753048348038838</c:v>
                </c:pt>
                <c:pt idx="75">
                  <c:v>19.223391927115255</c:v>
                </c:pt>
                <c:pt idx="76">
                  <c:v>16.644548581462605</c:v>
                </c:pt>
                <c:pt idx="77">
                  <c:v>14.014257748280992</c:v>
                </c:pt>
                <c:pt idx="78">
                  <c:v>11.3301005172091</c:v>
                </c:pt>
                <c:pt idx="79">
                  <c:v>8.5894847121459339</c:v>
                </c:pt>
                <c:pt idx="80">
                  <c:v>5.7896281972421857</c:v>
                </c:pt>
                <c:pt idx="81">
                  <c:v>5.5062710766037775</c:v>
                </c:pt>
                <c:pt idx="82">
                  <c:v>5.2222887182511908</c:v>
                </c:pt>
                <c:pt idx="83">
                  <c:v>4.9376779873912282</c:v>
                </c:pt>
                <c:pt idx="84">
                  <c:v>4.6524357258491351</c:v>
                </c:pt>
                <c:pt idx="85">
                  <c:v>4.3665587518390012</c:v>
                </c:pt>
                <c:pt idx="86">
                  <c:v>4.0800438597313908</c:v>
                </c:pt>
                <c:pt idx="87">
                  <c:v>3.7928878198181368</c:v>
                </c:pt>
                <c:pt idx="88">
                  <c:v>3.5050873780742604</c:v>
                </c:pt>
                <c:pt idx="89">
                  <c:v>3.2166392559169781</c:v>
                </c:pt>
                <c:pt idx="90">
                  <c:v>2.9275401499617622</c:v>
                </c:pt>
                <c:pt idx="91">
                  <c:v>2.6377867317753871</c:v>
                </c:pt>
                <c:pt idx="92">
                  <c:v>2.3473756476259489</c:v>
                </c:pt>
                <c:pt idx="93">
                  <c:v>2.056303518229786</c:v>
                </c:pt>
                <c:pt idx="94">
                  <c:v>1.7645669384952751</c:v>
                </c:pt>
                <c:pt idx="95">
                  <c:v>1.4721624772634427</c:v>
                </c:pt>
                <c:pt idx="96">
                  <c:v>1.1790866770453523</c:v>
                </c:pt>
                <c:pt idx="97">
                  <c:v>0.88533605375621971</c:v>
                </c:pt>
                <c:pt idx="98">
                  <c:v>0.59090709644620643</c:v>
                </c:pt>
                <c:pt idx="99">
                  <c:v>0.56142675636424499</c:v>
                </c:pt>
                <c:pt idx="100">
                  <c:v>0.53193959403071966</c:v>
                </c:pt>
                <c:pt idx="101">
                  <c:v>0.50244560588979015</c:v>
                </c:pt>
                <c:pt idx="102">
                  <c:v>0.47294478838286963</c:v>
                </c:pt>
                <c:pt idx="103">
                  <c:v>0.4434371379486205</c:v>
                </c:pt>
                <c:pt idx="104">
                  <c:v>0.41392265102295417</c:v>
                </c:pt>
                <c:pt idx="105">
                  <c:v>0.38440132403902588</c:v>
                </c:pt>
                <c:pt idx="106">
                  <c:v>0.35487315342723291</c:v>
                </c:pt>
                <c:pt idx="107">
                  <c:v>0.32533813561521235</c:v>
                </c:pt>
                <c:pt idx="108">
                  <c:v>0.29579626702783701</c:v>
                </c:pt>
                <c:pt idx="109">
                  <c:v>0.26624754408721335</c:v>
                </c:pt>
                <c:pt idx="110">
                  <c:v>0.23669196321267882</c:v>
                </c:pt>
                <c:pt idx="111">
                  <c:v>0.20712952082079847</c:v>
                </c:pt>
                <c:pt idx="112">
                  <c:v>0.17756021332536279</c:v>
                </c:pt>
                <c:pt idx="113">
                  <c:v>0.14798403713738456</c:v>
                </c:pt>
                <c:pt idx="114">
                  <c:v>0.1184009886650957</c:v>
                </c:pt>
                <c:pt idx="115">
                  <c:v>8.881106431394499E-2</c:v>
                </c:pt>
                <c:pt idx="116">
                  <c:v>5.921426048659513E-2</c:v>
                </c:pt>
                <c:pt idx="117">
                  <c:v>5.6254201594088477E-2</c:v>
                </c:pt>
                <c:pt idx="118">
                  <c:v>5.3294073867219231E-2</c:v>
                </c:pt>
                <c:pt idx="119">
                  <c:v>5.0333877302385414E-2</c:v>
                </c:pt>
                <c:pt idx="120">
                  <c:v>4.7373611895984831E-2</c:v>
                </c:pt>
                <c:pt idx="121">
                  <c:v>4.441327764441496E-2</c:v>
                </c:pt>
                <c:pt idx="122">
                  <c:v>4.1452874544073058E-2</c:v>
                </c:pt>
                <c:pt idx="123">
                  <c:v>3.8492402591356036E-2</c:v>
                </c:pt>
                <c:pt idx="124">
                  <c:v>3.5531861782660559E-2</c:v>
                </c:pt>
                <c:pt idx="125">
                  <c:v>3.2571252114383047E-2</c:v>
                </c:pt>
                <c:pt idx="126">
                  <c:v>2.9610573582919561E-2</c:v>
                </c:pt>
                <c:pt idx="127">
                  <c:v>2.6649826184665933E-2</c:v>
                </c:pt>
                <c:pt idx="128">
                  <c:v>2.3689009916017717E-2</c:v>
                </c:pt>
                <c:pt idx="129">
                  <c:v>2.0728124773370181E-2</c:v>
                </c:pt>
                <c:pt idx="130">
                  <c:v>1.7767170753118303E-2</c:v>
                </c:pt>
                <c:pt idx="131">
                  <c:v>1.4806147851656808E-2</c:v>
                </c:pt>
                <c:pt idx="132">
                  <c:v>1.1845056065380099E-2</c:v>
                </c:pt>
                <c:pt idx="133">
                  <c:v>8.8838953906823347E-3</c:v>
                </c:pt>
                <c:pt idx="134">
                  <c:v>5.9226658239573803E-3</c:v>
                </c:pt>
                <c:pt idx="135">
                  <c:v>5.6265390780845526E-3</c:v>
                </c:pt>
                <c:pt idx="136">
                  <c:v>5.3304116432517767E-3</c:v>
                </c:pt>
                <c:pt idx="137">
                  <c:v>5.0342835194554505E-3</c:v>
                </c:pt>
                <c:pt idx="138">
                  <c:v>4.7381547066919693E-3</c:v>
                </c:pt>
                <c:pt idx="139">
                  <c:v>4.442025204957724E-3</c:v>
                </c:pt>
                <c:pt idx="140">
                  <c:v>4.1458950142491124E-3</c:v>
                </c:pt>
                <c:pt idx="141">
                  <c:v>3.8497641345625242E-3</c:v>
                </c:pt>
                <c:pt idx="142">
                  <c:v>3.5536325658943602E-3</c:v>
                </c:pt>
                <c:pt idx="143">
                  <c:v>3.2575003082410008E-3</c:v>
                </c:pt>
                <c:pt idx="144">
                  <c:v>2.9613673615988454E-3</c:v>
                </c:pt>
                <c:pt idx="145">
                  <c:v>2.6652337259642877E-3</c:v>
                </c:pt>
                <c:pt idx="146">
                  <c:v>2.3690994013337188E-3</c:v>
                </c:pt>
                <c:pt idx="147">
                  <c:v>2.0729643877035356E-3</c:v>
                </c:pt>
                <c:pt idx="148">
                  <c:v>1.7768286850701287E-3</c:v>
                </c:pt>
                <c:pt idx="149">
                  <c:v>1.4806922934298911E-3</c:v>
                </c:pt>
                <c:pt idx="150">
                  <c:v>1.1845552127792162E-3</c:v>
                </c:pt>
                <c:pt idx="151">
                  <c:v>8.8841744311449775E-4</c:v>
                </c:pt>
                <c:pt idx="152">
                  <c:v>5.9227898443212751E-4</c:v>
                </c:pt>
                <c:pt idx="153">
                  <c:v>5.6266510066777496E-4</c:v>
                </c:pt>
                <c:pt idx="154">
                  <c:v>5.3305121001321211E-4</c:v>
                </c:pt>
                <c:pt idx="155">
                  <c:v>5.0343731246842941E-4</c:v>
                </c:pt>
                <c:pt idx="156">
                  <c:v>4.7382340803342346E-4</c:v>
                </c:pt>
                <c:pt idx="157">
                  <c:v>4.4420949670819035E-4</c:v>
                </c:pt>
                <c:pt idx="158">
                  <c:v>4.1459557849272662E-4</c:v>
                </c:pt>
                <c:pt idx="159">
                  <c:v>3.8498165338702873E-4</c:v>
                </c:pt>
                <c:pt idx="160">
                  <c:v>3.5536772139109295E-4</c:v>
                </c:pt>
                <c:pt idx="161">
                  <c:v>3.2575378250491581E-4</c:v>
                </c:pt>
                <c:pt idx="162">
                  <c:v>2.9613983672849352E-4</c:v>
                </c:pt>
                <c:pt idx="163">
                  <c:v>2.665258840618226E-4</c:v>
                </c:pt>
                <c:pt idx="164">
                  <c:v>2.369119245048995E-4</c:v>
                </c:pt>
                <c:pt idx="165">
                  <c:v>2.0729795805772046E-4</c:v>
                </c:pt>
                <c:pt idx="166">
                  <c:v>1.7768398472028195E-4</c:v>
                </c:pt>
                <c:pt idx="167">
                  <c:v>1.4807000449258036E-4</c:v>
                </c:pt>
                <c:pt idx="168">
                  <c:v>1.184560173746121E-4</c:v>
                </c:pt>
                <c:pt idx="169">
                  <c:v>8.8842023366373534E-5</c:v>
                </c:pt>
                <c:pt idx="170">
                  <c:v>5.9228022467860989E-5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4-4CF8-A7A6-634DA37F1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28639"/>
        <c:axId val="590221567"/>
      </c:scatterChart>
      <c:valAx>
        <c:axId val="590228639"/>
        <c:scaling>
          <c:logBase val="10"/>
          <c:orientation val="minMax"/>
          <c:max val="5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Incoming</a:t>
                </a:r>
                <a:r>
                  <a:rPr lang="en-US" altLang="ja-JP" baseline="0"/>
                  <a:t> flux, photon/h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1567"/>
        <c:crossesAt val="3"/>
        <c:crossBetween val="midCat"/>
      </c:valAx>
      <c:valAx>
        <c:axId val="590221567"/>
        <c:scaling>
          <c:logBase val="10"/>
          <c:orientation val="minMax"/>
          <c:max val="12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SNR</a:t>
                </a:r>
                <a:r>
                  <a:rPr lang="en-US" altLang="ja-JP" baseline="0"/>
                  <a:t> (resel)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2286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UVSPEX_normal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'WSO-UV_UVSPEX_10h'!$D$20:$D$190</c:f>
              <c:numCache>
                <c:formatCode>0.00E+00</c:formatCode>
                <c:ptCount val="171"/>
                <c:pt idx="0">
                  <c:v>7245.7187122045316</c:v>
                </c:pt>
                <c:pt idx="1">
                  <c:v>6873.8922722684574</c:v>
                </c:pt>
                <c:pt idx="2">
                  <c:v>6480.7677234347138</c:v>
                </c:pt>
                <c:pt idx="3">
                  <c:v>6062.2030318584966</c:v>
                </c:pt>
                <c:pt idx="4">
                  <c:v>5612.50932416469</c:v>
                </c:pt>
                <c:pt idx="5">
                  <c:v>5123.4964846476605</c:v>
                </c:pt>
                <c:pt idx="6">
                  <c:v>4582.5944117452109</c:v>
                </c:pt>
                <c:pt idx="7">
                  <c:v>3968.6429490343758</c:v>
                </c:pt>
                <c:pt idx="8">
                  <c:v>3240.3830284833489</c:v>
                </c:pt>
                <c:pt idx="9">
                  <c:v>3158.3346407116651</c:v>
                </c:pt>
                <c:pt idx="10">
                  <c:v>3074.0971413011121</c:v>
                </c:pt>
                <c:pt idx="11">
                  <c:v>2987.4853582222113</c:v>
                </c:pt>
                <c:pt idx="12">
                  <c:v>2898.2864415079057</c:v>
                </c:pt>
                <c:pt idx="13">
                  <c:v>2806.2536999467934</c:v>
                </c:pt>
                <c:pt idx="14">
                  <c:v>2711.0985522296382</c:v>
                </c:pt>
                <c:pt idx="15">
                  <c:v>2612.4798355850107</c:v>
                </c:pt>
                <c:pt idx="16">
                  <c:v>2509.9893272233289</c:v>
                </c:pt>
                <c:pt idx="17">
                  <c:v>2403.1316972259069</c:v>
                </c:pt>
                <c:pt idx="18">
                  <c:v>2291.296027502528</c:v>
                </c:pt>
                <c:pt idx="19">
                  <c:v>2173.7141065664687</c:v>
                </c:pt>
                <c:pt idx="20">
                  <c:v>2049.3971183066342</c:v>
                </c:pt>
                <c:pt idx="21">
                  <c:v>1917.0352317997181</c:v>
                </c:pt>
                <c:pt idx="22">
                  <c:v>1774.8294598072941</c:v>
                </c:pt>
                <c:pt idx="23">
                  <c:v>1620.1898477768721</c:v>
                </c:pt>
                <c:pt idx="24">
                  <c:v>1449.1413575908605</c:v>
                </c:pt>
                <c:pt idx="25">
                  <c:v>1254.9925122185437</c:v>
                </c:pt>
                <c:pt idx="26">
                  <c:v>1024.6959242512721</c:v>
                </c:pt>
                <c:pt idx="27">
                  <c:v>998.74986374135619</c:v>
                </c:pt>
                <c:pt idx="28">
                  <c:v>972.11153859517299</c:v>
                </c:pt>
                <c:pt idx="29">
                  <c:v>944.72239129635932</c:v>
                </c:pt>
                <c:pt idx="30">
                  <c:v>916.51511158515655</c:v>
                </c:pt>
                <c:pt idx="31">
                  <c:v>887.41168738735701</c:v>
                </c:pt>
                <c:pt idx="32">
                  <c:v>857.32085945694121</c:v>
                </c:pt>
                <c:pt idx="33">
                  <c:v>826.13474034749527</c:v>
                </c:pt>
                <c:pt idx="34">
                  <c:v>793.72423571348941</c:v>
                </c:pt>
                <c:pt idx="35">
                  <c:v>759.93270459301425</c:v>
                </c:pt>
                <c:pt idx="36">
                  <c:v>724.56695250517737</c:v>
                </c:pt>
                <c:pt idx="37">
                  <c:v>687.38404245168567</c:v>
                </c:pt>
                <c:pt idx="38">
                  <c:v>648.07127306689404</c:v>
                </c:pt>
                <c:pt idx="39">
                  <c:v>606.21442422280484</c:v>
                </c:pt>
                <c:pt idx="40">
                  <c:v>561.24458242633011</c:v>
                </c:pt>
                <c:pt idx="41">
                  <c:v>512.34269242317509</c:v>
                </c:pt>
                <c:pt idx="42">
                  <c:v>458.25166412399011</c:v>
                </c:pt>
                <c:pt idx="43">
                  <c:v>396.8553148167411</c:v>
                </c:pt>
                <c:pt idx="44">
                  <c:v>324.02730472362367</c:v>
                </c:pt>
                <c:pt idx="45">
                  <c:v>315.82218026414506</c:v>
                </c:pt>
                <c:pt idx="46">
                  <c:v>307.39812115565508</c:v>
                </c:pt>
                <c:pt idx="47">
                  <c:v>298.73660679041564</c:v>
                </c:pt>
                <c:pt idx="48">
                  <c:v>289.81634803321322</c:v>
                </c:pt>
                <c:pt idx="49">
                  <c:v>280.61267067401786</c:v>
                </c:pt>
                <c:pt idx="50">
                  <c:v>271.09671024226191</c:v>
                </c:pt>
                <c:pt idx="51">
                  <c:v>261.23434244520905</c:v>
                </c:pt>
                <c:pt idx="52">
                  <c:v>250.98473469600498</c:v>
                </c:pt>
                <c:pt idx="53">
                  <c:v>240.29834048443138</c:v>
                </c:pt>
                <c:pt idx="54">
                  <c:v>229.11404986092555</c:v>
                </c:pt>
                <c:pt idx="55">
                  <c:v>217.3550166610315</c:v>
                </c:pt>
                <c:pt idx="56">
                  <c:v>204.92232362330753</c:v>
                </c:pt>
                <c:pt idx="57">
                  <c:v>191.68493474917864</c:v>
                </c:pt>
                <c:pt idx="58">
                  <c:v>177.46286867724794</c:v>
                </c:pt>
                <c:pt idx="59">
                  <c:v>161.9969919550785</c:v>
                </c:pt>
                <c:pt idx="60">
                  <c:v>144.88954831270721</c:v>
                </c:pt>
                <c:pt idx="61">
                  <c:v>125.47086254112381</c:v>
                </c:pt>
                <c:pt idx="62">
                  <c:v>102.43482955028394</c:v>
                </c:pt>
                <c:pt idx="63">
                  <c:v>99.839321391493272</c:v>
                </c:pt>
                <c:pt idx="64">
                  <c:v>97.174512685381842</c:v>
                </c:pt>
                <c:pt idx="65">
                  <c:v>94.434536951574529</c:v>
                </c:pt>
                <c:pt idx="66">
                  <c:v>91.612650126023837</c:v>
                </c:pt>
                <c:pt idx="67">
                  <c:v>88.701034972803924</c:v>
                </c:pt>
                <c:pt idx="68">
                  <c:v>85.69054560448042</c:v>
                </c:pt>
                <c:pt idx="69">
                  <c:v>82.570368043663649</c:v>
                </c:pt>
                <c:pt idx="70">
                  <c:v>79.327560418022401</c:v>
                </c:pt>
                <c:pt idx="71">
                  <c:v>75.946416107492226</c:v>
                </c:pt>
                <c:pt idx="72">
                  <c:v>72.407558626966278</c:v>
                </c:pt>
                <c:pt idx="73">
                  <c:v>68.686615666501098</c:v>
                </c:pt>
                <c:pt idx="74">
                  <c:v>64.752205137282132</c:v>
                </c:pt>
                <c:pt idx="75">
                  <c:v>60.562739026299838</c:v>
                </c:pt>
                <c:pt idx="76">
                  <c:v>56.061066979288512</c:v>
                </c:pt>
                <c:pt idx="77">
                  <c:v>51.164851580009589</c:v>
                </c:pt>
                <c:pt idx="78">
                  <c:v>45.747595296514341</c:v>
                </c:pt>
                <c:pt idx="79">
                  <c:v>39.596037300709916</c:v>
                </c:pt>
                <c:pt idx="80">
                  <c:v>32.293311566028123</c:v>
                </c:pt>
                <c:pt idx="81">
                  <c:v>31.469987088131656</c:v>
                </c:pt>
                <c:pt idx="82">
                  <c:v>30.62454057286709</c:v>
                </c:pt>
                <c:pt idx="83">
                  <c:v>29.755087216785817</c:v>
                </c:pt>
                <c:pt idx="84">
                  <c:v>28.859458397335679</c:v>
                </c:pt>
                <c:pt idx="85">
                  <c:v>27.935137988897374</c:v>
                </c:pt>
                <c:pt idx="86">
                  <c:v>26.979179042426711</c:v>
                </c:pt>
                <c:pt idx="87">
                  <c:v>25.988092881440831</c:v>
                </c:pt>
                <c:pt idx="88">
                  <c:v>24.95769856225224</c:v>
                </c:pt>
                <c:pt idx="89">
                  <c:v>23.88291388266234</c:v>
                </c:pt>
                <c:pt idx="90">
                  <c:v>22.75745756309108</c:v>
                </c:pt>
                <c:pt idx="91">
                  <c:v>21.573411606505687</c:v>
                </c:pt>
                <c:pt idx="92">
                  <c:v>20.320554179211751</c:v>
                </c:pt>
                <c:pt idx="93">
                  <c:v>18.985296350605971</c:v>
                </c:pt>
                <c:pt idx="94">
                  <c:v>17.54889095225808</c:v>
                </c:pt>
                <c:pt idx="95">
                  <c:v>15.984193638098779</c:v>
                </c:pt>
                <c:pt idx="96">
                  <c:v>14.249226627946552</c:v>
                </c:pt>
                <c:pt idx="97">
                  <c:v>12.272574795275142</c:v>
                </c:pt>
                <c:pt idx="98">
                  <c:v>9.9127656140010316</c:v>
                </c:pt>
                <c:pt idx="99">
                  <c:v>9.6454941636874718</c:v>
                </c:pt>
                <c:pt idx="100">
                  <c:v>9.3707275503739211</c:v>
                </c:pt>
                <c:pt idx="101">
                  <c:v>9.0878069952264937</c:v>
                </c:pt>
                <c:pt idx="102">
                  <c:v>8.7959724628209699</c:v>
                </c:pt>
                <c:pt idx="103">
                  <c:v>8.4943397001918619</c:v>
                </c:pt>
                <c:pt idx="104">
                  <c:v>8.1818701897131891</c:v>
                </c:pt>
                <c:pt idx="105">
                  <c:v>7.8573311727400537</c:v>
                </c:pt>
                <c:pt idx="106">
                  <c:v>7.5192414594413588</c:v>
                </c:pt>
                <c:pt idx="107">
                  <c:v>7.1657963916506917</c:v>
                </c:pt>
                <c:pt idx="108">
                  <c:v>6.7947613692767828</c:v>
                </c:pt>
                <c:pt idx="109">
                  <c:v>6.4033164262350537</c:v>
                </c:pt>
                <c:pt idx="110">
                  <c:v>5.9878216711851664</c:v>
                </c:pt>
                <c:pt idx="111">
                  <c:v>5.5434489795593063</c:v>
                </c:pt>
                <c:pt idx="112">
                  <c:v>5.0635751912372546</c:v>
                </c:pt>
                <c:pt idx="113">
                  <c:v>4.5387210600939278</c:v>
                </c:pt>
                <c:pt idx="114">
                  <c:v>3.9545499065158016</c:v>
                </c:pt>
                <c:pt idx="115">
                  <c:v>3.2876959093003544</c:v>
                </c:pt>
                <c:pt idx="116">
                  <c:v>2.4957740567681181</c:v>
                </c:pt>
                <c:pt idx="117">
                  <c:v>2.406950475873646</c:v>
                </c:pt>
                <c:pt idx="118">
                  <c:v>2.3159401777089448</c:v>
                </c:pt>
                <c:pt idx="119">
                  <c:v>2.2225986009913816</c:v>
                </c:pt>
                <c:pt idx="120">
                  <c:v>2.1267658992080358</c:v>
                </c:pt>
                <c:pt idx="121">
                  <c:v>2.0282647037805202</c:v>
                </c:pt>
                <c:pt idx="122">
                  <c:v>1.9268974645103456</c:v>
                </c:pt>
                <c:pt idx="123">
                  <c:v>1.8224432682661735</c:v>
                </c:pt>
                <c:pt idx="124">
                  <c:v>1.7146540088686302</c:v>
                </c:pt>
                <c:pt idx="125">
                  <c:v>1.6032497437425666</c:v>
                </c:pt>
                <c:pt idx="126">
                  <c:v>1.4879130224701955</c:v>
                </c:pt>
                <c:pt idx="127">
                  <c:v>1.3682819035602685</c:v>
                </c:pt>
                <c:pt idx="128">
                  <c:v>1.2439412806939898</c:v>
                </c:pt>
                <c:pt idx="129">
                  <c:v>1.1144120066677834</c:v>
                </c:pt>
                <c:pt idx="130">
                  <c:v>0.97913711435424045</c:v>
                </c:pt>
                <c:pt idx="131">
                  <c:v>0.83746416156654002</c:v>
                </c:pt>
                <c:pt idx="132">
                  <c:v>0.68862232701947101</c:v>
                </c:pt>
                <c:pt idx="133">
                  <c:v>0.53169228707273886</c:v>
                </c:pt>
                <c:pt idx="134">
                  <c:v>0.3655659910088695</c:v>
                </c:pt>
                <c:pt idx="135">
                  <c:v>0.3483980080545831</c:v>
                </c:pt>
                <c:pt idx="136">
                  <c:v>0.33112330352674696</c:v>
                </c:pt>
                <c:pt idx="137">
                  <c:v>0.31374034039957832</c:v>
                </c:pt>
                <c:pt idx="138">
                  <c:v>0.29624754844470241</c:v>
                </c:pt>
                <c:pt idx="139">
                  <c:v>0.27864332328135399</c:v>
                </c:pt>
                <c:pt idx="140">
                  <c:v>0.26092602539278154</c:v>
                </c:pt>
                <c:pt idx="141">
                  <c:v>0.24309397910741412</c:v>
                </c:pt>
                <c:pt idx="142">
                  <c:v>0.22514547154328077</c:v>
                </c:pt>
                <c:pt idx="143">
                  <c:v>0.20707875151409338</c:v>
                </c:pt>
                <c:pt idx="144">
                  <c:v>0.18889202839533259</c:v>
                </c:pt>
                <c:pt idx="145">
                  <c:v>0.17058347094857668</c:v>
                </c:pt>
                <c:pt idx="146">
                  <c:v>0.15215120610224148</c:v>
                </c:pt>
                <c:pt idx="147">
                  <c:v>0.13359331768679164</c:v>
                </c:pt>
                <c:pt idx="148">
                  <c:v>0.11490784512239016</c:v>
                </c:pt>
                <c:pt idx="149">
                  <c:v>9.6092782056844003E-2</c:v>
                </c:pt>
                <c:pt idx="150">
                  <c:v>7.714607495159323E-2</c:v>
                </c:pt>
                <c:pt idx="151">
                  <c:v>5.8065621613369887E-2</c:v>
                </c:pt>
                <c:pt idx="152">
                  <c:v>3.8849269669028796E-2</c:v>
                </c:pt>
                <c:pt idx="153">
                  <c:v>3.6920075649104434E-2</c:v>
                </c:pt>
                <c:pt idx="154">
                  <c:v>3.4989498412702082E-2</c:v>
                </c:pt>
                <c:pt idx="155">
                  <c:v>3.3057535721366611E-2</c:v>
                </c:pt>
                <c:pt idx="156">
                  <c:v>3.1124185331269483E-2</c:v>
                </c:pt>
                <c:pt idx="157">
                  <c:v>2.9189444993191475E-2</c:v>
                </c:pt>
                <c:pt idx="158">
                  <c:v>2.7253312452505618E-2</c:v>
                </c:pt>
                <c:pt idx="159">
                  <c:v>2.531578544916015E-2</c:v>
                </c:pt>
                <c:pt idx="160">
                  <c:v>2.3376861717661339E-2</c:v>
                </c:pt>
                <c:pt idx="161">
                  <c:v>2.1436538987056292E-2</c:v>
                </c:pt>
                <c:pt idx="162">
                  <c:v>1.9494814980915692E-2</c:v>
                </c:pt>
                <c:pt idx="163">
                  <c:v>1.7551687417316386E-2</c:v>
                </c:pt>
                <c:pt idx="164">
                  <c:v>1.5607154008824025E-2</c:v>
                </c:pt>
                <c:pt idx="165">
                  <c:v>1.3661212462475559E-2</c:v>
                </c:pt>
                <c:pt idx="166">
                  <c:v>1.1713860479761681E-2</c:v>
                </c:pt>
                <c:pt idx="167">
                  <c:v>9.7650957566091986E-3</c:v>
                </c:pt>
                <c:pt idx="168">
                  <c:v>7.8149159833633686E-3</c:v>
                </c:pt>
                <c:pt idx="169">
                  <c:v>5.8633188447701073E-3</c:v>
                </c:pt>
                <c:pt idx="170">
                  <c:v>3.9103020199581619E-3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6-4E45-8339-53DC9B79665F}"/>
            </c:ext>
          </c:extLst>
        </c:ser>
        <c:ser>
          <c:idx val="2"/>
          <c:order val="1"/>
          <c:tx>
            <c:v>UVSPEX_funnel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'WSO-UV_UVSPEX_10h'!$F$20:$F$190</c:f>
              <c:numCache>
                <c:formatCode>0.00E+00</c:formatCode>
                <c:ptCount val="171"/>
                <c:pt idx="0">
                  <c:v>9447.2616379490319</c:v>
                </c:pt>
                <c:pt idx="1">
                  <c:v>8962.4592880680484</c:v>
                </c:pt>
                <c:pt idx="2">
                  <c:v>8449.8876042638003</c:v>
                </c:pt>
                <c:pt idx="3">
                  <c:v>7904.1460360436686</c:v>
                </c:pt>
                <c:pt idx="4">
                  <c:v>7317.8172014282154</c:v>
                </c:pt>
                <c:pt idx="5">
                  <c:v>6680.2224983852593</c:v>
                </c:pt>
                <c:pt idx="6">
                  <c:v>5974.9725239825666</c:v>
                </c:pt>
                <c:pt idx="7">
                  <c:v>5174.4778187524198</c:v>
                </c:pt>
                <c:pt idx="8">
                  <c:v>4224.9431630704194</c:v>
                </c:pt>
                <c:pt idx="9">
                  <c:v>4117.9651691845338</c:v>
                </c:pt>
                <c:pt idx="10">
                  <c:v>4008.1329242003117</c:v>
                </c:pt>
                <c:pt idx="11">
                  <c:v>3895.2049935144755</c:v>
                </c:pt>
                <c:pt idx="12">
                  <c:v>3778.9038549481111</c:v>
                </c:pt>
                <c:pt idx="13">
                  <c:v>3658.9078627895651</c:v>
                </c:pt>
                <c:pt idx="14">
                  <c:v>3534.8407533897407</c:v>
                </c:pt>
                <c:pt idx="15">
                  <c:v>3406.2577053515261</c:v>
                </c:pt>
                <c:pt idx="16">
                  <c:v>3272.6264618358732</c:v>
                </c:pt>
                <c:pt idx="17">
                  <c:v>3133.3011923768513</c:v>
                </c:pt>
                <c:pt idx="18">
                  <c:v>2987.4853582222117</c:v>
                </c:pt>
                <c:pt idx="19">
                  <c:v>2834.1773354951015</c:v>
                </c:pt>
                <c:pt idx="20">
                  <c:v>2672.0878676563561</c:v>
                </c:pt>
                <c:pt idx="21">
                  <c:v>2499.5091469964054</c:v>
                </c:pt>
                <c:pt idx="22">
                  <c:v>2314.0955856147025</c:v>
                </c:pt>
                <c:pt idx="23">
                  <c:v>2112.4703034136978</c:v>
                </c:pt>
                <c:pt idx="24">
                  <c:v>1889.4504984913037</c:v>
                </c:pt>
                <c:pt idx="25">
                  <c:v>1636.3115808718237</c:v>
                </c:pt>
                <c:pt idx="26">
                  <c:v>1336.0419129452112</c:v>
                </c:pt>
                <c:pt idx="27">
                  <c:v>1302.2124379270708</c:v>
                </c:pt>
                <c:pt idx="28">
                  <c:v>1267.480364280962</c:v>
                </c:pt>
                <c:pt idx="29">
                  <c:v>1231.7693429306621</c:v>
                </c:pt>
                <c:pt idx="30">
                  <c:v>1194.9916127446702</c:v>
                </c:pt>
                <c:pt idx="31">
                  <c:v>1157.0454592956428</c:v>
                </c:pt>
                <c:pt idx="32">
                  <c:v>1117.811896171967</c:v>
                </c:pt>
                <c:pt idx="33">
                  <c:v>1077.1502567287891</c:v>
                </c:pt>
                <c:pt idx="34">
                  <c:v>1034.8922243010416</c:v>
                </c:pt>
                <c:pt idx="35">
                  <c:v>990.83356638100133</c:v>
                </c:pt>
                <c:pt idx="36">
                  <c:v>944.72239129635966</c:v>
                </c:pt>
                <c:pt idx="37">
                  <c:v>896.24195224688219</c:v>
                </c:pt>
                <c:pt idx="38">
                  <c:v>844.98454265122905</c:v>
                </c:pt>
                <c:pt idx="39">
                  <c:v>790.41009461798728</c:v>
                </c:pt>
                <c:pt idx="40">
                  <c:v>731.77684988798455</c:v>
                </c:pt>
                <c:pt idx="41">
                  <c:v>668.01691475252301</c:v>
                </c:pt>
                <c:pt idx="42">
                  <c:v>597.49128760899714</c:v>
                </c:pt>
                <c:pt idx="43">
                  <c:v>517.44089436494596</c:v>
                </c:pt>
                <c:pt idx="44">
                  <c:v>422.48588095004044</c:v>
                </c:pt>
                <c:pt idx="45">
                  <c:v>411.78786243869467</c:v>
                </c:pt>
                <c:pt idx="46">
                  <c:v>400.80440080321603</c:v>
                </c:pt>
                <c:pt idx="47">
                  <c:v>389.51134997149768</c:v>
                </c:pt>
                <c:pt idx="48">
                  <c:v>377.88095455101256</c:v>
                </c:pt>
                <c:pt idx="49">
                  <c:v>365.8810460668837</c:v>
                </c:pt>
                <c:pt idx="50">
                  <c:v>353.47399329097266</c:v>
                </c:pt>
                <c:pt idx="51">
                  <c:v>340.61530793461191</c:v>
                </c:pt>
                <c:pt idx="52">
                  <c:v>327.25175640633677</c:v>
                </c:pt>
                <c:pt idx="53">
                  <c:v>313.31874528895105</c:v>
                </c:pt>
                <c:pt idx="54">
                  <c:v>298.73660679041564</c:v>
                </c:pt>
                <c:pt idx="55">
                  <c:v>283.40515933128569</c:v>
                </c:pt>
                <c:pt idx="56">
                  <c:v>267.19544990635848</c:v>
                </c:pt>
                <c:pt idx="57">
                  <c:v>249.93665715291394</c:v>
                </c:pt>
                <c:pt idx="58">
                  <c:v>231.3941588749521</c:v>
                </c:pt>
                <c:pt idx="59">
                  <c:v>211.23016117357582</c:v>
                </c:pt>
                <c:pt idx="60">
                  <c:v>188.92619012233544</c:v>
                </c:pt>
                <c:pt idx="61">
                  <c:v>163.60938185922083</c:v>
                </c:pt>
                <c:pt idx="62">
                  <c:v>133.57752368635445</c:v>
                </c:pt>
                <c:pt idx="63">
                  <c:v>130.19388384384615</c:v>
                </c:pt>
                <c:pt idx="64">
                  <c:v>126.71992725484439</c:v>
                </c:pt>
                <c:pt idx="65">
                  <c:v>123.14801076978421</c:v>
                </c:pt>
                <c:pt idx="66">
                  <c:v>119.46934825857984</c:v>
                </c:pt>
                <c:pt idx="67">
                  <c:v>115.67375596276783</c:v>
                </c:pt>
                <c:pt idx="68">
                  <c:v>111.7493199006408</c:v>
                </c:pt>
                <c:pt idx="69">
                  <c:v>107.68195401484806</c:v>
                </c:pt>
                <c:pt idx="70">
                  <c:v>103.4548017046416</c:v>
                </c:pt>
                <c:pt idx="71">
                  <c:v>99.047407026115678</c:v>
                </c:pt>
                <c:pt idx="72">
                  <c:v>94.434536951574529</c:v>
                </c:pt>
                <c:pt idx="73">
                  <c:v>89.584456335765182</c:v>
                </c:pt>
                <c:pt idx="74">
                  <c:v>84.456308382485062</c:v>
                </c:pt>
                <c:pt idx="75">
                  <c:v>78.995958529580719</c:v>
                </c:pt>
                <c:pt idx="76">
                  <c:v>73.129031491900065</c:v>
                </c:pt>
                <c:pt idx="77">
                  <c:v>66.748405080484261</c:v>
                </c:pt>
                <c:pt idx="78">
                  <c:v>59.689570930713664</c:v>
                </c:pt>
                <c:pt idx="79">
                  <c:v>51.675352915408546</c:v>
                </c:pt>
                <c:pt idx="80">
                  <c:v>42.164488829051429</c:v>
                </c:pt>
                <c:pt idx="81">
                  <c:v>41.092516039985185</c:v>
                </c:pt>
                <c:pt idx="82">
                  <c:v>39.991821644726379</c:v>
                </c:pt>
                <c:pt idx="83">
                  <c:v>38.859965511675036</c:v>
                </c:pt>
                <c:pt idx="84">
                  <c:v>37.694141117543033</c:v>
                </c:pt>
                <c:pt idx="85">
                  <c:v>36.491093571699274</c:v>
                </c:pt>
                <c:pt idx="86">
                  <c:v>35.247012436917082</c:v>
                </c:pt>
                <c:pt idx="87">
                  <c:v>33.957389175581277</c:v>
                </c:pt>
                <c:pt idx="88">
                  <c:v>32.616823812220133</c:v>
                </c:pt>
                <c:pt idx="89">
                  <c:v>31.218756781846608</c:v>
                </c:pt>
                <c:pt idx="90">
                  <c:v>29.755087216785817</c:v>
                </c:pt>
                <c:pt idx="91">
                  <c:v>28.215612714016277</c:v>
                </c:pt>
                <c:pt idx="92">
                  <c:v>26.587176548871664</c:v>
                </c:pt>
                <c:pt idx="93">
                  <c:v>24.852310731742772</c:v>
                </c:pt>
                <c:pt idx="94">
                  <c:v>22.98695455080961</c:v>
                </c:pt>
                <c:pt idx="95">
                  <c:v>20.956338440705359</c:v>
                </c:pt>
                <c:pt idx="96">
                  <c:v>18.706827010742739</c:v>
                </c:pt>
                <c:pt idx="97">
                  <c:v>16.147471033457574</c:v>
                </c:pt>
                <c:pt idx="98">
                  <c:v>13.098880752307288</c:v>
                </c:pt>
                <c:pt idx="99">
                  <c:v>12.754203036191221</c:v>
                </c:pt>
                <c:pt idx="100">
                  <c:v>12.400008550382298</c:v>
                </c:pt>
                <c:pt idx="101">
                  <c:v>12.035467600562363</c:v>
                </c:pt>
                <c:pt idx="102">
                  <c:v>11.659623177830747</c:v>
                </c:pt>
                <c:pt idx="103">
                  <c:v>11.271361968750202</c:v>
                </c:pt>
                <c:pt idx="104">
                  <c:v>10.869376332592571</c:v>
                </c:pt>
                <c:pt idx="105">
                  <c:v>10.452113567782492</c:v>
                </c:pt>
                <c:pt idx="106">
                  <c:v>10.017706887155679</c:v>
                </c:pt>
                <c:pt idx="107">
                  <c:v>9.5638793915253419</c:v>
                </c:pt>
                <c:pt idx="108">
                  <c:v>9.0878069952264955</c:v>
                </c:pt>
                <c:pt idx="109">
                  <c:v>8.5859167816529443</c:v>
                </c:pt>
                <c:pt idx="110">
                  <c:v>8.0535796146789362</c:v>
                </c:pt>
                <c:pt idx="111">
                  <c:v>7.4846210268107658</c:v>
                </c:pt>
                <c:pt idx="112">
                  <c:v>6.8705009078328478</c:v>
                </c:pt>
                <c:pt idx="113">
                  <c:v>6.1988435963828046</c:v>
                </c:pt>
                <c:pt idx="114">
                  <c:v>5.4505675770247342</c:v>
                </c:pt>
                <c:pt idx="115">
                  <c:v>4.5935874299378199</c:v>
                </c:pt>
                <c:pt idx="116">
                  <c:v>3.5664548865182826</c:v>
                </c:pt>
                <c:pt idx="117">
                  <c:v>3.4501520155433836</c:v>
                </c:pt>
                <c:pt idx="118">
                  <c:v>3.3306701258310718</c:v>
                </c:pt>
                <c:pt idx="119">
                  <c:v>3.2077634220683926</c:v>
                </c:pt>
                <c:pt idx="120">
                  <c:v>3.0811549311801896</c:v>
                </c:pt>
                <c:pt idx="121">
                  <c:v>2.9505309350098732</c:v>
                </c:pt>
                <c:pt idx="122">
                  <c:v>2.8155341013010373</c:v>
                </c:pt>
                <c:pt idx="123">
                  <c:v>2.6757549308554314</c:v>
                </c:pt>
                <c:pt idx="124">
                  <c:v>2.5307210016593764</c:v>
                </c:pt>
                <c:pt idx="125">
                  <c:v>2.379883294691981</c:v>
                </c:pt>
                <c:pt idx="126">
                  <c:v>2.2225986009913825</c:v>
                </c:pt>
                <c:pt idx="127">
                  <c:v>2.0581065873252844</c:v>
                </c:pt>
                <c:pt idx="128">
                  <c:v>1.885499459962251</c:v>
                </c:pt>
                <c:pt idx="129">
                  <c:v>1.703681180907332</c:v>
                </c:pt>
                <c:pt idx="130">
                  <c:v>1.5113116315099651</c:v>
                </c:pt>
                <c:pt idx="131">
                  <c:v>1.3067285805950455</c:v>
                </c:pt>
                <c:pt idx="132">
                  <c:v>1.0878360535833513</c:v>
                </c:pt>
                <c:pt idx="133">
                  <c:v>0.85194028689568635</c:v>
                </c:pt>
                <c:pt idx="134">
                  <c:v>0.59550101910634912</c:v>
                </c:pt>
                <c:pt idx="135">
                  <c:v>0.5685568355565469</c:v>
                </c:pt>
                <c:pt idx="136">
                  <c:v>0.54135533306608585</c:v>
                </c:pt>
                <c:pt idx="137">
                  <c:v>0.51389071437528377</c:v>
                </c:pt>
                <c:pt idx="138">
                  <c:v>0.48615698482567682</c:v>
                </c:pt>
                <c:pt idx="139">
                  <c:v>0.45814794341074622</c:v>
                </c:pt>
                <c:pt idx="140">
                  <c:v>0.42985717331957563</c:v>
                </c:pt>
                <c:pt idx="141">
                  <c:v>0.40127803193889733</c:v>
                </c:pt>
                <c:pt idx="142">
                  <c:v>0.37240364027622719</c:v>
                </c:pt>
                <c:pt idx="143">
                  <c:v>0.34322687176377997</c:v>
                </c:pt>
                <c:pt idx="144">
                  <c:v>0.31374034039957893</c:v>
                </c:pt>
                <c:pt idx="145">
                  <c:v>0.28393638817855865</c:v>
                </c:pt>
                <c:pt idx="146">
                  <c:v>0.25380707176254863</c:v>
                </c:pt>
                <c:pt idx="147">
                  <c:v>0.22334414833369484</c:v>
                </c:pt>
                <c:pt idx="148">
                  <c:v>0.1925390605711548</c:v>
                </c:pt>
                <c:pt idx="149">
                  <c:v>0.1613829206857027</c:v>
                </c:pt>
                <c:pt idx="150">
                  <c:v>0.1298664934411736</c:v>
                </c:pt>
                <c:pt idx="151">
                  <c:v>9.7980178085390168E-2</c:v>
                </c:pt>
                <c:pt idx="152">
                  <c:v>6.5713989106294002E-2</c:v>
                </c:pt>
                <c:pt idx="153">
                  <c:v>6.2466080739698567E-2</c:v>
                </c:pt>
                <c:pt idx="154">
                  <c:v>5.9214259461169871E-2</c:v>
                </c:pt>
                <c:pt idx="155">
                  <c:v>5.5958514607679331E-2</c:v>
                </c:pt>
                <c:pt idx="156">
                  <c:v>5.2698835473054047E-2</c:v>
                </c:pt>
                <c:pt idx="157">
                  <c:v>4.9435211307746578E-2</c:v>
                </c:pt>
                <c:pt idx="158">
                  <c:v>4.6167631318604026E-2</c:v>
                </c:pt>
                <c:pt idx="159">
                  <c:v>4.2896084668635398E-2</c:v>
                </c:pt>
                <c:pt idx="160">
                  <c:v>3.9620560476777616E-2</c:v>
                </c:pt>
                <c:pt idx="161">
                  <c:v>3.6341047817659913E-2</c:v>
                </c:pt>
                <c:pt idx="162">
                  <c:v>3.3057535721366611E-2</c:v>
                </c:pt>
                <c:pt idx="163">
                  <c:v>2.9770013173198429E-2</c:v>
                </c:pt>
                <c:pt idx="164">
                  <c:v>2.6478469113432154E-2</c:v>
                </c:pt>
                <c:pt idx="165">
                  <c:v>2.3182892437078727E-2</c:v>
                </c:pt>
                <c:pt idx="166">
                  <c:v>1.9883271993639724E-2</c:v>
                </c:pt>
                <c:pt idx="167">
                  <c:v>1.6579596586862248E-2</c:v>
                </c:pt>
                <c:pt idx="168">
                  <c:v>1.3271854974492129E-2</c:v>
                </c:pt>
                <c:pt idx="169">
                  <c:v>9.960035868025522E-3</c:v>
                </c:pt>
                <c:pt idx="170">
                  <c:v>6.6441279324588242E-3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6-4E45-8339-53DC9B79665F}"/>
            </c:ext>
          </c:extLst>
        </c:ser>
        <c:ser>
          <c:idx val="3"/>
          <c:order val="2"/>
          <c:tx>
            <c:v>UVSPEX_funnel_blaze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'WSO-UV_UVSPEX_10h'!$H$20:$H$190</c:f>
              <c:numCache>
                <c:formatCode>0.00E+00</c:formatCode>
                <c:ptCount val="171"/>
                <c:pt idx="0">
                  <c:v>13588.846047975474</c:v>
                </c:pt>
                <c:pt idx="1">
                  <c:v>12891.511257568714</c:v>
                </c:pt>
                <c:pt idx="2">
                  <c:v>12154.233340382398</c:v>
                </c:pt>
                <c:pt idx="3">
                  <c:v>11369.244200073515</c:v>
                </c:pt>
                <c:pt idx="4">
                  <c:v>10525.874750791379</c:v>
                </c:pt>
                <c:pt idx="5">
                  <c:v>9608.7650016945336</c:v>
                </c:pt>
                <c:pt idx="6">
                  <c:v>8594.3406056678978</c:v>
                </c:pt>
                <c:pt idx="7">
                  <c:v>7442.9171723642366</c:v>
                </c:pt>
                <c:pt idx="8">
                  <c:v>6077.1162259016473</c:v>
                </c:pt>
                <c:pt idx="9">
                  <c:v>5923.2401759477352</c:v>
                </c:pt>
                <c:pt idx="10">
                  <c:v>5765.2586013816981</c:v>
                </c:pt>
                <c:pt idx="11">
                  <c:v>5602.8242253036969</c:v>
                </c:pt>
                <c:pt idx="12">
                  <c:v>5435.5378628516883</c:v>
                </c:pt>
                <c:pt idx="13">
                  <c:v>5262.9368623743367</c:v>
                </c:pt>
                <c:pt idx="14">
                  <c:v>5084.4800104025362</c:v>
                </c:pt>
                <c:pt idx="15">
                  <c:v>4899.5274807911164</c:v>
                </c:pt>
                <c:pt idx="16">
                  <c:v>4707.3136812700031</c:v>
                </c:pt>
                <c:pt idx="17">
                  <c:v>4506.909656595767</c:v>
                </c:pt>
                <c:pt idx="18">
                  <c:v>4297.1696745137542</c:v>
                </c:pt>
                <c:pt idx="19">
                  <c:v>4076.6530107926978</c:v>
                </c:pt>
                <c:pt idx="20">
                  <c:v>3843.5052138965257</c:v>
                </c:pt>
                <c:pt idx="21">
                  <c:v>3595.2697935056967</c:v>
                </c:pt>
                <c:pt idx="22">
                  <c:v>3328.5728844265045</c:v>
                </c:pt>
                <c:pt idx="23">
                  <c:v>3038.5572243722077</c:v>
                </c:pt>
                <c:pt idx="24">
                  <c:v>2717.7679379649312</c:v>
                </c:pt>
                <c:pt idx="25">
                  <c:v>2353.6556934854998</c:v>
                </c:pt>
                <c:pt idx="26">
                  <c:v>1921.7512019836499</c:v>
                </c:pt>
                <c:pt idx="27">
                  <c:v>1873.0912786649678</c:v>
                </c:pt>
                <c:pt idx="28">
                  <c:v>1823.1330708689388</c:v>
                </c:pt>
                <c:pt idx="29">
                  <c:v>1771.7667594752268</c:v>
                </c:pt>
                <c:pt idx="30">
                  <c:v>1718.8661105120432</c:v>
                </c:pt>
                <c:pt idx="31">
                  <c:v>1664.2848199008458</c:v>
                </c:pt>
                <c:pt idx="32">
                  <c:v>1607.8517399431298</c:v>
                </c:pt>
                <c:pt idx="33">
                  <c:v>1549.3645386170788</c:v>
                </c:pt>
                <c:pt idx="34">
                  <c:v>1488.5811128085479</c:v>
                </c:pt>
                <c:pt idx="35">
                  <c:v>1425.2076990028097</c:v>
                </c:pt>
                <c:pt idx="36">
                  <c:v>1358.8819820660869</c:v>
                </c:pt>
                <c:pt idx="37">
                  <c:v>1289.1483611560766</c:v>
                </c:pt>
                <c:pt idx="38">
                  <c:v>1215.4204017374889</c:v>
                </c:pt>
                <c:pt idx="39">
                  <c:v>1136.9212852476437</c:v>
                </c:pt>
                <c:pt idx="40">
                  <c:v>1052.584089154049</c:v>
                </c:pt>
                <c:pt idx="41">
                  <c:v>960.8727910780068</c:v>
                </c:pt>
                <c:pt idx="42">
                  <c:v>859.42991368260914</c:v>
                </c:pt>
                <c:pt idx="43">
                  <c:v>744.28692883881342</c:v>
                </c:pt>
                <c:pt idx="44">
                  <c:v>607.70575805361807</c:v>
                </c:pt>
                <c:pt idx="45">
                  <c:v>592.31800071190833</c:v>
                </c:pt>
                <c:pt idx="46">
                  <c:v>576.51967838401038</c:v>
                </c:pt>
                <c:pt idx="47">
                  <c:v>560.276061563957</c:v>
                </c:pt>
                <c:pt idx="48">
                  <c:v>543.54722955818829</c:v>
                </c:pt>
                <c:pt idx="49">
                  <c:v>526.28691448726022</c:v>
                </c:pt>
                <c:pt idx="50">
                  <c:v>508.44099162275529</c:v>
                </c:pt>
                <c:pt idx="51">
                  <c:v>489.94547407461272</c:v>
                </c:pt>
                <c:pt idx="52">
                  <c:v>470.72379711741149</c:v>
                </c:pt>
                <c:pt idx="53">
                  <c:v>450.68305801565555</c:v>
                </c:pt>
                <c:pt idx="54">
                  <c:v>429.70867386673092</c:v>
                </c:pt>
                <c:pt idx="55">
                  <c:v>407.6565589021439</c:v>
                </c:pt>
                <c:pt idx="56">
                  <c:v>384.34124894859639</c:v>
                </c:pt>
                <c:pt idx="57">
                  <c:v>359.51706674640019</c:v>
                </c:pt>
                <c:pt idx="58">
                  <c:v>332.84658168172882</c:v>
                </c:pt>
                <c:pt idx="59">
                  <c:v>303.84399388373566</c:v>
                </c:pt>
                <c:pt idx="60">
                  <c:v>271.76368106869194</c:v>
                </c:pt>
                <c:pt idx="61">
                  <c:v>235.35042844733096</c:v>
                </c:pt>
                <c:pt idx="62">
                  <c:v>192.15657736993444</c:v>
                </c:pt>
                <c:pt idx="63">
                  <c:v>187.29010347378329</c:v>
                </c:pt>
                <c:pt idx="64">
                  <c:v>182.29376155018835</c:v>
                </c:pt>
                <c:pt idx="65">
                  <c:v>177.15656395026514</c:v>
                </c:pt>
                <c:pt idx="66">
                  <c:v>171.86588030400907</c:v>
                </c:pt>
                <c:pt idx="67">
                  <c:v>166.40707162987718</c:v>
                </c:pt>
                <c:pt idx="68">
                  <c:v>160.76301247764576</c:v>
                </c:pt>
                <c:pt idx="69">
                  <c:v>154.91345614211141</c:v>
                </c:pt>
                <c:pt idx="70">
                  <c:v>148.83417494844849</c:v>
                </c:pt>
                <c:pt idx="71">
                  <c:v>142.49576977568421</c:v>
                </c:pt>
                <c:pt idx="72">
                  <c:v>135.86197855851611</c:v>
                </c:pt>
                <c:pt idx="73">
                  <c:v>128.88719908645865</c:v>
                </c:pt>
                <c:pt idx="74">
                  <c:v>121.51272787963644</c:v>
                </c:pt>
                <c:pt idx="75">
                  <c:v>113.66079401617728</c:v>
                </c:pt>
                <c:pt idx="76">
                  <c:v>105.22456615661483</c:v>
                </c:pt>
                <c:pt idx="77">
                  <c:v>96.05020987038985</c:v>
                </c:pt>
                <c:pt idx="78">
                  <c:v>85.901552816093044</c:v>
                </c:pt>
                <c:pt idx="79">
                  <c:v>74.380855528987638</c:v>
                </c:pt>
                <c:pt idx="80">
                  <c:v>60.712016041755632</c:v>
                </c:pt>
                <c:pt idx="81">
                  <c:v>59.171723682626606</c:v>
                </c:pt>
                <c:pt idx="82">
                  <c:v>57.590250536653173</c:v>
                </c:pt>
                <c:pt idx="83">
                  <c:v>55.96410569393997</c:v>
                </c:pt>
                <c:pt idx="84">
                  <c:v>54.289275269277468</c:v>
                </c:pt>
                <c:pt idx="85">
                  <c:v>52.561105667753004</c:v>
                </c:pt>
                <c:pt idx="86">
                  <c:v>50.774151047311605</c:v>
                </c:pt>
                <c:pt idx="87">
                  <c:v>48.921970566272719</c:v>
                </c:pt>
                <c:pt idx="88">
                  <c:v>46.996853600810958</c:v>
                </c:pt>
                <c:pt idx="89">
                  <c:v>44.989438946054534</c:v>
                </c:pt>
                <c:pt idx="90">
                  <c:v>42.888173262901006</c:v>
                </c:pt>
                <c:pt idx="91">
                  <c:v>40.67851712508115</c:v>
                </c:pt>
                <c:pt idx="92">
                  <c:v>38.341738026028843</c:v>
                </c:pt>
                <c:pt idx="93">
                  <c:v>35.852992789356172</c:v>
                </c:pt>
                <c:pt idx="94">
                  <c:v>33.178109531898485</c:v>
                </c:pt>
                <c:pt idx="95">
                  <c:v>30.267795320033049</c:v>
                </c:pt>
                <c:pt idx="96">
                  <c:v>27.046191657976234</c:v>
                </c:pt>
                <c:pt idx="97">
                  <c:v>23.38509377214762</c:v>
                </c:pt>
                <c:pt idx="98">
                  <c:v>19.032897113723934</c:v>
                </c:pt>
                <c:pt idx="99">
                  <c:v>18.541644990443473</c:v>
                </c:pt>
                <c:pt idx="100">
                  <c:v>18.037039602259476</c:v>
                </c:pt>
                <c:pt idx="101">
                  <c:v>17.517930863866749</c:v>
                </c:pt>
                <c:pt idx="102">
                  <c:v>16.982993761484771</c:v>
                </c:pt>
                <c:pt idx="103">
                  <c:v>16.430688740356882</c:v>
                </c:pt>
                <c:pt idx="104">
                  <c:v>15.859209776982121</c:v>
                </c:pt>
                <c:pt idx="105">
                  <c:v>15.266415115711968</c:v>
                </c:pt>
                <c:pt idx="106">
                  <c:v>14.64973304047103</c:v>
                </c:pt>
                <c:pt idx="107">
                  <c:v>14.006030745529976</c:v>
                </c:pt>
                <c:pt idx="108">
                  <c:v>13.331426994871462</c:v>
                </c:pt>
                <c:pt idx="109">
                  <c:v>12.621016085854874</c:v>
                </c:pt>
                <c:pt idx="110">
                  <c:v>11.868445894950522</c:v>
                </c:pt>
                <c:pt idx="111">
                  <c:v>11.065243476817699</c:v>
                </c:pt>
                <c:pt idx="112">
                  <c:v>10.199676008078084</c:v>
                </c:pt>
                <c:pt idx="113">
                  <c:v>9.2546868430328164</c:v>
                </c:pt>
                <c:pt idx="114">
                  <c:v>8.2037919671684918</c:v>
                </c:pt>
                <c:pt idx="115">
                  <c:v>7.0017981712685629</c:v>
                </c:pt>
                <c:pt idx="116">
                  <c:v>5.5593186633202922</c:v>
                </c:pt>
                <c:pt idx="117">
                  <c:v>5.3954382931524192</c:v>
                </c:pt>
                <c:pt idx="118">
                  <c:v>5.2268699686345963</c:v>
                </c:pt>
                <c:pt idx="119">
                  <c:v>5.0532110965450237</c:v>
                </c:pt>
                <c:pt idx="120">
                  <c:v>4.8740004323079278</c:v>
                </c:pt>
                <c:pt idx="121">
                  <c:v>4.6887057688572193</c:v>
                </c:pt>
                <c:pt idx="122">
                  <c:v>4.4967081780660703</c:v>
                </c:pt>
                <c:pt idx="123">
                  <c:v>4.2972815722149598</c:v>
                </c:pt>
                <c:pt idx="124">
                  <c:v>4.0895658056859014</c:v>
                </c:pt>
                <c:pt idx="125">
                  <c:v>3.8725306934059764</c:v>
                </c:pt>
                <c:pt idx="126">
                  <c:v>3.6449269891235314</c:v>
                </c:pt>
                <c:pt idx="127">
                  <c:v>3.4052181991101103</c:v>
                </c:pt>
                <c:pt idx="128">
                  <c:v>3.1514834700674457</c:v>
                </c:pt>
                <c:pt idx="129">
                  <c:v>2.8812754628363453</c:v>
                </c:pt>
                <c:pt idx="130">
                  <c:v>2.5914056465714483</c:v>
                </c:pt>
                <c:pt idx="131">
                  <c:v>2.2776075914133669</c:v>
                </c:pt>
                <c:pt idx="132">
                  <c:v>1.9339847464721536</c:v>
                </c:pt>
                <c:pt idx="133">
                  <c:v>1.5520538602161633</c:v>
                </c:pt>
                <c:pt idx="134">
                  <c:v>1.1189707361846091</c:v>
                </c:pt>
                <c:pt idx="135">
                  <c:v>1.0721483894348174</c:v>
                </c:pt>
                <c:pt idx="136">
                  <c:v>1.0245919619743507</c:v>
                </c:pt>
                <c:pt idx="137">
                  <c:v>0.97627320427942244</c:v>
                </c:pt>
                <c:pt idx="138">
                  <c:v>0.92716219590620463</c:v>
                </c:pt>
                <c:pt idx="139">
                  <c:v>0.87722721234415157</c:v>
                </c:pt>
                <c:pt idx="140">
                  <c:v>0.82643457847444701</c:v>
                </c:pt>
                <c:pt idx="141">
                  <c:v>0.77474850699787368</c:v>
                </c:pt>
                <c:pt idx="142">
                  <c:v>0.72213091996029177</c:v>
                </c:pt>
                <c:pt idx="143">
                  <c:v>0.668541251228287</c:v>
                </c:pt>
                <c:pt idx="144">
                  <c:v>0.61393622744487608</c:v>
                </c:pt>
                <c:pt idx="145">
                  <c:v>0.55826962461614105</c:v>
                </c:pt>
                <c:pt idx="146">
                  <c:v>0.50149199703324354</c:v>
                </c:pt>
                <c:pt idx="147">
                  <c:v>0.44355037470653064</c:v>
                </c:pt>
                <c:pt idx="148">
                  <c:v>0.38438792486255963</c:v>
                </c:pt>
                <c:pt idx="149">
                  <c:v>0.32394357230988674</c:v>
                </c:pt>
                <c:pt idx="150">
                  <c:v>0.26215157258942484</c:v>
                </c:pt>
                <c:pt idx="151">
                  <c:v>0.19894103075769018</c:v>
                </c:pt>
                <c:pt idx="152">
                  <c:v>0.13423535736577491</c:v>
                </c:pt>
                <c:pt idx="153">
                  <c:v>0.12767942439323648</c:v>
                </c:pt>
                <c:pt idx="154">
                  <c:v>0.12110763030011439</c:v>
                </c:pt>
                <c:pt idx="155">
                  <c:v>0.11451988780719739</c:v>
                </c:pt>
                <c:pt idx="156">
                  <c:v>0.10791610892050284</c:v>
                </c:pt>
                <c:pt idx="157">
                  <c:v>0.10129620492356674</c:v>
                </c:pt>
                <c:pt idx="158">
                  <c:v>9.4660086369632662E-2</c:v>
                </c:pt>
                <c:pt idx="159">
                  <c:v>8.8007663073735629E-2</c:v>
                </c:pt>
                <c:pt idx="160">
                  <c:v>8.1338844104680452E-2</c:v>
                </c:pt>
                <c:pt idx="161">
                  <c:v>7.4653537776911472E-2</c:v>
                </c:pt>
                <c:pt idx="162">
                  <c:v>6.7951651642273209E-2</c:v>
                </c:pt>
                <c:pt idx="163">
                  <c:v>6.1233092481659271E-2</c:v>
                </c:pt>
                <c:pt idx="164">
                  <c:v>5.4497766296548192E-2</c:v>
                </c:pt>
                <c:pt idx="165">
                  <c:v>4.7745578300424363E-2</c:v>
                </c:pt>
                <c:pt idx="166">
                  <c:v>4.0976432910081816E-2</c:v>
                </c:pt>
                <c:pt idx="167">
                  <c:v>3.4190233736809537E-2</c:v>
                </c:pt>
                <c:pt idx="168">
                  <c:v>2.7386883577455796E-2</c:v>
                </c:pt>
                <c:pt idx="169">
                  <c:v>2.0566284405369981E-2</c:v>
                </c:pt>
                <c:pt idx="170">
                  <c:v>1.372833736121965E-2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5-412F-9BC5-1A5BE421706F}"/>
            </c:ext>
          </c:extLst>
        </c:ser>
        <c:ser>
          <c:idx val="1"/>
          <c:order val="3"/>
          <c:tx>
            <c:v>WUVS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'WSO-UV_UVSPEX_10h'!$A$20:$A$190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'WSO-UV_UVSPEX_10h'!$I$20:$I$190</c:f>
              <c:numCache>
                <c:formatCode>0.00E+00</c:formatCode>
                <c:ptCount val="171"/>
                <c:pt idx="0">
                  <c:v>6138.4538121619853</c:v>
                </c:pt>
                <c:pt idx="1">
                  <c:v>5823.3466729814008</c:v>
                </c:pt>
                <c:pt idx="2">
                  <c:v>5490.183771723955</c:v>
                </c:pt>
                <c:pt idx="3">
                  <c:v>5135.4522068934812</c:v>
                </c:pt>
                <c:pt idx="4">
                  <c:v>4754.326567858694</c:v>
                </c:pt>
                <c:pt idx="5">
                  <c:v>4339.8586629567699</c:v>
                </c:pt>
                <c:pt idx="6">
                  <c:v>3881.3819623793916</c:v>
                </c:pt>
                <c:pt idx="7">
                  <c:v>3360.9343799562848</c:v>
                </c:pt>
                <c:pt idx="8">
                  <c:v>2743.4717028855675</c:v>
                </c:pt>
                <c:pt idx="9">
                  <c:v>2673.894734671584</c:v>
                </c:pt>
                <c:pt idx="10">
                  <c:v>2602.4583048754635</c:v>
                </c:pt>
                <c:pt idx="11">
                  <c:v>2529.004850381978</c:v>
                </c:pt>
                <c:pt idx="12">
                  <c:v>2453.3532134615975</c:v>
                </c:pt>
                <c:pt idx="13">
                  <c:v>2375.2933775037382</c:v>
                </c:pt>
                <c:pt idx="14">
                  <c:v>2294.5795889224396</c:v>
                </c:pt>
                <c:pt idx="15">
                  <c:v>2210.9212159295853</c:v>
                </c:pt>
                <c:pt idx="16">
                  <c:v>2123.970361515047</c:v>
                </c:pt>
                <c:pt idx="17">
                  <c:v>2033.3047000168615</c:v>
                </c:pt>
                <c:pt idx="18">
                  <c:v>1938.403072655218</c:v>
                </c:pt>
                <c:pt idx="19">
                  <c:v>1838.6097166962197</c:v>
                </c:pt>
                <c:pt idx="20">
                  <c:v>1733.0798994104262</c:v>
                </c:pt>
                <c:pt idx="21">
                  <c:v>1620.6935717163994</c:v>
                </c:pt>
                <c:pt idx="22">
                  <c:v>1499.9105198666334</c:v>
                </c:pt>
                <c:pt idx="23">
                  <c:v>1368.5097702293715</c:v>
                </c:pt>
                <c:pt idx="24">
                  <c:v>1223.0750327341955</c:v>
                </c:pt>
                <c:pt idx="25">
                  <c:v>1057.8365933830089</c:v>
                </c:pt>
                <c:pt idx="26">
                  <c:v>861.48368689675556</c:v>
                </c:pt>
                <c:pt idx="27">
                  <c:v>839.32782257466795</c:v>
                </c:pt>
                <c:pt idx="28">
                  <c:v>816.57166662181965</c:v>
                </c:pt>
                <c:pt idx="29">
                  <c:v>793.16366676317784</c:v>
                </c:pt>
                <c:pt idx="30">
                  <c:v>769.0444494182326</c:v>
                </c:pt>
                <c:pt idx="31">
                  <c:v>744.14505237113451</c:v>
                </c:pt>
                <c:pt idx="32">
                  <c:v>718.38460894707498</c:v>
                </c:pt>
                <c:pt idx="33">
                  <c:v>691.66726039157675</c:v>
                </c:pt>
                <c:pt idx="34">
                  <c:v>663.87795720449481</c:v>
                </c:pt>
                <c:pt idx="35">
                  <c:v>634.87661879688869</c:v>
                </c:pt>
                <c:pt idx="36">
                  <c:v>604.48979314806741</c:v>
                </c:pt>
                <c:pt idx="37">
                  <c:v>572.49837266929114</c:v>
                </c:pt>
                <c:pt idx="38">
                  <c:v>538.61882270204626</c:v>
                </c:pt>
                <c:pt idx="39">
                  <c:v>502.47318558270183</c:v>
                </c:pt>
                <c:pt idx="40">
                  <c:v>463.53841629379195</c:v>
                </c:pt>
                <c:pt idx="41">
                  <c:v>421.05453691546501</c:v>
                </c:pt>
                <c:pt idx="42">
                  <c:v>373.84179065406943</c:v>
                </c:pt>
                <c:pt idx="43">
                  <c:v>319.88581373713481</c:v>
                </c:pt>
                <c:pt idx="44">
                  <c:v>255.19069622030563</c:v>
                </c:pt>
                <c:pt idx="45">
                  <c:v>247.84279790542155</c:v>
                </c:pt>
                <c:pt idx="46">
                  <c:v>240.28465816905123</c:v>
                </c:pt>
                <c:pt idx="47">
                  <c:v>232.49798404650434</c:v>
                </c:pt>
                <c:pt idx="48">
                  <c:v>224.46176007742176</c:v>
                </c:pt>
                <c:pt idx="49">
                  <c:v>216.15166096328389</c:v>
                </c:pt>
                <c:pt idx="50">
                  <c:v>207.53929434428437</c:v>
                </c:pt>
                <c:pt idx="51">
                  <c:v>198.59121068455843</c:v>
                </c:pt>
                <c:pt idx="52">
                  <c:v>189.26758810475428</c:v>
                </c:pt>
                <c:pt idx="53">
                  <c:v>179.52045433396043</c:v>
                </c:pt>
                <c:pt idx="54">
                  <c:v>169.29123444141234</c:v>
                </c:pt>
                <c:pt idx="55">
                  <c:v>158.50729099059174</c:v>
                </c:pt>
                <c:pt idx="56">
                  <c:v>147.07691353270405</c:v>
                </c:pt>
                <c:pt idx="57">
                  <c:v>134.88183911490958</c:v>
                </c:pt>
                <c:pt idx="58">
                  <c:v>121.76568201726501</c:v>
                </c:pt>
                <c:pt idx="59">
                  <c:v>107.51525758058517</c:v>
                </c:pt>
                <c:pt idx="60">
                  <c:v>91.828837120428346</c:v>
                </c:pt>
                <c:pt idx="61">
                  <c:v>74.258610592690232</c:v>
                </c:pt>
                <c:pt idx="62">
                  <c:v>54.097478151663935</c:v>
                </c:pt>
                <c:pt idx="63">
                  <c:v>51.898765882414374</c:v>
                </c:pt>
                <c:pt idx="64">
                  <c:v>49.6612266846723</c:v>
                </c:pt>
                <c:pt idx="65">
                  <c:v>47.383151479520222</c:v>
                </c:pt>
                <c:pt idx="66">
                  <c:v>45.06271479238854</c:v>
                </c:pt>
                <c:pt idx="67">
                  <c:v>42.697964025110991</c:v>
                </c:pt>
                <c:pt idx="68">
                  <c:v>40.286807474800419</c:v>
                </c:pt>
                <c:pt idx="69">
                  <c:v>37.827000921203343</c:v>
                </c:pt>
                <c:pt idx="70">
                  <c:v>35.316132574084023</c:v>
                </c:pt>
                <c:pt idx="71">
                  <c:v>32.751606136164973</c:v>
                </c:pt>
                <c:pt idx="72">
                  <c:v>30.130621693879124</c:v>
                </c:pt>
                <c:pt idx="73">
                  <c:v>27.450154095993646</c:v>
                </c:pt>
                <c:pt idx="74">
                  <c:v>24.70692841693505</c:v>
                </c:pt>
                <c:pt idx="75">
                  <c:v>21.897392024697595</c:v>
                </c:pt>
                <c:pt idx="76">
                  <c:v>19.017682679131045</c:v>
                </c:pt>
                <c:pt idx="77">
                  <c:v>16.063591970787925</c:v>
                </c:pt>
                <c:pt idx="78">
                  <c:v>13.030523267691418</c:v>
                </c:pt>
                <c:pt idx="79">
                  <c:v>9.9134431599880948</c:v>
                </c:pt>
                <c:pt idx="80">
                  <c:v>6.7068251708221176</c:v>
                </c:pt>
                <c:pt idx="81">
                  <c:v>6.3810097424404768</c:v>
                </c:pt>
                <c:pt idx="82">
                  <c:v>6.0542321932169898</c:v>
                </c:pt>
                <c:pt idx="83">
                  <c:v>5.7264860451479267</c:v>
                </c:pt>
                <c:pt idx="84">
                  <c:v>5.3977647552484349</c:v>
                </c:pt>
                <c:pt idx="85">
                  <c:v>5.0680617146935152</c:v>
                </c:pt>
                <c:pt idx="86">
                  <c:v>4.7373702479449484</c:v>
                </c:pt>
                <c:pt idx="87">
                  <c:v>4.4056836118638847</c:v>
                </c:pt>
                <c:pt idx="88">
                  <c:v>4.0729949948087922</c:v>
                </c:pt>
                <c:pt idx="89">
                  <c:v>3.7392975157185107</c:v>
                </c:pt>
                <c:pt idx="90">
                  <c:v>3.4045842231801076</c:v>
                </c:pt>
                <c:pt idx="91">
                  <c:v>3.0688480944812162</c:v>
                </c:pt>
                <c:pt idx="92">
                  <c:v>2.7320820346465755</c:v>
                </c:pt>
                <c:pt idx="93">
                  <c:v>2.3942788754584394</c:v>
                </c:pt>
                <c:pt idx="94">
                  <c:v>2.055431374460543</c:v>
                </c:pt>
                <c:pt idx="95">
                  <c:v>1.7155322139452907</c:v>
                </c:pt>
                <c:pt idx="96">
                  <c:v>1.3745739999238296</c:v>
                </c:pt>
                <c:pt idx="97">
                  <c:v>1.0325492610786706</c:v>
                </c:pt>
                <c:pt idx="98">
                  <c:v>0.6894504476984995</c:v>
                </c:pt>
                <c:pt idx="99">
                  <c:v>0.6550811992316562</c:v>
                </c:pt>
                <c:pt idx="100">
                  <c:v>0.62070112612082184</c:v>
                </c:pt>
                <c:pt idx="101">
                  <c:v>0.58631022068469552</c:v>
                </c:pt>
                <c:pt idx="102">
                  <c:v>0.5519084752338973</c:v>
                </c:pt>
                <c:pt idx="103">
                  <c:v>0.51749588207095498</c:v>
                </c:pt>
                <c:pt idx="104">
                  <c:v>0.48307243349029566</c:v>
                </c:pt>
                <c:pt idx="105">
                  <c:v>0.44863812177823215</c:v>
                </c:pt>
                <c:pt idx="106">
                  <c:v>0.41419293921295236</c:v>
                </c:pt>
                <c:pt idx="107">
                  <c:v>0.37973687806450951</c:v>
                </c:pt>
                <c:pt idx="108">
                  <c:v>0.34526993059480876</c:v>
                </c:pt>
                <c:pt idx="109">
                  <c:v>0.31079208905759709</c:v>
                </c:pt>
                <c:pt idx="110">
                  <c:v>0.27630334569845194</c:v>
                </c:pt>
                <c:pt idx="111">
                  <c:v>0.24180369275476962</c:v>
                </c:pt>
                <c:pt idx="112">
                  <c:v>0.20729312245575424</c:v>
                </c:pt>
                <c:pt idx="113">
                  <c:v>0.17277162702240639</c:v>
                </c:pt>
                <c:pt idx="114">
                  <c:v>0.13823919866751119</c:v>
                </c:pt>
                <c:pt idx="115">
                  <c:v>0.10369582959562758</c:v>
                </c:pt>
                <c:pt idx="116">
                  <c:v>6.9141512003076833E-2</c:v>
                </c:pt>
                <c:pt idx="117">
                  <c:v>6.568547777449732E-2</c:v>
                </c:pt>
                <c:pt idx="118">
                  <c:v>6.2229333974782232E-2</c:v>
                </c:pt>
                <c:pt idx="119">
                  <c:v>5.8773080596114219E-2</c:v>
                </c:pt>
                <c:pt idx="120">
                  <c:v>5.5316717630675194E-2</c:v>
                </c:pt>
                <c:pt idx="121">
                  <c:v>5.1860245070646176E-2</c:v>
                </c:pt>
                <c:pt idx="122">
                  <c:v>4.840366290820744E-2</c:v>
                </c:pt>
                <c:pt idx="123">
                  <c:v>4.4946971135538347E-2</c:v>
                </c:pt>
                <c:pt idx="124">
                  <c:v>4.1490169744817479E-2</c:v>
                </c:pt>
                <c:pt idx="125">
                  <c:v>3.8033258728222594E-2</c:v>
                </c:pt>
                <c:pt idx="126">
                  <c:v>3.4576238077930595E-2</c:v>
                </c:pt>
                <c:pt idx="127">
                  <c:v>3.1119107786117563E-2</c:v>
                </c:pt>
                <c:pt idx="128">
                  <c:v>2.7661867844958776E-2</c:v>
                </c:pt>
                <c:pt idx="129">
                  <c:v>2.4204518246628681E-2</c:v>
                </c:pt>
                <c:pt idx="130">
                  <c:v>2.074705898330087E-2</c:v>
                </c:pt>
                <c:pt idx="131">
                  <c:v>1.7289490047148144E-2</c:v>
                </c:pt>
                <c:pt idx="132">
                  <c:v>1.3831811430342435E-2</c:v>
                </c:pt>
                <c:pt idx="133">
                  <c:v>1.0374023125054881E-2</c:v>
                </c:pt>
                <c:pt idx="134">
                  <c:v>6.9161251234557755E-3</c:v>
                </c:pt>
                <c:pt idx="135">
                  <c:v>6.5703292896972703E-3</c:v>
                </c:pt>
                <c:pt idx="136">
                  <c:v>6.2245323588895072E-3</c:v>
                </c:pt>
                <c:pt idx="137">
                  <c:v>5.8787343310246617E-3</c:v>
                </c:pt>
                <c:pt idx="138">
                  <c:v>5.5329352060949017E-3</c:v>
                </c:pt>
                <c:pt idx="139">
                  <c:v>5.1871349840923965E-3</c:v>
                </c:pt>
                <c:pt idx="140">
                  <c:v>4.8413336650093173E-3</c:v>
                </c:pt>
                <c:pt idx="141">
                  <c:v>4.4955312488378302E-3</c:v>
                </c:pt>
                <c:pt idx="142">
                  <c:v>4.1497277355701115E-3</c:v>
                </c:pt>
                <c:pt idx="143">
                  <c:v>3.8039231251983151E-3</c:v>
                </c:pt>
                <c:pt idx="144">
                  <c:v>3.4581174177146165E-3</c:v>
                </c:pt>
                <c:pt idx="145">
                  <c:v>3.1123106131111852E-3</c:v>
                </c:pt>
                <c:pt idx="146">
                  <c:v>2.7665027113801866E-3</c:v>
                </c:pt>
                <c:pt idx="147">
                  <c:v>2.420693712513793E-3</c:v>
                </c:pt>
                <c:pt idx="148">
                  <c:v>2.0748836165041689E-3</c:v>
                </c:pt>
                <c:pt idx="149">
                  <c:v>1.7290724233434832E-3</c:v>
                </c:pt>
                <c:pt idx="150">
                  <c:v>1.383260133023904E-3</c:v>
                </c:pt>
                <c:pt idx="151">
                  <c:v>1.0374467455375996E-3</c:v>
                </c:pt>
                <c:pt idx="152">
                  <c:v>6.9163226087673641E-4</c:v>
                </c:pt>
                <c:pt idx="153">
                  <c:v>6.5705075206574112E-4</c:v>
                </c:pt>
                <c:pt idx="154">
                  <c:v>6.2246923228292082E-4</c:v>
                </c:pt>
                <c:pt idx="155">
                  <c:v>5.8788770152826098E-4</c:v>
                </c:pt>
                <c:pt idx="156">
                  <c:v>5.5330615980175391E-4</c:v>
                </c:pt>
                <c:pt idx="157">
                  <c:v>5.1872460710339135E-4</c:v>
                </c:pt>
                <c:pt idx="158">
                  <c:v>4.8414304343316584E-4</c:v>
                </c:pt>
                <c:pt idx="159">
                  <c:v>4.4956146879106945E-4</c:v>
                </c:pt>
                <c:pt idx="160">
                  <c:v>4.1497988317709423E-4</c:v>
                </c:pt>
                <c:pt idx="161">
                  <c:v>3.8039828659123257E-4</c:v>
                </c:pt>
                <c:pt idx="162">
                  <c:v>3.4581667903347635E-4</c:v>
                </c:pt>
                <c:pt idx="163">
                  <c:v>3.1123506050381792E-4</c:v>
                </c:pt>
                <c:pt idx="164">
                  <c:v>2.7665343100224959E-4</c:v>
                </c:pt>
                <c:pt idx="165">
                  <c:v>2.4207179052876323E-4</c:v>
                </c:pt>
                <c:pt idx="166">
                  <c:v>2.0749013908335121E-4</c:v>
                </c:pt>
                <c:pt idx="167">
                  <c:v>1.7290847666600557E-4</c:v>
                </c:pt>
                <c:pt idx="168">
                  <c:v>1.3832680327671858E-4</c:v>
                </c:pt>
                <c:pt idx="169">
                  <c:v>1.0374511891548235E-4</c:v>
                </c:pt>
                <c:pt idx="170">
                  <c:v>6.9163423582288983E-5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6-4E45-8339-53DC9B79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336"/>
        <c:axId val="754799320"/>
      </c:scatterChart>
      <c:valAx>
        <c:axId val="754798336"/>
        <c:scaling>
          <c:logBase val="10"/>
          <c:orientation val="minMax"/>
          <c:max val="1.0000000000000006E-11"/>
          <c:min val="1.0000000000000011E-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9320"/>
        <c:crossesAt val="0.1"/>
        <c:crossBetween val="midCat"/>
      </c:valAx>
      <c:valAx>
        <c:axId val="754799320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8336"/>
        <c:crossesAt val="1.0000000000000011E-1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UVSPEX_normal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'WSO-UV_UVSPEX_50h'!$A$20:$A$190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'WSO-UV_UVSPEX_50h'!$D$20:$D$190</c:f>
              <c:numCache>
                <c:formatCode>0.00E+00</c:formatCode>
                <c:ptCount val="171"/>
                <c:pt idx="0">
                  <c:v>16201.919586331567</c:v>
                </c:pt>
                <c:pt idx="1">
                  <c:v>15370.490390802765</c:v>
                </c:pt>
                <c:pt idx="2">
                  <c:v>14491.437175986577</c:v>
                </c:pt>
                <c:pt idx="3">
                  <c:v>13555.498072640919</c:v>
                </c:pt>
                <c:pt idx="4">
                  <c:v>12549.952373183653</c:v>
                </c:pt>
                <c:pt idx="5">
                  <c:v>11456.486422153377</c:v>
                </c:pt>
                <c:pt idx="6">
                  <c:v>10246.992617972954</c:v>
                </c:pt>
                <c:pt idx="7">
                  <c:v>8874.1554124660979</c:v>
                </c:pt>
                <c:pt idx="8">
                  <c:v>7245.7167248254054</c:v>
                </c:pt>
                <c:pt idx="9">
                  <c:v>7062.2509523236567</c:v>
                </c:pt>
                <c:pt idx="10">
                  <c:v>6873.8901773870621</c:v>
                </c:pt>
                <c:pt idx="11">
                  <c:v>6680.2203427701743</c:v>
                </c:pt>
                <c:pt idx="12">
                  <c:v>6480.7655014776446</c:v>
                </c:pt>
                <c:pt idx="13">
                  <c:v>6274.9740351913297</c:v>
                </c:pt>
                <c:pt idx="14">
                  <c:v>6062.2006564867352</c:v>
                </c:pt>
                <c:pt idx="15">
                  <c:v>5841.6825022155581</c:v>
                </c:pt>
                <c:pt idx="16">
                  <c:v>5612.5067584703256</c:v>
                </c:pt>
                <c:pt idx="17">
                  <c:v>5373.5658338815711</c:v>
                </c:pt>
                <c:pt idx="18">
                  <c:v>5123.4936740708808</c:v>
                </c:pt>
                <c:pt idx="19">
                  <c:v>4860.572505932847</c:v>
                </c:pt>
                <c:pt idx="20">
                  <c:v>4582.5912694258132</c:v>
                </c:pt>
                <c:pt idx="21">
                  <c:v>4286.6210935662366</c:v>
                </c:pt>
                <c:pt idx="22">
                  <c:v>3968.6393205983404</c:v>
                </c:pt>
                <c:pt idx="23">
                  <c:v>3622.8546360841224</c:v>
                </c:pt>
                <c:pt idx="24">
                  <c:v>3240.3785845794951</c:v>
                </c:pt>
                <c:pt idx="25">
                  <c:v>2806.2485685738984</c:v>
                </c:pt>
                <c:pt idx="26">
                  <c:v>2291.28974289282</c:v>
                </c:pt>
                <c:pt idx="27">
                  <c:v>2233.2725878443248</c:v>
                </c:pt>
                <c:pt idx="28">
                  <c:v>2173.7074820107173</c:v>
                </c:pt>
                <c:pt idx="29">
                  <c:v>2112.4634868048156</c:v>
                </c:pt>
                <c:pt idx="30">
                  <c:v>2049.3900919102152</c:v>
                </c:pt>
                <c:pt idx="31">
                  <c:v>1984.3128570259228</c:v>
                </c:pt>
                <c:pt idx="32">
                  <c:v>1917.0277202742636</c:v>
                </c:pt>
                <c:pt idx="33">
                  <c:v>1847.2934379911376</c:v>
                </c:pt>
                <c:pt idx="34">
                  <c:v>1774.8213464444289</c:v>
                </c:pt>
                <c:pt idx="35">
                  <c:v>1699.2611857952461</c:v>
                </c:pt>
                <c:pt idx="36">
                  <c:v>1620.1809600514378</c:v>
                </c:pt>
                <c:pt idx="37">
                  <c:v>1537.0374455705703</c:v>
                </c:pt>
                <c:pt idx="38">
                  <c:v>1449.1314208424037</c:v>
                </c:pt>
                <c:pt idx="39">
                  <c:v>1355.5366615030866</c:v>
                </c:pt>
                <c:pt idx="40">
                  <c:v>1254.9810383087581</c:v>
                </c:pt>
                <c:pt idx="41">
                  <c:v>1145.6330880334858</c:v>
                </c:pt>
                <c:pt idx="42">
                  <c:v>1024.6818717836436</c:v>
                </c:pt>
                <c:pt idx="43">
                  <c:v>887.3954611623127</c:v>
                </c:pt>
                <c:pt idx="44">
                  <c:v>724.54707992806118</c:v>
                </c:pt>
                <c:pt idx="45">
                  <c:v>706.19986387282086</c:v>
                </c:pt>
                <c:pt idx="46">
                  <c:v>687.36309505976089</c:v>
                </c:pt>
                <c:pt idx="47">
                  <c:v>667.99536015099466</c:v>
                </c:pt>
                <c:pt idx="48">
                  <c:v>648.04905519300223</c:v>
                </c:pt>
                <c:pt idx="49">
                  <c:v>627.46900697486558</c:v>
                </c:pt>
                <c:pt idx="50">
                  <c:v>606.19067257826123</c:v>
                </c:pt>
                <c:pt idx="51">
                  <c:v>584.13774776494608</c:v>
                </c:pt>
                <c:pt idx="52">
                  <c:v>561.21892809501708</c:v>
                </c:pt>
                <c:pt idx="53">
                  <c:v>537.32342420357816</c:v>
                </c:pt>
                <c:pt idx="54">
                  <c:v>512.31459008930574</c:v>
                </c:pt>
                <c:pt idx="55">
                  <c:v>486.02059250466579</c:v>
                </c:pt>
                <c:pt idx="56">
                  <c:v>458.22024572892667</c:v>
                </c:pt>
                <c:pt idx="57">
                  <c:v>428.6205443617751</c:v>
                </c:pt>
                <c:pt idx="58">
                  <c:v>396.81903784444461</c:v>
                </c:pt>
                <c:pt idx="59">
                  <c:v>362.23628616204212</c:v>
                </c:pt>
                <c:pt idx="60">
                  <c:v>323.98287925645332</c:v>
                </c:pt>
                <c:pt idx="61">
                  <c:v>280.56137783748483</c:v>
                </c:pt>
                <c:pt idx="62">
                  <c:v>229.0512421380391</c:v>
                </c:pt>
                <c:pt idx="63">
                  <c:v>223.24750945882784</c:v>
                </c:pt>
                <c:pt idx="64">
                  <c:v>217.28881604492946</c:v>
                </c:pt>
                <c:pt idx="65">
                  <c:v>211.16204404743641</c:v>
                </c:pt>
                <c:pt idx="66">
                  <c:v>204.85211328069394</c:v>
                </c:pt>
                <c:pt idx="67">
                  <c:v>198.34154387377581</c:v>
                </c:pt>
                <c:pt idx="68">
                  <c:v>191.60988500066401</c:v>
                </c:pt>
                <c:pt idx="69">
                  <c:v>184.63295587280822</c:v>
                </c:pt>
                <c:pt idx="70">
                  <c:v>177.38181758391974</c:v>
                </c:pt>
                <c:pt idx="71">
                  <c:v>169.8213490638376</c:v>
                </c:pt>
                <c:pt idx="72">
                  <c:v>161.90822317469795</c:v>
                </c:pt>
                <c:pt idx="73">
                  <c:v>153.58794177469849</c:v>
                </c:pt>
                <c:pt idx="74">
                  <c:v>144.79033237997393</c:v>
                </c:pt>
                <c:pt idx="75">
                  <c:v>135.42240136638586</c:v>
                </c:pt>
                <c:pt idx="76">
                  <c:v>125.35635665685791</c:v>
                </c:pt>
                <c:pt idx="77">
                  <c:v>114.40808619158896</c:v>
                </c:pt>
                <c:pt idx="78">
                  <c:v>102.29473289015571</c:v>
                </c:pt>
                <c:pt idx="79">
                  <c:v>88.539431044004672</c:v>
                </c:pt>
                <c:pt idx="80">
                  <c:v>72.210039880219085</c:v>
                </c:pt>
                <c:pt idx="81">
                  <c:v>70.369030380103055</c:v>
                </c:pt>
                <c:pt idx="82">
                  <c:v>68.478554500631176</c:v>
                </c:pt>
                <c:pt idx="83">
                  <c:v>66.534397693168103</c:v>
                </c:pt>
                <c:pt idx="84">
                  <c:v>64.531710770269711</c:v>
                </c:pt>
                <c:pt idx="85">
                  <c:v>62.464867504011295</c:v>
                </c:pt>
                <c:pt idx="86">
                  <c:v>60.327278316003813</c:v>
                </c:pt>
                <c:pt idx="87">
                  <c:v>58.111142288480089</c:v>
                </c:pt>
                <c:pt idx="88">
                  <c:v>55.807110547144774</c:v>
                </c:pt>
                <c:pt idx="89">
                  <c:v>53.403818942406424</c:v>
                </c:pt>
                <c:pt idx="90">
                  <c:v>50.887222106138367</c:v>
                </c:pt>
                <c:pt idx="91">
                  <c:v>48.239614858729666</c:v>
                </c:pt>
                <c:pt idx="92">
                  <c:v>45.438140485184917</c:v>
                </c:pt>
                <c:pt idx="93">
                  <c:v>42.452413212933628</c:v>
                </c:pt>
                <c:pt idx="94">
                  <c:v>39.240513098980088</c:v>
                </c:pt>
                <c:pt idx="95">
                  <c:v>35.741743540308541</c:v>
                </c:pt>
                <c:pt idx="96">
                  <c:v>31.862239366888595</c:v>
                </c:pt>
                <c:pt idx="97">
                  <c:v>27.442311501185781</c:v>
                </c:pt>
                <c:pt idx="98">
                  <c:v>22.16561775792875</c:v>
                </c:pt>
                <c:pt idx="99">
                  <c:v>21.567980626582671</c:v>
                </c:pt>
                <c:pt idx="100">
                  <c:v>20.953583801266173</c:v>
                </c:pt>
                <c:pt idx="101">
                  <c:v>20.320954207724547</c:v>
                </c:pt>
                <c:pt idx="102">
                  <c:v>19.668392355083927</c:v>
                </c:pt>
                <c:pt idx="103">
                  <c:v>18.993920993604185</c:v>
                </c:pt>
                <c:pt idx="104">
                  <c:v>18.29521792727779</c:v>
                </c:pt>
                <c:pt idx="105">
                  <c:v>17.569526623974902</c:v>
                </c:pt>
                <c:pt idx="106">
                  <c:v>16.813535042545606</c:v>
                </c:pt>
                <c:pt idx="107">
                  <c:v>16.023207844653655</c:v>
                </c:pt>
                <c:pt idx="108">
                  <c:v>15.193548312592437</c:v>
                </c:pt>
                <c:pt idx="109">
                  <c:v>14.318250810502597</c:v>
                </c:pt>
                <c:pt idx="110">
                  <c:v>13.389176293916426</c:v>
                </c:pt>
                <c:pt idx="111">
                  <c:v>12.395528748096451</c:v>
                </c:pt>
                <c:pt idx="112">
                  <c:v>11.322498336788</c:v>
                </c:pt>
                <c:pt idx="113">
                  <c:v>10.148888821279932</c:v>
                </c:pt>
                <c:pt idx="114">
                  <c:v>8.8426424113847713</c:v>
                </c:pt>
                <c:pt idx="115">
                  <c:v>7.3515115425435758</c:v>
                </c:pt>
                <c:pt idx="116">
                  <c:v>5.5807204474139311</c:v>
                </c:pt>
                <c:pt idx="117">
                  <c:v>5.3821048825289397</c:v>
                </c:pt>
                <c:pt idx="118">
                  <c:v>5.1785996691801426</c:v>
                </c:pt>
                <c:pt idx="119">
                  <c:v>4.969881558512661</c:v>
                </c:pt>
                <c:pt idx="120">
                  <c:v>4.7555931228576345</c:v>
                </c:pt>
                <c:pt idx="121">
                  <c:v>4.5353377540167177</c:v>
                </c:pt>
                <c:pt idx="122">
                  <c:v>4.3086737163171218</c:v>
                </c:pt>
                <c:pt idx="123">
                  <c:v>4.0751070329800498</c:v>
                </c:pt>
                <c:pt idx="124">
                  <c:v>3.8340829217227843</c:v>
                </c:pt>
                <c:pt idx="125">
                  <c:v>3.584975411917497</c:v>
                </c:pt>
                <c:pt idx="126">
                  <c:v>3.3270746628505292</c:v>
                </c:pt>
                <c:pt idx="127">
                  <c:v>3.0595713487435714</c:v>
                </c:pt>
                <c:pt idx="128">
                  <c:v>2.7815372636499074</c:v>
                </c:pt>
                <c:pt idx="129">
                  <c:v>2.4919010018511125</c:v>
                </c:pt>
                <c:pt idx="130">
                  <c:v>2.1894171469890664</c:v>
                </c:pt>
                <c:pt idx="131">
                  <c:v>1.87262679398265</c:v>
                </c:pt>
                <c:pt idx="132">
                  <c:v>1.5398063340396273</c:v>
                </c:pt>
                <c:pt idx="133">
                  <c:v>1.1889000970069767</c:v>
                </c:pt>
                <c:pt idx="134">
                  <c:v>0.81743040615790918</c:v>
                </c:pt>
                <c:pt idx="135">
                  <c:v>0.77904162923556708</c:v>
                </c:pt>
                <c:pt idx="136">
                  <c:v>0.74041421562010212</c:v>
                </c:pt>
                <c:pt idx="137">
                  <c:v>0.70154472841738069</c:v>
                </c:pt>
                <c:pt idx="138">
                  <c:v>0.66242965649001673</c:v>
                </c:pt>
                <c:pt idx="139">
                  <c:v>0.62306541233355728</c:v>
                </c:pt>
                <c:pt idx="140">
                  <c:v>0.58344832987709572</c:v>
                </c:pt>
                <c:pt idx="141">
                  <c:v>0.54357466220509165</c:v>
                </c:pt>
                <c:pt idx="142">
                  <c:v>0.50344057919702023</c:v>
                </c:pt>
                <c:pt idx="143">
                  <c:v>0.46304216508130042</c:v>
                </c:pt>
                <c:pt idx="144">
                  <c:v>0.42237541589978422</c:v>
                </c:pt>
                <c:pt idx="145">
                  <c:v>0.38143623687887801</c:v>
                </c:pt>
                <c:pt idx="146">
                  <c:v>0.34022043970319277</c:v>
                </c:pt>
                <c:pt idx="147">
                  <c:v>0.29872373968739108</c:v>
                </c:pt>
                <c:pt idx="148">
                  <c:v>0.25694175284168208</c:v>
                </c:pt>
                <c:pt idx="149">
                  <c:v>0.2148699928261753</c:v>
                </c:pt>
                <c:pt idx="150">
                  <c:v>0.17250386778905627</c:v>
                </c:pt>
                <c:pt idx="151">
                  <c:v>0.12983867708327609</c:v>
                </c:pt>
                <c:pt idx="152">
                  <c:v>8.6869607856169165E-2</c:v>
                </c:pt>
                <c:pt idx="153">
                  <c:v>8.2555798885832171E-2</c:v>
                </c:pt>
                <c:pt idx="154">
                  <c:v>7.8238896949422848E-2</c:v>
                </c:pt>
                <c:pt idx="155">
                  <c:v>7.3918897041603288E-2</c:v>
                </c:pt>
                <c:pt idx="156">
                  <c:v>6.9595794145020373E-2</c:v>
                </c:pt>
                <c:pt idx="157">
                  <c:v>6.526958323026702E-2</c:v>
                </c:pt>
                <c:pt idx="158">
                  <c:v>6.0940259255844072E-2</c:v>
                </c:pt>
                <c:pt idx="159">
                  <c:v>5.6607817168122139E-2</c:v>
                </c:pt>
                <c:pt idx="160">
                  <c:v>5.2272251901303239E-2</c:v>
                </c:pt>
                <c:pt idx="161">
                  <c:v>4.7933558377382363E-2</c:v>
                </c:pt>
                <c:pt idx="162">
                  <c:v>4.3591731506108761E-2</c:v>
                </c:pt>
                <c:pt idx="163">
                  <c:v>3.9246766184947171E-2</c:v>
                </c:pt>
                <c:pt idx="164">
                  <c:v>3.4898657299038877E-2</c:v>
                </c:pt>
                <c:pt idx="165">
                  <c:v>3.0547399721162646E-2</c:v>
                </c:pt>
                <c:pt idx="166">
                  <c:v>2.6192988311695413E-2</c:v>
                </c:pt>
                <c:pt idx="167">
                  <c:v>2.1835417918572912E-2</c:v>
                </c:pt>
                <c:pt idx="168">
                  <c:v>1.7474683377250111E-2</c:v>
                </c:pt>
                <c:pt idx="169">
                  <c:v>1.3110779510661493E-2</c:v>
                </c:pt>
                <c:pt idx="170">
                  <c:v>8.7437011291811896E-3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2-4054-BDA6-6E79543685D3}"/>
            </c:ext>
          </c:extLst>
        </c:ser>
        <c:ser>
          <c:idx val="2"/>
          <c:order val="1"/>
          <c:tx>
            <c:v>UVSPEX_funnel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'WSO-UV_UVSPEX_50h'!$A$20:$A$190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'WSO-UV_UVSPEX_50h'!$F$20:$F$190</c:f>
              <c:numCache>
                <c:formatCode>0.00E+00</c:formatCode>
                <c:ptCount val="171"/>
                <c:pt idx="0">
                  <c:v>21124.719223680044</c:v>
                </c:pt>
                <c:pt idx="1">
                  <c:v>20040.668213694527</c:v>
                </c:pt>
                <c:pt idx="2">
                  <c:v>18894.523085366698</c:v>
                </c:pt>
                <c:pt idx="3">
                  <c:v>17674.207840679144</c:v>
                </c:pt>
                <c:pt idx="4">
                  <c:v>16363.136709310762</c:v>
                </c:pt>
                <c:pt idx="5">
                  <c:v>14937.43161121292</c:v>
                </c:pt>
                <c:pt idx="6">
                  <c:v>13360.444727318511</c:v>
                </c:pt>
                <c:pt idx="7">
                  <c:v>11570.484150795246</c:v>
                </c:pt>
                <c:pt idx="8">
                  <c:v>9447.2601136984358</c:v>
                </c:pt>
                <c:pt idx="9">
                  <c:v>9208.05004727304</c:v>
                </c:pt>
                <c:pt idx="10">
                  <c:v>8962.45768136691</c:v>
                </c:pt>
                <c:pt idx="11">
                  <c:v>8709.9431517949943</c:v>
                </c:pt>
                <c:pt idx="12">
                  <c:v>8449.8859000999819</c:v>
                </c:pt>
                <c:pt idx="13">
                  <c:v>8181.5667046059407</c:v>
                </c:pt>
                <c:pt idx="14">
                  <c:v>7904.1442142160313</c:v>
                </c:pt>
                <c:pt idx="15">
                  <c:v>7616.6237780484616</c:v>
                </c:pt>
                <c:pt idx="16">
                  <c:v>7317.8152336296334</c:v>
                </c:pt>
                <c:pt idx="17">
                  <c:v>7006.2744601357854</c:v>
                </c:pt>
                <c:pt idx="18">
                  <c:v>6680.2203427701752</c:v>
                </c:pt>
                <c:pt idx="19">
                  <c:v>6337.4131824562737</c:v>
                </c:pt>
                <c:pt idx="20">
                  <c:v>5974.9701139320732</c:v>
                </c:pt>
                <c:pt idx="21">
                  <c:v>5589.0723630664779</c:v>
                </c:pt>
                <c:pt idx="22">
                  <c:v>5174.4750358666597</c:v>
                </c:pt>
                <c:pt idx="23">
                  <c:v>4723.6271988826338</c:v>
                </c:pt>
                <c:pt idx="24">
                  <c:v>4224.9397547474191</c:v>
                </c:pt>
                <c:pt idx="25">
                  <c:v>3658.9039271995425</c:v>
                </c:pt>
                <c:pt idx="26">
                  <c:v>2987.4805381343485</c:v>
                </c:pt>
                <c:pt idx="27">
                  <c:v>2911.8355323506553</c:v>
                </c:pt>
                <c:pt idx="28">
                  <c:v>2834.1722546784272</c:v>
                </c:pt>
                <c:pt idx="29">
                  <c:v>2754.3199833932108</c:v>
                </c:pt>
                <c:pt idx="30">
                  <c:v>2672.0824786391868</c:v>
                </c:pt>
                <c:pt idx="31">
                  <c:v>2587.2323000425235</c:v>
                </c:pt>
                <c:pt idx="32">
                  <c:v>2499.5033858984552</c:v>
                </c:pt>
                <c:pt idx="33">
                  <c:v>2408.581196026923</c:v>
                </c:pt>
                <c:pt idx="34">
                  <c:v>2314.0893629230882</c:v>
                </c:pt>
                <c:pt idx="35">
                  <c:v>2215.5712088164696</c:v>
                </c:pt>
                <c:pt idx="36">
                  <c:v>2112.4634868048156</c:v>
                </c:pt>
                <c:pt idx="37">
                  <c:v>2004.0579295111486</c:v>
                </c:pt>
                <c:pt idx="38">
                  <c:v>1889.4428773047186</c:v>
                </c:pt>
                <c:pt idx="39">
                  <c:v>1767.4107016678604</c:v>
                </c:pt>
                <c:pt idx="40">
                  <c:v>1636.3027807101926</c:v>
                </c:pt>
                <c:pt idx="41">
                  <c:v>1493.7312315063236</c:v>
                </c:pt>
                <c:pt idx="42">
                  <c:v>1336.0311350575957</c:v>
                </c:pt>
                <c:pt idx="43">
                  <c:v>1157.033014138307</c:v>
                </c:pt>
                <c:pt idx="44">
                  <c:v>944.70714933817385</c:v>
                </c:pt>
                <c:pt idx="45">
                  <c:v>920.78565272225364</c:v>
                </c:pt>
                <c:pt idx="46">
                  <c:v>896.22588587706241</c:v>
                </c:pt>
                <c:pt idx="47">
                  <c:v>870.97385654397954</c:v>
                </c:pt>
                <c:pt idx="48">
                  <c:v>844.96750177857257</c:v>
                </c:pt>
                <c:pt idx="49">
                  <c:v>818.13489068428396</c:v>
                </c:pt>
                <c:pt idx="50">
                  <c:v>790.39187727691933</c:v>
                </c:pt>
                <c:pt idx="51">
                  <c:v>761.63898271881567</c:v>
                </c:pt>
                <c:pt idx="52">
                  <c:v>731.75717308077128</c:v>
                </c:pt>
                <c:pt idx="53">
                  <c:v>700.60201309103661</c:v>
                </c:pt>
                <c:pt idx="54">
                  <c:v>667.99536015099466</c:v>
                </c:pt>
                <c:pt idx="55">
                  <c:v>633.71320143891364</c:v>
                </c:pt>
                <c:pt idx="56">
                  <c:v>597.46718926925735</c:v>
                </c:pt>
                <c:pt idx="57">
                  <c:v>558.87535546297465</c:v>
                </c:pt>
                <c:pt idx="58">
                  <c:v>517.41306884077903</c:v>
                </c:pt>
                <c:pt idx="59">
                  <c:v>472.32499928235239</c:v>
                </c:pt>
                <c:pt idx="60">
                  <c:v>422.45180384359134</c:v>
                </c:pt>
                <c:pt idx="61">
                  <c:v>365.8416995939387</c:v>
                </c:pt>
                <c:pt idx="62">
                  <c:v>298.68842322877686</c:v>
                </c:pt>
                <c:pt idx="63">
                  <c:v>291.12237452955156</c:v>
                </c:pt>
                <c:pt idx="64">
                  <c:v>283.35437144566038</c:v>
                </c:pt>
                <c:pt idx="65">
                  <c:v>275.36732337511376</c:v>
                </c:pt>
                <c:pt idx="66">
                  <c:v>267.14158393378068</c:v>
                </c:pt>
                <c:pt idx="67">
                  <c:v>258.65438154547053</c:v>
                </c:pt>
                <c:pt idx="68">
                  <c:v>249.87907573720284</c:v>
                </c:pt>
                <c:pt idx="69">
                  <c:v>240.78416912720667</c:v>
                </c:pt>
                <c:pt idx="70">
                  <c:v>231.33196921033974</c:v>
                </c:pt>
                <c:pt idx="71">
                  <c:v>221.47673510548498</c:v>
                </c:pt>
                <c:pt idx="72">
                  <c:v>211.16204404743644</c:v>
                </c:pt>
                <c:pt idx="73">
                  <c:v>200.31693409413268</c:v>
                </c:pt>
                <c:pt idx="74">
                  <c:v>188.85004667192192</c:v>
                </c:pt>
                <c:pt idx="75">
                  <c:v>176.6403332198968</c:v>
                </c:pt>
                <c:pt idx="76">
                  <c:v>163.52148554461141</c:v>
                </c:pt>
                <c:pt idx="77">
                  <c:v>149.25397114965511</c:v>
                </c:pt>
                <c:pt idx="78">
                  <c:v>133.46993814887117</c:v>
                </c:pt>
                <c:pt idx="79">
                  <c:v>115.54960188014543</c:v>
                </c:pt>
                <c:pt idx="80">
                  <c:v>94.282663258289503</c:v>
                </c:pt>
                <c:pt idx="81">
                  <c:v>91.885659231907354</c:v>
                </c:pt>
                <c:pt idx="82">
                  <c:v>89.424431741655624</c:v>
                </c:pt>
                <c:pt idx="83">
                  <c:v>86.893524487402772</c:v>
                </c:pt>
                <c:pt idx="84">
                  <c:v>84.286661892296109</c:v>
                </c:pt>
                <c:pt idx="85">
                  <c:v>81.596565799625182</c:v>
                </c:pt>
                <c:pt idx="86">
                  <c:v>78.814715812727115</c:v>
                </c:pt>
                <c:pt idx="87">
                  <c:v>75.931030535015267</c:v>
                </c:pt>
                <c:pt idx="88">
                  <c:v>72.933435254258058</c:v>
                </c:pt>
                <c:pt idx="89">
                  <c:v>69.807262337241596</c:v>
                </c:pt>
                <c:pt idx="90">
                  <c:v>66.534397693168117</c:v>
                </c:pt>
                <c:pt idx="91">
                  <c:v>63.092028055347726</c:v>
                </c:pt>
                <c:pt idx="92">
                  <c:v>59.4507340930653</c:v>
                </c:pt>
                <c:pt idx="93">
                  <c:v>55.57145619412438</c:v>
                </c:pt>
                <c:pt idx="94">
                  <c:v>51.400392971308442</c:v>
                </c:pt>
                <c:pt idx="95">
                  <c:v>46.85979731290913</c:v>
                </c:pt>
                <c:pt idx="96">
                  <c:v>41.829736839349955</c:v>
                </c:pt>
                <c:pt idx="97">
                  <c:v>36.106842895519918</c:v>
                </c:pt>
                <c:pt idx="98">
                  <c:v>29.289987791322677</c:v>
                </c:pt>
                <c:pt idx="99">
                  <c:v>28.519264987757783</c:v>
                </c:pt>
                <c:pt idx="100">
                  <c:v>27.727262040233445</c:v>
                </c:pt>
                <c:pt idx="101">
                  <c:v>26.912123695853733</c:v>
                </c:pt>
                <c:pt idx="102">
                  <c:v>26.071710017661669</c:v>
                </c:pt>
                <c:pt idx="103">
                  <c:v>25.20353156113131</c:v>
                </c:pt>
                <c:pt idx="104">
                  <c:v>24.304664352704354</c:v>
                </c:pt>
                <c:pt idx="105">
                  <c:v>23.371636446109505</c:v>
                </c:pt>
                <c:pt idx="106">
                  <c:v>22.40027357834791</c:v>
                </c:pt>
                <c:pt idx="107">
                  <c:v>21.385484448059991</c:v>
                </c:pt>
                <c:pt idx="108">
                  <c:v>20.320954207724551</c:v>
                </c:pt>
                <c:pt idx="109">
                  <c:v>19.198693572932203</c:v>
                </c:pt>
                <c:pt idx="110">
                  <c:v>18.008351480628665</c:v>
                </c:pt>
                <c:pt idx="111">
                  <c:v>16.736121401773147</c:v>
                </c:pt>
                <c:pt idx="112">
                  <c:v>15.362907069388264</c:v>
                </c:pt>
                <c:pt idx="113">
                  <c:v>13.861035663401218</c:v>
                </c:pt>
                <c:pt idx="114">
                  <c:v>12.187839618183627</c:v>
                </c:pt>
                <c:pt idx="115">
                  <c:v>10.271573753929518</c:v>
                </c:pt>
                <c:pt idx="116">
                  <c:v>7.974835564941178</c:v>
                </c:pt>
                <c:pt idx="117">
                  <c:v>7.7147744394629152</c:v>
                </c:pt>
                <c:pt idx="118">
                  <c:v>7.4476048119860563</c:v>
                </c:pt>
                <c:pt idx="119">
                  <c:v>7.1727770674822739</c:v>
                </c:pt>
                <c:pt idx="120">
                  <c:v>6.8896718753275907</c:v>
                </c:pt>
                <c:pt idx="121">
                  <c:v>6.5975877403980903</c:v>
                </c:pt>
                <c:pt idx="122">
                  <c:v>6.2957256434778976</c:v>
                </c:pt>
                <c:pt idx="123">
                  <c:v>5.9831699165229937</c:v>
                </c:pt>
                <c:pt idx="124">
                  <c:v>5.6588641917967237</c:v>
                </c:pt>
                <c:pt idx="125">
                  <c:v>5.3215808254474339</c:v>
                </c:pt>
                <c:pt idx="126">
                  <c:v>4.9698815585126628</c:v>
                </c:pt>
                <c:pt idx="127">
                  <c:v>4.6020662341994436</c:v>
                </c:pt>
                <c:pt idx="128">
                  <c:v>4.2161049640147361</c:v>
                </c:pt>
                <c:pt idx="129">
                  <c:v>3.8095469324959117</c:v>
                </c:pt>
                <c:pt idx="130">
                  <c:v>3.3793955432423948</c:v>
                </c:pt>
                <c:pt idx="131">
                  <c:v>2.9219339343523343</c:v>
                </c:pt>
                <c:pt idx="132">
                  <c:v>2.4324753641874777</c:v>
                </c:pt>
                <c:pt idx="133">
                  <c:v>1.9049963942694284</c:v>
                </c:pt>
                <c:pt idx="134">
                  <c:v>1.3315807593921978</c:v>
                </c:pt>
                <c:pt idx="135">
                  <c:v>1.2713317333766088</c:v>
                </c:pt>
                <c:pt idx="136">
                  <c:v>1.2105073247178078</c:v>
                </c:pt>
                <c:pt idx="137">
                  <c:v>1.1490945703490627</c:v>
                </c:pt>
                <c:pt idx="138">
                  <c:v>1.0870800658065474</c:v>
                </c:pt>
                <c:pt idx="139">
                  <c:v>1.0244499452181555</c:v>
                </c:pt>
                <c:pt idx="140">
                  <c:v>0.96118986015848007</c:v>
                </c:pt>
                <c:pt idx="141">
                  <c:v>0.89728495729270619</c:v>
                </c:pt>
                <c:pt idx="142">
                  <c:v>0.8327198547260225</c:v>
                </c:pt>
                <c:pt idx="143">
                  <c:v>0.76747861696841524</c:v>
                </c:pt>
                <c:pt idx="144">
                  <c:v>0.70154472841738214</c:v>
                </c:pt>
                <c:pt idx="145">
                  <c:v>0.63490106525302481</c:v>
                </c:pt>
                <c:pt idx="146">
                  <c:v>0.56752986563122609</c:v>
                </c:pt>
                <c:pt idx="147">
                  <c:v>0.49941269805093802</c:v>
                </c:pt>
                <c:pt idx="148">
                  <c:v>0.43053042776105166</c:v>
                </c:pt>
                <c:pt idx="149">
                  <c:v>0.36086318106068815</c:v>
                </c:pt>
                <c:pt idx="150">
                  <c:v>0.29039030733399473</c:v>
                </c:pt>
                <c:pt idx="151">
                  <c:v>0.2190903386464676</c:v>
                </c:pt>
                <c:pt idx="152">
                  <c:v>0.14694094671435406</c:v>
                </c:pt>
                <c:pt idx="153">
                  <c:v>0.13967840282195634</c:v>
                </c:pt>
                <c:pt idx="154">
                  <c:v>0.1324071093924859</c:v>
                </c:pt>
                <c:pt idx="155">
                  <c:v>0.12512704258268598</c:v>
                </c:pt>
                <c:pt idx="156">
                  <c:v>0.11783817845282613</c:v>
                </c:pt>
                <c:pt idx="157">
                  <c:v>0.11054049296618762</c:v>
                </c:pt>
                <c:pt idx="158">
                  <c:v>0.10323396198854687</c:v>
                </c:pt>
                <c:pt idx="159">
                  <c:v>9.5918561287655288E-2</c:v>
                </c:pt>
                <c:pt idx="160">
                  <c:v>8.8594266532716237E-2</c:v>
                </c:pt>
                <c:pt idx="161">
                  <c:v>8.1261053293857952E-2</c:v>
                </c:pt>
                <c:pt idx="162">
                  <c:v>7.3918897041603288E-2</c:v>
                </c:pt>
                <c:pt idx="163">
                  <c:v>6.6567773146335912E-2</c:v>
                </c:pt>
                <c:pt idx="164">
                  <c:v>5.9207656877762874E-2</c:v>
                </c:pt>
                <c:pt idx="165">
                  <c:v>5.1838523404373796E-2</c:v>
                </c:pt>
                <c:pt idx="166">
                  <c:v>4.4460347792896183E-2</c:v>
                </c:pt>
                <c:pt idx="167">
                  <c:v>3.7073105007747485E-2</c:v>
                </c:pt>
                <c:pt idx="168">
                  <c:v>2.9676769910483139E-2</c:v>
                </c:pt>
                <c:pt idx="169">
                  <c:v>2.227131725924119E-2</c:v>
                </c:pt>
                <c:pt idx="170">
                  <c:v>1.4856721708183066E-2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2-4054-BDA6-6E79543685D3}"/>
            </c:ext>
          </c:extLst>
        </c:ser>
        <c:ser>
          <c:idx val="1"/>
          <c:order val="2"/>
          <c:tx>
            <c:v>WUVS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'WSO-UV_UVSPEX_50h'!$A$20:$A$190</c:f>
              <c:numCache>
                <c:formatCode>0.00E+00</c:formatCode>
                <c:ptCount val="171"/>
                <c:pt idx="0">
                  <c:v>5.0000000000000002E-11</c:v>
                </c:pt>
                <c:pt idx="1">
                  <c:v>4.5E-11</c:v>
                </c:pt>
                <c:pt idx="2">
                  <c:v>3.9999999999999998E-11</c:v>
                </c:pt>
                <c:pt idx="3">
                  <c:v>3.5000000000000002E-11</c:v>
                </c:pt>
                <c:pt idx="4">
                  <c:v>3E-11</c:v>
                </c:pt>
                <c:pt idx="5">
                  <c:v>2.5000000000000001E-11</c:v>
                </c:pt>
                <c:pt idx="6">
                  <c:v>1.9999999999999999E-11</c:v>
                </c:pt>
                <c:pt idx="7">
                  <c:v>1.5E-11</c:v>
                </c:pt>
                <c:pt idx="8">
                  <c:v>9.9999999999999994E-12</c:v>
                </c:pt>
                <c:pt idx="9">
                  <c:v>9.4999999999999995E-12</c:v>
                </c:pt>
                <c:pt idx="10">
                  <c:v>8.9999999999999996E-12</c:v>
                </c:pt>
                <c:pt idx="11">
                  <c:v>8.4999999999999997E-12</c:v>
                </c:pt>
                <c:pt idx="12">
                  <c:v>7.9999999999999998E-12</c:v>
                </c:pt>
                <c:pt idx="13">
                  <c:v>7.5E-12</c:v>
                </c:pt>
                <c:pt idx="14">
                  <c:v>7.0000000000000001E-12</c:v>
                </c:pt>
                <c:pt idx="15">
                  <c:v>6.5000000000000002E-12</c:v>
                </c:pt>
                <c:pt idx="16">
                  <c:v>6.0000000000000003E-12</c:v>
                </c:pt>
                <c:pt idx="17">
                  <c:v>5.5000000000000004E-12</c:v>
                </c:pt>
                <c:pt idx="18">
                  <c:v>4.9999999999999997E-12</c:v>
                </c:pt>
                <c:pt idx="19">
                  <c:v>4.4999999999999998E-12</c:v>
                </c:pt>
                <c:pt idx="20">
                  <c:v>3.9999999999999999E-12</c:v>
                </c:pt>
                <c:pt idx="21">
                  <c:v>3.5E-12</c:v>
                </c:pt>
                <c:pt idx="22">
                  <c:v>3.0000000000000001E-12</c:v>
                </c:pt>
                <c:pt idx="23">
                  <c:v>2.4999999999999998E-12</c:v>
                </c:pt>
                <c:pt idx="24">
                  <c:v>2E-12</c:v>
                </c:pt>
                <c:pt idx="25">
                  <c:v>1.5000000000000001E-12</c:v>
                </c:pt>
                <c:pt idx="26">
                  <c:v>9.9999999999999998E-13</c:v>
                </c:pt>
                <c:pt idx="27">
                  <c:v>9.4999999999999999E-13</c:v>
                </c:pt>
                <c:pt idx="28">
                  <c:v>9E-13</c:v>
                </c:pt>
                <c:pt idx="29">
                  <c:v>8.5000000000000001E-13</c:v>
                </c:pt>
                <c:pt idx="30">
                  <c:v>8.0000000000000002E-13</c:v>
                </c:pt>
                <c:pt idx="31">
                  <c:v>7.5000000000000004E-13</c:v>
                </c:pt>
                <c:pt idx="32">
                  <c:v>7.0000000000000005E-13</c:v>
                </c:pt>
                <c:pt idx="33">
                  <c:v>6.4999999999999996E-13</c:v>
                </c:pt>
                <c:pt idx="34">
                  <c:v>5.9999999999999997E-13</c:v>
                </c:pt>
                <c:pt idx="35">
                  <c:v>5.4999999999999998E-13</c:v>
                </c:pt>
                <c:pt idx="36">
                  <c:v>4.9999999999999999E-13</c:v>
                </c:pt>
                <c:pt idx="37">
                  <c:v>4.5E-13</c:v>
                </c:pt>
                <c:pt idx="38">
                  <c:v>4.0000000000000001E-13</c:v>
                </c:pt>
                <c:pt idx="39">
                  <c:v>3.5000000000000002E-13</c:v>
                </c:pt>
                <c:pt idx="40">
                  <c:v>2.9999999999999998E-13</c:v>
                </c:pt>
                <c:pt idx="41">
                  <c:v>2.4999999999999999E-13</c:v>
                </c:pt>
                <c:pt idx="42">
                  <c:v>2.0000000000000001E-13</c:v>
                </c:pt>
                <c:pt idx="43">
                  <c:v>1.4999999999999999E-13</c:v>
                </c:pt>
                <c:pt idx="44">
                  <c:v>1E-13</c:v>
                </c:pt>
                <c:pt idx="45">
                  <c:v>9.4999999999999999E-14</c:v>
                </c:pt>
                <c:pt idx="46">
                  <c:v>8.9999999999999995E-14</c:v>
                </c:pt>
                <c:pt idx="47">
                  <c:v>8.5000000000000004E-14</c:v>
                </c:pt>
                <c:pt idx="48">
                  <c:v>8E-14</c:v>
                </c:pt>
                <c:pt idx="49">
                  <c:v>7.4999999999999996E-14</c:v>
                </c:pt>
                <c:pt idx="50">
                  <c:v>7.0000000000000005E-14</c:v>
                </c:pt>
                <c:pt idx="51">
                  <c:v>6.5000000000000001E-14</c:v>
                </c:pt>
                <c:pt idx="52">
                  <c:v>5.9999999999999997E-14</c:v>
                </c:pt>
                <c:pt idx="53">
                  <c:v>5.4999999999999999E-14</c:v>
                </c:pt>
                <c:pt idx="54">
                  <c:v>5.0000000000000002E-14</c:v>
                </c:pt>
                <c:pt idx="55">
                  <c:v>4.4999999999999998E-14</c:v>
                </c:pt>
                <c:pt idx="56">
                  <c:v>4E-14</c:v>
                </c:pt>
                <c:pt idx="57">
                  <c:v>3.5000000000000002E-14</c:v>
                </c:pt>
                <c:pt idx="58">
                  <c:v>2.9999999999999998E-14</c:v>
                </c:pt>
                <c:pt idx="59">
                  <c:v>2.5000000000000001E-14</c:v>
                </c:pt>
                <c:pt idx="60">
                  <c:v>2E-14</c:v>
                </c:pt>
                <c:pt idx="61">
                  <c:v>1.4999999999999999E-14</c:v>
                </c:pt>
                <c:pt idx="62">
                  <c:v>1E-14</c:v>
                </c:pt>
                <c:pt idx="63">
                  <c:v>9.5000000000000005E-15</c:v>
                </c:pt>
                <c:pt idx="64">
                  <c:v>8.9999999999999995E-15</c:v>
                </c:pt>
                <c:pt idx="65">
                  <c:v>8.5000000000000001E-15</c:v>
                </c:pt>
                <c:pt idx="66">
                  <c:v>8.0000000000000006E-15</c:v>
                </c:pt>
                <c:pt idx="67">
                  <c:v>7.4999999999999996E-15</c:v>
                </c:pt>
                <c:pt idx="68">
                  <c:v>7.0000000000000001E-15</c:v>
                </c:pt>
                <c:pt idx="69">
                  <c:v>6.4999999999999999E-15</c:v>
                </c:pt>
                <c:pt idx="70">
                  <c:v>5.9999999999999997E-15</c:v>
                </c:pt>
                <c:pt idx="71">
                  <c:v>5.5000000000000002E-15</c:v>
                </c:pt>
                <c:pt idx="72">
                  <c:v>5E-15</c:v>
                </c:pt>
                <c:pt idx="73">
                  <c:v>4.4999999999999998E-15</c:v>
                </c:pt>
                <c:pt idx="74">
                  <c:v>4.0000000000000003E-15</c:v>
                </c:pt>
                <c:pt idx="75">
                  <c:v>3.5000000000000001E-15</c:v>
                </c:pt>
                <c:pt idx="76">
                  <c:v>2.9999999999999998E-15</c:v>
                </c:pt>
                <c:pt idx="77">
                  <c:v>2.5E-15</c:v>
                </c:pt>
                <c:pt idx="78">
                  <c:v>2.0000000000000002E-15</c:v>
                </c:pt>
                <c:pt idx="79">
                  <c:v>1.4999999999999999E-15</c:v>
                </c:pt>
                <c:pt idx="80">
                  <c:v>1.0000000000000001E-15</c:v>
                </c:pt>
                <c:pt idx="81">
                  <c:v>9.5000000000000005E-16</c:v>
                </c:pt>
                <c:pt idx="82">
                  <c:v>9.0000000000000003E-16</c:v>
                </c:pt>
                <c:pt idx="83">
                  <c:v>8.5000000000000001E-16</c:v>
                </c:pt>
                <c:pt idx="84">
                  <c:v>7.9999999999999998E-16</c:v>
                </c:pt>
                <c:pt idx="85">
                  <c:v>7.4999999999999996E-16</c:v>
                </c:pt>
                <c:pt idx="86">
                  <c:v>7.0000000000000003E-16</c:v>
                </c:pt>
                <c:pt idx="87">
                  <c:v>6.5000000000000001E-16</c:v>
                </c:pt>
                <c:pt idx="88">
                  <c:v>5.9999999999999999E-16</c:v>
                </c:pt>
                <c:pt idx="89">
                  <c:v>5.4999999999999996E-16</c:v>
                </c:pt>
                <c:pt idx="90">
                  <c:v>5.0000000000000004E-16</c:v>
                </c:pt>
                <c:pt idx="91">
                  <c:v>4.5000000000000002E-16</c:v>
                </c:pt>
                <c:pt idx="92">
                  <c:v>3.9999999999999999E-16</c:v>
                </c:pt>
                <c:pt idx="93">
                  <c:v>3.5000000000000002E-16</c:v>
                </c:pt>
                <c:pt idx="94">
                  <c:v>2.9999999999999999E-16</c:v>
                </c:pt>
                <c:pt idx="95">
                  <c:v>2.5000000000000002E-16</c:v>
                </c:pt>
                <c:pt idx="96">
                  <c:v>2E-16</c:v>
                </c:pt>
                <c:pt idx="97">
                  <c:v>1.5E-16</c:v>
                </c:pt>
                <c:pt idx="98">
                  <c:v>9.9999999999999998E-17</c:v>
                </c:pt>
                <c:pt idx="99">
                  <c:v>9.5000000000000003E-17</c:v>
                </c:pt>
                <c:pt idx="100">
                  <c:v>8.9999999999999996E-17</c:v>
                </c:pt>
                <c:pt idx="101">
                  <c:v>8.5000000000000001E-17</c:v>
                </c:pt>
                <c:pt idx="102">
                  <c:v>8.0000000000000006E-17</c:v>
                </c:pt>
                <c:pt idx="103">
                  <c:v>7.4999999999999998E-17</c:v>
                </c:pt>
                <c:pt idx="104">
                  <c:v>7.0000000000000003E-17</c:v>
                </c:pt>
                <c:pt idx="105">
                  <c:v>6.4999999999999996E-17</c:v>
                </c:pt>
                <c:pt idx="106">
                  <c:v>6.0000000000000001E-17</c:v>
                </c:pt>
                <c:pt idx="107">
                  <c:v>5.5E-17</c:v>
                </c:pt>
                <c:pt idx="108">
                  <c:v>4.9999999999999999E-17</c:v>
                </c:pt>
                <c:pt idx="109">
                  <c:v>4.4999999999999998E-17</c:v>
                </c:pt>
                <c:pt idx="110">
                  <c:v>4.0000000000000003E-17</c:v>
                </c:pt>
                <c:pt idx="111">
                  <c:v>3.5000000000000002E-17</c:v>
                </c:pt>
                <c:pt idx="112">
                  <c:v>3.0000000000000001E-17</c:v>
                </c:pt>
                <c:pt idx="113">
                  <c:v>2.4999999999999999E-17</c:v>
                </c:pt>
                <c:pt idx="114">
                  <c:v>2.0000000000000001E-17</c:v>
                </c:pt>
                <c:pt idx="115">
                  <c:v>1.5E-17</c:v>
                </c:pt>
                <c:pt idx="116">
                  <c:v>1.0000000000000001E-17</c:v>
                </c:pt>
                <c:pt idx="117">
                  <c:v>9.5000000000000003E-18</c:v>
                </c:pt>
                <c:pt idx="118">
                  <c:v>8.9999999999999999E-18</c:v>
                </c:pt>
                <c:pt idx="119">
                  <c:v>8.4999999999999995E-18</c:v>
                </c:pt>
                <c:pt idx="120">
                  <c:v>8.0000000000000006E-18</c:v>
                </c:pt>
                <c:pt idx="121">
                  <c:v>7.5000000000000002E-18</c:v>
                </c:pt>
                <c:pt idx="122">
                  <c:v>6.9999999999999997E-18</c:v>
                </c:pt>
                <c:pt idx="123">
                  <c:v>6.5000000000000001E-18</c:v>
                </c:pt>
                <c:pt idx="124">
                  <c:v>5.9999999999999997E-18</c:v>
                </c:pt>
                <c:pt idx="125">
                  <c:v>5.5E-18</c:v>
                </c:pt>
                <c:pt idx="126">
                  <c:v>5.0000000000000004E-18</c:v>
                </c:pt>
                <c:pt idx="127">
                  <c:v>4.4999999999999999E-18</c:v>
                </c:pt>
                <c:pt idx="128">
                  <c:v>4.0000000000000003E-18</c:v>
                </c:pt>
                <c:pt idx="129">
                  <c:v>3.4999999999999999E-18</c:v>
                </c:pt>
                <c:pt idx="130">
                  <c:v>2.9999999999999998E-18</c:v>
                </c:pt>
                <c:pt idx="131">
                  <c:v>2.5000000000000002E-18</c:v>
                </c:pt>
                <c:pt idx="132">
                  <c:v>2.0000000000000001E-18</c:v>
                </c:pt>
                <c:pt idx="133">
                  <c:v>1.4999999999999999E-18</c:v>
                </c:pt>
                <c:pt idx="134">
                  <c:v>9.9999999999999892E-19</c:v>
                </c:pt>
                <c:pt idx="135">
                  <c:v>9.4999999999999995E-19</c:v>
                </c:pt>
                <c:pt idx="136">
                  <c:v>9.0000000000000003E-19</c:v>
                </c:pt>
                <c:pt idx="137">
                  <c:v>8.5E-19</c:v>
                </c:pt>
                <c:pt idx="138">
                  <c:v>7.9999999999999998E-19</c:v>
                </c:pt>
                <c:pt idx="139">
                  <c:v>7.4999999999999996E-19</c:v>
                </c:pt>
                <c:pt idx="140">
                  <c:v>7.0000000000000003E-19</c:v>
                </c:pt>
                <c:pt idx="141">
                  <c:v>6.5000000000000001E-19</c:v>
                </c:pt>
                <c:pt idx="142">
                  <c:v>6.0000000000000104E-19</c:v>
                </c:pt>
                <c:pt idx="143">
                  <c:v>5.5000000000000102E-19</c:v>
                </c:pt>
                <c:pt idx="144">
                  <c:v>5.00000000000001E-19</c:v>
                </c:pt>
                <c:pt idx="145">
                  <c:v>4.5000000000000098E-19</c:v>
                </c:pt>
                <c:pt idx="146">
                  <c:v>4.00000000000001E-19</c:v>
                </c:pt>
                <c:pt idx="147">
                  <c:v>3.5000000000000098E-19</c:v>
                </c:pt>
                <c:pt idx="148">
                  <c:v>3.00000000000001E-19</c:v>
                </c:pt>
                <c:pt idx="149">
                  <c:v>2.5000000000000098E-19</c:v>
                </c:pt>
                <c:pt idx="150">
                  <c:v>2.0000000000000101E-19</c:v>
                </c:pt>
                <c:pt idx="151">
                  <c:v>1.5000000000000101E-19</c:v>
                </c:pt>
                <c:pt idx="152">
                  <c:v>1.00000000000001E-19</c:v>
                </c:pt>
                <c:pt idx="153">
                  <c:v>9.5E-20</c:v>
                </c:pt>
                <c:pt idx="154">
                  <c:v>9.0000000000000003E-20</c:v>
                </c:pt>
                <c:pt idx="155">
                  <c:v>8.5000000000000005E-20</c:v>
                </c:pt>
                <c:pt idx="156">
                  <c:v>7.9999999999999996E-20</c:v>
                </c:pt>
                <c:pt idx="157">
                  <c:v>7.4999999999999998E-20</c:v>
                </c:pt>
                <c:pt idx="158">
                  <c:v>7.0000000000000001E-20</c:v>
                </c:pt>
                <c:pt idx="159">
                  <c:v>6.5000000000000003E-20</c:v>
                </c:pt>
                <c:pt idx="160">
                  <c:v>6.0000000000000006E-20</c:v>
                </c:pt>
                <c:pt idx="161">
                  <c:v>5.4999999999999996E-20</c:v>
                </c:pt>
                <c:pt idx="162">
                  <c:v>4.9999999999999999E-20</c:v>
                </c:pt>
                <c:pt idx="163">
                  <c:v>4.5000000000000001E-20</c:v>
                </c:pt>
                <c:pt idx="164">
                  <c:v>3.9999999999999998E-20</c:v>
                </c:pt>
                <c:pt idx="165">
                  <c:v>3.5E-20</c:v>
                </c:pt>
                <c:pt idx="166">
                  <c:v>3.0000000000000003E-20</c:v>
                </c:pt>
                <c:pt idx="167">
                  <c:v>2.4999999999999999E-20</c:v>
                </c:pt>
                <c:pt idx="168">
                  <c:v>1.9999999999999999E-20</c:v>
                </c:pt>
                <c:pt idx="169">
                  <c:v>1.5000000000000001E-20</c:v>
                </c:pt>
                <c:pt idx="170">
                  <c:v>9.9999999999999904E-21</c:v>
                </c:pt>
              </c:numCache>
            </c:numRef>
          </c:xVal>
          <c:yVal>
            <c:numRef>
              <c:f>'WSO-UV_UVSPEX_50h'!$G$20:$G$190</c:f>
              <c:numCache>
                <c:formatCode>0.00E+00</c:formatCode>
                <c:ptCount val="171"/>
                <c:pt idx="0">
                  <c:v>13727.730258609236</c:v>
                </c:pt>
                <c:pt idx="1">
                  <c:v>13023.222811804366</c:v>
                </c:pt>
                <c:pt idx="2">
                  <c:v>12278.358472510292</c:v>
                </c:pt>
                <c:pt idx="3">
                  <c:v>11485.288032206197</c:v>
                </c:pt>
                <c:pt idx="4">
                  <c:v>10633.230724035673</c:v>
                </c:pt>
                <c:pt idx="5">
                  <c:v>9706.6652435175547</c:v>
                </c:pt>
                <c:pt idx="6">
                  <c:v>8681.7685291426023</c:v>
                </c:pt>
                <c:pt idx="7">
                  <c:v>7518.4346566962431</c:v>
                </c:pt>
                <c:pt idx="8">
                  <c:v>6138.4538121619853</c:v>
                </c:pt>
                <c:pt idx="9">
                  <c:v>5982.9750816752739</c:v>
                </c:pt>
                <c:pt idx="10">
                  <c:v>5823.3466729813999</c:v>
                </c:pt>
                <c:pt idx="11">
                  <c:v>5659.2174498983295</c:v>
                </c:pt>
                <c:pt idx="12">
                  <c:v>5490.1837717239559</c:v>
                </c:pt>
                <c:pt idx="13">
                  <c:v>5315.7777969018225</c:v>
                </c:pt>
                <c:pt idx="14">
                  <c:v>5135.4522068934812</c:v>
                </c:pt>
                <c:pt idx="15">
                  <c:v>4948.5599124723212</c:v>
                </c:pt>
                <c:pt idx="16">
                  <c:v>4754.326567858694</c:v>
                </c:pt>
                <c:pt idx="17">
                  <c:v>4551.8125079477031</c:v>
                </c:pt>
                <c:pt idx="18">
                  <c:v>4339.8586629567699</c:v>
                </c:pt>
                <c:pt idx="19">
                  <c:v>4117.0073442213416</c:v>
                </c:pt>
                <c:pt idx="20">
                  <c:v>3881.381962379392</c:v>
                </c:pt>
                <c:pt idx="21">
                  <c:v>3630.4962057353378</c:v>
                </c:pt>
                <c:pt idx="22">
                  <c:v>3360.9343799562844</c:v>
                </c:pt>
                <c:pt idx="23">
                  <c:v>3067.7773426068447</c:v>
                </c:pt>
                <c:pt idx="24">
                  <c:v>2743.471702885568</c:v>
                </c:pt>
                <c:pt idx="25">
                  <c:v>2375.2933775037377</c:v>
                </c:pt>
                <c:pt idx="26">
                  <c:v>1938.4030726552182</c:v>
                </c:pt>
                <c:pt idx="27">
                  <c:v>1889.1654170042016</c:v>
                </c:pt>
                <c:pt idx="28">
                  <c:v>1838.6097166962199</c:v>
                </c:pt>
                <c:pt idx="29">
                  <c:v>1786.6240966616044</c:v>
                </c:pt>
                <c:pt idx="30">
                  <c:v>1733.0798994104257</c:v>
                </c:pt>
                <c:pt idx="31">
                  <c:v>1677.8279338142843</c:v>
                </c:pt>
                <c:pt idx="32">
                  <c:v>1620.6935717163994</c:v>
                </c:pt>
                <c:pt idx="33">
                  <c:v>1561.4702278857683</c:v>
                </c:pt>
                <c:pt idx="34">
                  <c:v>1499.910519866633</c:v>
                </c:pt>
                <c:pt idx="35">
                  <c:v>1435.7140111378426</c:v>
                </c:pt>
                <c:pt idx="36">
                  <c:v>1368.5097702293715</c:v>
                </c:pt>
                <c:pt idx="37">
                  <c:v>1297.8307844565313</c:v>
                </c:pt>
                <c:pt idx="38">
                  <c:v>1223.075032734195</c:v>
                </c:pt>
                <c:pt idx="39">
                  <c:v>1143.443583285858</c:v>
                </c:pt>
                <c:pt idx="40">
                  <c:v>1057.8365933830087</c:v>
                </c:pt>
                <c:pt idx="41">
                  <c:v>964.66584698109693</c:v>
                </c:pt>
                <c:pt idx="42">
                  <c:v>861.48368689675544</c:v>
                </c:pt>
                <c:pt idx="43">
                  <c:v>744.14505237113451</c:v>
                </c:pt>
                <c:pt idx="44">
                  <c:v>604.48979314806718</c:v>
                </c:pt>
                <c:pt idx="45">
                  <c:v>588.71058748487974</c:v>
                </c:pt>
                <c:pt idx="46">
                  <c:v>572.49837266929103</c:v>
                </c:pt>
                <c:pt idx="47">
                  <c:v>555.81556336844426</c:v>
                </c:pt>
                <c:pt idx="48">
                  <c:v>538.61882270204637</c:v>
                </c:pt>
                <c:pt idx="49">
                  <c:v>520.85775412739565</c:v>
                </c:pt>
                <c:pt idx="50">
                  <c:v>502.47318558270183</c:v>
                </c:pt>
                <c:pt idx="51">
                  <c:v>483.39487954230839</c:v>
                </c:pt>
                <c:pt idx="52">
                  <c:v>463.5384162937919</c:v>
                </c:pt>
                <c:pt idx="53">
                  <c:v>442.80085538892263</c:v>
                </c:pt>
                <c:pt idx="54">
                  <c:v>421.05453691546489</c:v>
                </c:pt>
                <c:pt idx="55">
                  <c:v>398.13795072181006</c:v>
                </c:pt>
                <c:pt idx="56">
                  <c:v>373.84179065406948</c:v>
                </c:pt>
                <c:pt idx="57">
                  <c:v>347.8867026295041</c:v>
                </c:pt>
                <c:pt idx="58">
                  <c:v>319.88581373713475</c:v>
                </c:pt>
                <c:pt idx="59">
                  <c:v>289.27718469869228</c:v>
                </c:pt>
                <c:pt idx="60">
                  <c:v>255.19069622030563</c:v>
                </c:pt>
                <c:pt idx="61">
                  <c:v>216.15166096328383</c:v>
                </c:pt>
                <c:pt idx="62">
                  <c:v>169.29123444141237</c:v>
                </c:pt>
                <c:pt idx="63">
                  <c:v>163.97381540745093</c:v>
                </c:pt>
                <c:pt idx="64">
                  <c:v>158.50729099059174</c:v>
                </c:pt>
                <c:pt idx="65">
                  <c:v>152.87956535103078</c:v>
                </c:pt>
                <c:pt idx="66">
                  <c:v>147.07691353270408</c:v>
                </c:pt>
                <c:pt idx="67">
                  <c:v>141.08367006452457</c:v>
                </c:pt>
                <c:pt idx="68">
                  <c:v>134.88183911490961</c:v>
                </c:pt>
                <c:pt idx="69">
                  <c:v>128.45060124133542</c:v>
                </c:pt>
                <c:pt idx="70">
                  <c:v>121.76568201726501</c:v>
                </c:pt>
                <c:pt idx="71">
                  <c:v>114.79853345445603</c:v>
                </c:pt>
                <c:pt idx="72">
                  <c:v>107.51525758058517</c:v>
                </c:pt>
                <c:pt idx="73">
                  <c:v>99.875168472744136</c:v>
                </c:pt>
                <c:pt idx="74">
                  <c:v>91.828837120428346</c:v>
                </c:pt>
                <c:pt idx="75">
                  <c:v>83.315379710127544</c:v>
                </c:pt>
                <c:pt idx="76">
                  <c:v>74.258610592690246</c:v>
                </c:pt>
                <c:pt idx="77">
                  <c:v>64.561441373188572</c:v>
                </c:pt>
                <c:pt idx="78">
                  <c:v>54.097478151663935</c:v>
                </c:pt>
                <c:pt idx="79">
                  <c:v>42.697964025110998</c:v>
                </c:pt>
                <c:pt idx="80">
                  <c:v>30.130621693879128</c:v>
                </c:pt>
                <c:pt idx="81">
                  <c:v>28.798021808689615</c:v>
                </c:pt>
                <c:pt idx="82">
                  <c:v>27.450154095993643</c:v>
                </c:pt>
                <c:pt idx="83">
                  <c:v>26.086601194449216</c:v>
                </c:pt>
                <c:pt idx="84">
                  <c:v>24.706928416935053</c:v>
                </c:pt>
                <c:pt idx="85">
                  <c:v>23.310682789696159</c:v>
                </c:pt>
                <c:pt idx="86">
                  <c:v>21.897392024697595</c:v>
                </c:pt>
                <c:pt idx="87">
                  <c:v>20.46656341958894</c:v>
                </c:pt>
                <c:pt idx="88">
                  <c:v>19.017682679131042</c:v>
                </c:pt>
                <c:pt idx="89">
                  <c:v>17.550212651323545</c:v>
                </c:pt>
                <c:pt idx="90">
                  <c:v>16.063591970787929</c:v>
                </c:pt>
                <c:pt idx="91">
                  <c:v>14.557233601197375</c:v>
                </c:pt>
                <c:pt idx="92">
                  <c:v>13.03052326769142</c:v>
                </c:pt>
                <c:pt idx="93">
                  <c:v>11.482817769257295</c:v>
                </c:pt>
                <c:pt idx="94">
                  <c:v>9.913443159988093</c:v>
                </c:pt>
                <c:pt idx="95">
                  <c:v>8.321692786923256</c:v>
                </c:pt>
                <c:pt idx="96">
                  <c:v>6.7068251708221185</c:v>
                </c:pt>
                <c:pt idx="97">
                  <c:v>5.0680617146935134</c:v>
                </c:pt>
                <c:pt idx="98">
                  <c:v>3.404584223180108</c:v>
                </c:pt>
                <c:pt idx="99">
                  <c:v>3.2368444550816147</c:v>
                </c:pt>
                <c:pt idx="100">
                  <c:v>3.0688480944812162</c:v>
                </c:pt>
                <c:pt idx="101">
                  <c:v>2.9005942522412611</c:v>
                </c:pt>
                <c:pt idx="102">
                  <c:v>2.732082034646576</c:v>
                </c:pt>
                <c:pt idx="103">
                  <c:v>2.5633105433734591</c:v>
                </c:pt>
                <c:pt idx="104">
                  <c:v>2.3942788754584399</c:v>
                </c:pt>
                <c:pt idx="105">
                  <c:v>2.2249861232667487</c:v>
                </c:pt>
                <c:pt idx="106">
                  <c:v>2.055431374460543</c:v>
                </c:pt>
                <c:pt idx="107">
                  <c:v>1.8856137119668599</c:v>
                </c:pt>
                <c:pt idx="108">
                  <c:v>1.7155322139452911</c:v>
                </c:pt>
                <c:pt idx="109">
                  <c:v>1.5451859537553945</c:v>
                </c:pt>
                <c:pt idx="110">
                  <c:v>1.3745739999238298</c:v>
                </c:pt>
                <c:pt idx="111">
                  <c:v>1.2036954161112083</c:v>
                </c:pt>
                <c:pt idx="112">
                  <c:v>1.0325492610786706</c:v>
                </c:pt>
                <c:pt idx="113">
                  <c:v>0.86113458865417536</c:v>
                </c:pt>
                <c:pt idx="114">
                  <c:v>0.68945044769849961</c:v>
                </c:pt>
                <c:pt idx="115">
                  <c:v>0.51749588207095487</c:v>
                </c:pt>
                <c:pt idx="116">
                  <c:v>0.34526993059480887</c:v>
                </c:pt>
                <c:pt idx="117">
                  <c:v>0.32803237206910152</c:v>
                </c:pt>
                <c:pt idx="118">
                  <c:v>0.31079208905759714</c:v>
                </c:pt>
                <c:pt idx="119">
                  <c:v>0.29354908059073703</c:v>
                </c:pt>
                <c:pt idx="120">
                  <c:v>0.27630334569845189</c:v>
                </c:pt>
                <c:pt idx="121">
                  <c:v>0.25905488341016042</c:v>
                </c:pt>
                <c:pt idx="122">
                  <c:v>0.24180369275476962</c:v>
                </c:pt>
                <c:pt idx="123">
                  <c:v>0.22454977276067364</c:v>
                </c:pt>
                <c:pt idx="124">
                  <c:v>0.20729312245575426</c:v>
                </c:pt>
                <c:pt idx="125">
                  <c:v>0.19003374086738015</c:v>
                </c:pt>
                <c:pt idx="126">
                  <c:v>0.17277162702240642</c:v>
                </c:pt>
                <c:pt idx="127">
                  <c:v>0.15550677994717432</c:v>
                </c:pt>
                <c:pt idx="128">
                  <c:v>0.13823919866751117</c:v>
                </c:pt>
                <c:pt idx="129">
                  <c:v>0.12096888220872966</c:v>
                </c:pt>
                <c:pt idx="130">
                  <c:v>0.10369582959562759</c:v>
                </c:pt>
                <c:pt idx="131">
                  <c:v>8.6420039852487696E-2</c:v>
                </c:pt>
                <c:pt idx="132">
                  <c:v>6.9141512003076819E-2</c:v>
                </c:pt>
                <c:pt idx="133">
                  <c:v>5.1860245070646183E-2</c:v>
                </c:pt>
                <c:pt idx="134">
                  <c:v>3.4576238077930539E-2</c:v>
                </c:pt>
                <c:pt idx="135">
                  <c:v>3.2847686637703218E-2</c:v>
                </c:pt>
                <c:pt idx="136">
                  <c:v>3.111910778611756E-2</c:v>
                </c:pt>
                <c:pt idx="137">
                  <c:v>2.9390501522195467E-2</c:v>
                </c:pt>
                <c:pt idx="138">
                  <c:v>2.7661867844958776E-2</c:v>
                </c:pt>
                <c:pt idx="139">
                  <c:v>2.5933206753429271E-2</c:v>
                </c:pt>
                <c:pt idx="140">
                  <c:v>2.4204518246628677E-2</c:v>
                </c:pt>
                <c:pt idx="141">
                  <c:v>2.2475802323578674E-2</c:v>
                </c:pt>
                <c:pt idx="142">
                  <c:v>2.0747058983300908E-2</c:v>
                </c:pt>
                <c:pt idx="143">
                  <c:v>1.9018288224816892E-2</c:v>
                </c:pt>
                <c:pt idx="144">
                  <c:v>1.7289490047148172E-2</c:v>
                </c:pt>
                <c:pt idx="145">
                  <c:v>1.556066444931623E-2</c:v>
                </c:pt>
                <c:pt idx="146">
                  <c:v>1.3831811430342464E-2</c:v>
                </c:pt>
                <c:pt idx="147">
                  <c:v>1.2102930989248259E-2</c:v>
                </c:pt>
                <c:pt idx="148">
                  <c:v>1.0374023125054917E-2</c:v>
                </c:pt>
                <c:pt idx="149">
                  <c:v>8.6450878367837006E-3</c:v>
                </c:pt>
                <c:pt idx="150">
                  <c:v>6.9161251234558189E-3</c:v>
                </c:pt>
                <c:pt idx="151">
                  <c:v>5.1871349840924329E-3</c:v>
                </c:pt>
                <c:pt idx="152">
                  <c:v>3.458117417714643E-3</c:v>
                </c:pt>
                <c:pt idx="153">
                  <c:v>3.28521415255335E-3</c:v>
                </c:pt>
                <c:pt idx="154">
                  <c:v>3.1123106131111774E-3</c:v>
                </c:pt>
                <c:pt idx="155">
                  <c:v>2.9394067993871141E-3</c:v>
                </c:pt>
                <c:pt idx="156">
                  <c:v>2.766502711380181E-3</c:v>
                </c:pt>
                <c:pt idx="157">
                  <c:v>2.5935983490893975E-3</c:v>
                </c:pt>
                <c:pt idx="158">
                  <c:v>2.4206937125137856E-3</c:v>
                </c:pt>
                <c:pt idx="159">
                  <c:v>2.2477888016523674E-3</c:v>
                </c:pt>
                <c:pt idx="160">
                  <c:v>2.074883616504162E-3</c:v>
                </c:pt>
                <c:pt idx="161">
                  <c:v>1.9019781570681917E-3</c:v>
                </c:pt>
                <c:pt idx="162">
                  <c:v>1.7290724233434765E-3</c:v>
                </c:pt>
                <c:pt idx="163">
                  <c:v>1.556166415329038E-3</c:v>
                </c:pt>
                <c:pt idx="164">
                  <c:v>1.3832601330238973E-3</c:v>
                </c:pt>
                <c:pt idx="165">
                  <c:v>1.2103535764270751E-3</c:v>
                </c:pt>
                <c:pt idx="166">
                  <c:v>1.0374467455375926E-3</c:v>
                </c:pt>
                <c:pt idx="167">
                  <c:v>8.6453964035447051E-4</c:v>
                </c:pt>
                <c:pt idx="168">
                  <c:v>6.916322608767298E-4</c:v>
                </c:pt>
                <c:pt idx="169">
                  <c:v>5.1872460710339135E-4</c:v>
                </c:pt>
                <c:pt idx="170">
                  <c:v>3.4581667903347586E-4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2-4054-BDA6-6E795436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8336"/>
        <c:axId val="754799320"/>
      </c:scatterChart>
      <c:valAx>
        <c:axId val="754798336"/>
        <c:scaling>
          <c:logBase val="10"/>
          <c:orientation val="minMax"/>
          <c:max val="1.0000000000000006E-11"/>
          <c:min val="1.0000000000000011E-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9320"/>
        <c:crossesAt val="0.1"/>
        <c:crossBetween val="midCat"/>
      </c:valAx>
      <c:valAx>
        <c:axId val="754799320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798336"/>
        <c:crossesAt val="1.0000000000000011E-1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'WSO-UV_normal_Ly-alpha_bg'!$A$33:$A$532</c:f>
              <c:numCache>
                <c:formatCode>General</c:formatCode>
                <c:ptCount val="5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'WSO-UV_normal_Ly-alpha_bg'!$C$33:$C$532</c:f>
              <c:numCache>
                <c:formatCode>0.00E+00</c:formatCode>
                <c:ptCount val="500"/>
                <c:pt idx="0">
                  <c:v>1046.4213818397291</c:v>
                </c:pt>
                <c:pt idx="1">
                  <c:v>2092.8427636794581</c:v>
                </c:pt>
                <c:pt idx="2">
                  <c:v>3139.264145519187</c:v>
                </c:pt>
                <c:pt idx="3">
                  <c:v>4185.6855273589163</c:v>
                </c:pt>
                <c:pt idx="4">
                  <c:v>5232.1069091986446</c:v>
                </c:pt>
                <c:pt idx="5">
                  <c:v>6278.5282910383739</c:v>
                </c:pt>
                <c:pt idx="6">
                  <c:v>7324.9496728781032</c:v>
                </c:pt>
                <c:pt idx="7">
                  <c:v>8371.3710547178325</c:v>
                </c:pt>
                <c:pt idx="8">
                  <c:v>9417.79243655756</c:v>
                </c:pt>
                <c:pt idx="9">
                  <c:v>10464.213818397289</c:v>
                </c:pt>
                <c:pt idx="10">
                  <c:v>11510.635200237019</c:v>
                </c:pt>
                <c:pt idx="11">
                  <c:v>12557.056582076748</c:v>
                </c:pt>
                <c:pt idx="12">
                  <c:v>13603.477963916481</c:v>
                </c:pt>
                <c:pt idx="13">
                  <c:v>14649.899345756206</c:v>
                </c:pt>
                <c:pt idx="14">
                  <c:v>15696.320727595936</c:v>
                </c:pt>
                <c:pt idx="15">
                  <c:v>16742.742109435665</c:v>
                </c:pt>
                <c:pt idx="16">
                  <c:v>17789.163491275391</c:v>
                </c:pt>
                <c:pt idx="17">
                  <c:v>18835.58487311512</c:v>
                </c:pt>
                <c:pt idx="18">
                  <c:v>19882.006254954849</c:v>
                </c:pt>
                <c:pt idx="19">
                  <c:v>20928.427636794579</c:v>
                </c:pt>
                <c:pt idx="20">
                  <c:v>21974.849018634312</c:v>
                </c:pt>
                <c:pt idx="21">
                  <c:v>23021.270400474037</c:v>
                </c:pt>
                <c:pt idx="22">
                  <c:v>24067.69178231377</c:v>
                </c:pt>
                <c:pt idx="23">
                  <c:v>25114.113164153496</c:v>
                </c:pt>
                <c:pt idx="24">
                  <c:v>26160.534545993225</c:v>
                </c:pt>
                <c:pt idx="25">
                  <c:v>27206.955927832962</c:v>
                </c:pt>
                <c:pt idx="26">
                  <c:v>28253.377309672684</c:v>
                </c:pt>
                <c:pt idx="27">
                  <c:v>29299.798691512413</c:v>
                </c:pt>
                <c:pt idx="28">
                  <c:v>30346.220073352139</c:v>
                </c:pt>
                <c:pt idx="29">
                  <c:v>31392.641455191872</c:v>
                </c:pt>
                <c:pt idx="30">
                  <c:v>32439.062837031608</c:v>
                </c:pt>
                <c:pt idx="31">
                  <c:v>33485.48421887133</c:v>
                </c:pt>
                <c:pt idx="32">
                  <c:v>34531.905600711056</c:v>
                </c:pt>
                <c:pt idx="33">
                  <c:v>35578.326982550781</c:v>
                </c:pt>
                <c:pt idx="34">
                  <c:v>36624.748364390514</c:v>
                </c:pt>
                <c:pt idx="35">
                  <c:v>37671.16974623024</c:v>
                </c:pt>
                <c:pt idx="36">
                  <c:v>38717.59112806998</c:v>
                </c:pt>
                <c:pt idx="37">
                  <c:v>39764.012509909699</c:v>
                </c:pt>
                <c:pt idx="38">
                  <c:v>40810.433891749431</c:v>
                </c:pt>
                <c:pt idx="39">
                  <c:v>41856.855273589157</c:v>
                </c:pt>
                <c:pt idx="40">
                  <c:v>42903.27665542889</c:v>
                </c:pt>
                <c:pt idx="41">
                  <c:v>43949.698037268623</c:v>
                </c:pt>
                <c:pt idx="42">
                  <c:v>44996.119419108341</c:v>
                </c:pt>
                <c:pt idx="43">
                  <c:v>46042.540800948074</c:v>
                </c:pt>
                <c:pt idx="44">
                  <c:v>47088.962182787807</c:v>
                </c:pt>
                <c:pt idx="45">
                  <c:v>48135.38356462754</c:v>
                </c:pt>
                <c:pt idx="46">
                  <c:v>49181.804946467273</c:v>
                </c:pt>
                <c:pt idx="47">
                  <c:v>50228.226328306991</c:v>
                </c:pt>
                <c:pt idx="48">
                  <c:v>51274.647710146717</c:v>
                </c:pt>
                <c:pt idx="49">
                  <c:v>52321.06909198645</c:v>
                </c:pt>
                <c:pt idx="50">
                  <c:v>53367.49047382619</c:v>
                </c:pt>
                <c:pt idx="51">
                  <c:v>54413.911855665923</c:v>
                </c:pt>
                <c:pt idx="52">
                  <c:v>55460.333237505634</c:v>
                </c:pt>
                <c:pt idx="53">
                  <c:v>56506.754619345367</c:v>
                </c:pt>
                <c:pt idx="54">
                  <c:v>57553.176001185093</c:v>
                </c:pt>
                <c:pt idx="55">
                  <c:v>58599.597383024826</c:v>
                </c:pt>
                <c:pt idx="56">
                  <c:v>59646.018764864559</c:v>
                </c:pt>
                <c:pt idx="57">
                  <c:v>60692.440146704277</c:v>
                </c:pt>
                <c:pt idx="58">
                  <c:v>61738.861528544003</c:v>
                </c:pt>
                <c:pt idx="59">
                  <c:v>62785.282910383743</c:v>
                </c:pt>
                <c:pt idx="60">
                  <c:v>63831.704292223469</c:v>
                </c:pt>
                <c:pt idx="61">
                  <c:v>64878.125674063216</c:v>
                </c:pt>
                <c:pt idx="62">
                  <c:v>65924.547055902935</c:v>
                </c:pt>
                <c:pt idx="63">
                  <c:v>66970.96843774266</c:v>
                </c:pt>
                <c:pt idx="64">
                  <c:v>68017.389819582386</c:v>
                </c:pt>
                <c:pt idx="65">
                  <c:v>69063.811201422111</c:v>
                </c:pt>
                <c:pt idx="66">
                  <c:v>70110.232583261852</c:v>
                </c:pt>
                <c:pt idx="67">
                  <c:v>71156.653965101563</c:v>
                </c:pt>
                <c:pt idx="68">
                  <c:v>72203.075346941288</c:v>
                </c:pt>
                <c:pt idx="69">
                  <c:v>73249.496728781029</c:v>
                </c:pt>
                <c:pt idx="70">
                  <c:v>74295.918110620754</c:v>
                </c:pt>
                <c:pt idx="71">
                  <c:v>75342.33949246048</c:v>
                </c:pt>
                <c:pt idx="72">
                  <c:v>76388.76087430022</c:v>
                </c:pt>
                <c:pt idx="73">
                  <c:v>77435.18225613996</c:v>
                </c:pt>
                <c:pt idx="74">
                  <c:v>78481.603637979686</c:v>
                </c:pt>
                <c:pt idx="75">
                  <c:v>79528.025019819397</c:v>
                </c:pt>
                <c:pt idx="76">
                  <c:v>80574.446401659137</c:v>
                </c:pt>
                <c:pt idx="77">
                  <c:v>81620.867783498863</c:v>
                </c:pt>
                <c:pt idx="78">
                  <c:v>82667.289165338589</c:v>
                </c:pt>
                <c:pt idx="79">
                  <c:v>83713.710547178314</c:v>
                </c:pt>
                <c:pt idx="80">
                  <c:v>84760.131929018055</c:v>
                </c:pt>
                <c:pt idx="81">
                  <c:v>85806.55331085778</c:v>
                </c:pt>
                <c:pt idx="82">
                  <c:v>86852.97469269752</c:v>
                </c:pt>
                <c:pt idx="83">
                  <c:v>87899.396074537246</c:v>
                </c:pt>
                <c:pt idx="84">
                  <c:v>88945.817456376986</c:v>
                </c:pt>
                <c:pt idx="85">
                  <c:v>89992.238838216683</c:v>
                </c:pt>
                <c:pt idx="86">
                  <c:v>91038.660220056423</c:v>
                </c:pt>
                <c:pt idx="87">
                  <c:v>92085.081601896149</c:v>
                </c:pt>
                <c:pt idx="88">
                  <c:v>93131.502983735889</c:v>
                </c:pt>
                <c:pt idx="89">
                  <c:v>94177.924365575615</c:v>
                </c:pt>
                <c:pt idx="90">
                  <c:v>95224.345747415355</c:v>
                </c:pt>
                <c:pt idx="91">
                  <c:v>96270.76712925508</c:v>
                </c:pt>
                <c:pt idx="92">
                  <c:v>97317.188511094821</c:v>
                </c:pt>
                <c:pt idx="93">
                  <c:v>98363.609892934546</c:v>
                </c:pt>
                <c:pt idx="94">
                  <c:v>99410.031274774257</c:v>
                </c:pt>
                <c:pt idx="95">
                  <c:v>100456.45265661398</c:v>
                </c:pt>
                <c:pt idx="96">
                  <c:v>101502.87403845371</c:v>
                </c:pt>
                <c:pt idx="97">
                  <c:v>102549.29542029343</c:v>
                </c:pt>
                <c:pt idx="98">
                  <c:v>103595.71680213316</c:v>
                </c:pt>
                <c:pt idx="99">
                  <c:v>104642.1381839729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8-48DB-8E9D-D7E29563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Geocorona [R]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 val="autoZero"/>
        <c:crossBetween val="midCat"/>
      </c:valAx>
      <c:valAx>
        <c:axId val="3917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Count rate [cps/cm2]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46870878300338"/>
          <c:y val="3.9869402279833946E-2"/>
          <c:w val="4.8743626539551027E-2"/>
          <c:h val="2.731264564252848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'WSO-UV_normal_Ly-alpha_bg'!$F$31:$G$31</c:f>
              <c:strCache>
                <c:ptCount val="1"/>
                <c:pt idx="0">
                  <c:v>Slit width = 20"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'WSO-UV_normal_Ly-alpha_bg'!$A$33:$A$272</c:f>
              <c:numCache>
                <c:formatCode>General</c:formatCode>
                <c:ptCount val="2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'WSO-UV_normal_Ly-alpha_bg'!$C$33:$C$272</c:f>
              <c:numCache>
                <c:formatCode>0.00E+00</c:formatCode>
                <c:ptCount val="240"/>
                <c:pt idx="0">
                  <c:v>1046.4213818397291</c:v>
                </c:pt>
                <c:pt idx="1">
                  <c:v>2092.8427636794581</c:v>
                </c:pt>
                <c:pt idx="2">
                  <c:v>3139.264145519187</c:v>
                </c:pt>
                <c:pt idx="3">
                  <c:v>4185.6855273589163</c:v>
                </c:pt>
                <c:pt idx="4">
                  <c:v>5232.1069091986446</c:v>
                </c:pt>
                <c:pt idx="5">
                  <c:v>6278.5282910383739</c:v>
                </c:pt>
                <c:pt idx="6">
                  <c:v>7324.9496728781032</c:v>
                </c:pt>
                <c:pt idx="7">
                  <c:v>8371.3710547178325</c:v>
                </c:pt>
                <c:pt idx="8">
                  <c:v>9417.79243655756</c:v>
                </c:pt>
                <c:pt idx="9">
                  <c:v>10464.213818397289</c:v>
                </c:pt>
                <c:pt idx="10">
                  <c:v>11510.635200237019</c:v>
                </c:pt>
                <c:pt idx="11">
                  <c:v>12557.056582076748</c:v>
                </c:pt>
                <c:pt idx="12">
                  <c:v>13603.477963916481</c:v>
                </c:pt>
                <c:pt idx="13">
                  <c:v>14649.899345756206</c:v>
                </c:pt>
                <c:pt idx="14">
                  <c:v>15696.320727595936</c:v>
                </c:pt>
                <c:pt idx="15">
                  <c:v>16742.742109435665</c:v>
                </c:pt>
                <c:pt idx="16">
                  <c:v>17789.163491275391</c:v>
                </c:pt>
                <c:pt idx="17">
                  <c:v>18835.58487311512</c:v>
                </c:pt>
                <c:pt idx="18">
                  <c:v>19882.006254954849</c:v>
                </c:pt>
                <c:pt idx="19">
                  <c:v>20928.427636794579</c:v>
                </c:pt>
                <c:pt idx="20">
                  <c:v>21974.849018634312</c:v>
                </c:pt>
                <c:pt idx="21">
                  <c:v>23021.270400474037</c:v>
                </c:pt>
                <c:pt idx="22">
                  <c:v>24067.69178231377</c:v>
                </c:pt>
                <c:pt idx="23">
                  <c:v>25114.113164153496</c:v>
                </c:pt>
                <c:pt idx="24">
                  <c:v>26160.534545993225</c:v>
                </c:pt>
                <c:pt idx="25">
                  <c:v>27206.955927832962</c:v>
                </c:pt>
                <c:pt idx="26">
                  <c:v>28253.377309672684</c:v>
                </c:pt>
                <c:pt idx="27">
                  <c:v>29299.798691512413</c:v>
                </c:pt>
                <c:pt idx="28">
                  <c:v>30346.220073352139</c:v>
                </c:pt>
                <c:pt idx="29">
                  <c:v>31392.641455191872</c:v>
                </c:pt>
                <c:pt idx="30">
                  <c:v>32439.062837031608</c:v>
                </c:pt>
                <c:pt idx="31">
                  <c:v>33485.48421887133</c:v>
                </c:pt>
                <c:pt idx="32">
                  <c:v>34531.905600711056</c:v>
                </c:pt>
                <c:pt idx="33">
                  <c:v>35578.326982550781</c:v>
                </c:pt>
                <c:pt idx="34">
                  <c:v>36624.748364390514</c:v>
                </c:pt>
                <c:pt idx="35">
                  <c:v>37671.16974623024</c:v>
                </c:pt>
                <c:pt idx="36">
                  <c:v>38717.59112806998</c:v>
                </c:pt>
                <c:pt idx="37">
                  <c:v>39764.012509909699</c:v>
                </c:pt>
                <c:pt idx="38">
                  <c:v>40810.433891749431</c:v>
                </c:pt>
                <c:pt idx="39">
                  <c:v>41856.855273589157</c:v>
                </c:pt>
                <c:pt idx="40">
                  <c:v>42903.27665542889</c:v>
                </c:pt>
                <c:pt idx="41">
                  <c:v>43949.698037268623</c:v>
                </c:pt>
                <c:pt idx="42">
                  <c:v>44996.119419108341</c:v>
                </c:pt>
                <c:pt idx="43">
                  <c:v>46042.540800948074</c:v>
                </c:pt>
                <c:pt idx="44">
                  <c:v>47088.962182787807</c:v>
                </c:pt>
                <c:pt idx="45">
                  <c:v>48135.38356462754</c:v>
                </c:pt>
                <c:pt idx="46">
                  <c:v>49181.804946467273</c:v>
                </c:pt>
                <c:pt idx="47">
                  <c:v>50228.226328306991</c:v>
                </c:pt>
                <c:pt idx="48">
                  <c:v>51274.647710146717</c:v>
                </c:pt>
                <c:pt idx="49">
                  <c:v>52321.06909198645</c:v>
                </c:pt>
                <c:pt idx="50">
                  <c:v>53367.49047382619</c:v>
                </c:pt>
                <c:pt idx="51">
                  <c:v>54413.911855665923</c:v>
                </c:pt>
                <c:pt idx="52">
                  <c:v>55460.333237505634</c:v>
                </c:pt>
                <c:pt idx="53">
                  <c:v>56506.754619345367</c:v>
                </c:pt>
                <c:pt idx="54">
                  <c:v>57553.176001185093</c:v>
                </c:pt>
                <c:pt idx="55">
                  <c:v>58599.597383024826</c:v>
                </c:pt>
                <c:pt idx="56">
                  <c:v>59646.018764864559</c:v>
                </c:pt>
                <c:pt idx="57">
                  <c:v>60692.440146704277</c:v>
                </c:pt>
                <c:pt idx="58">
                  <c:v>61738.861528544003</c:v>
                </c:pt>
                <c:pt idx="59">
                  <c:v>62785.282910383743</c:v>
                </c:pt>
                <c:pt idx="60">
                  <c:v>63831.704292223469</c:v>
                </c:pt>
                <c:pt idx="61">
                  <c:v>64878.125674063216</c:v>
                </c:pt>
                <c:pt idx="62">
                  <c:v>65924.547055902935</c:v>
                </c:pt>
                <c:pt idx="63">
                  <c:v>66970.96843774266</c:v>
                </c:pt>
                <c:pt idx="64">
                  <c:v>68017.389819582386</c:v>
                </c:pt>
                <c:pt idx="65">
                  <c:v>69063.811201422111</c:v>
                </c:pt>
                <c:pt idx="66">
                  <c:v>70110.232583261852</c:v>
                </c:pt>
                <c:pt idx="67">
                  <c:v>71156.653965101563</c:v>
                </c:pt>
                <c:pt idx="68">
                  <c:v>72203.075346941288</c:v>
                </c:pt>
                <c:pt idx="69">
                  <c:v>73249.496728781029</c:v>
                </c:pt>
                <c:pt idx="70">
                  <c:v>74295.918110620754</c:v>
                </c:pt>
                <c:pt idx="71">
                  <c:v>75342.33949246048</c:v>
                </c:pt>
                <c:pt idx="72">
                  <c:v>76388.76087430022</c:v>
                </c:pt>
                <c:pt idx="73">
                  <c:v>77435.18225613996</c:v>
                </c:pt>
                <c:pt idx="74">
                  <c:v>78481.603637979686</c:v>
                </c:pt>
                <c:pt idx="75">
                  <c:v>79528.025019819397</c:v>
                </c:pt>
                <c:pt idx="76">
                  <c:v>80574.446401659137</c:v>
                </c:pt>
                <c:pt idx="77">
                  <c:v>81620.867783498863</c:v>
                </c:pt>
                <c:pt idx="78">
                  <c:v>82667.289165338589</c:v>
                </c:pt>
                <c:pt idx="79">
                  <c:v>83713.710547178314</c:v>
                </c:pt>
                <c:pt idx="80">
                  <c:v>84760.131929018055</c:v>
                </c:pt>
                <c:pt idx="81">
                  <c:v>85806.55331085778</c:v>
                </c:pt>
                <c:pt idx="82">
                  <c:v>86852.97469269752</c:v>
                </c:pt>
                <c:pt idx="83">
                  <c:v>87899.396074537246</c:v>
                </c:pt>
                <c:pt idx="84">
                  <c:v>88945.817456376986</c:v>
                </c:pt>
                <c:pt idx="85">
                  <c:v>89992.238838216683</c:v>
                </c:pt>
                <c:pt idx="86">
                  <c:v>91038.660220056423</c:v>
                </c:pt>
                <c:pt idx="87">
                  <c:v>92085.081601896149</c:v>
                </c:pt>
                <c:pt idx="88">
                  <c:v>93131.502983735889</c:v>
                </c:pt>
                <c:pt idx="89">
                  <c:v>94177.924365575615</c:v>
                </c:pt>
                <c:pt idx="90">
                  <c:v>95224.345747415355</c:v>
                </c:pt>
                <c:pt idx="91">
                  <c:v>96270.76712925508</c:v>
                </c:pt>
                <c:pt idx="92">
                  <c:v>97317.188511094821</c:v>
                </c:pt>
                <c:pt idx="93">
                  <c:v>98363.609892934546</c:v>
                </c:pt>
                <c:pt idx="94">
                  <c:v>99410.031274774257</c:v>
                </c:pt>
                <c:pt idx="95">
                  <c:v>100456.45265661398</c:v>
                </c:pt>
                <c:pt idx="96">
                  <c:v>101502.87403845371</c:v>
                </c:pt>
                <c:pt idx="97">
                  <c:v>102549.29542029343</c:v>
                </c:pt>
                <c:pt idx="98">
                  <c:v>103595.71680213316</c:v>
                </c:pt>
                <c:pt idx="99">
                  <c:v>104642.1381839729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4A02-86EA-63E9E973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'WSO-UV_funnel_Ly-alpha_bg'!$F$31</c:f>
              <c:strCache>
                <c:ptCount val="1"/>
                <c:pt idx="0">
                  <c:v>Slit: 2.4"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'WSO-UV_funnel_Ly-alpha_bg'!$A$33:$A$73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'WSO-UV_funnel_Ly-alpha_bg'!$F$33:$F$73</c:f>
              <c:numCache>
                <c:formatCode>0.00E+00</c:formatCode>
                <c:ptCount val="41"/>
                <c:pt idx="0">
                  <c:v>90.847330498347048</c:v>
                </c:pt>
                <c:pt idx="1">
                  <c:v>91.020361468529416</c:v>
                </c:pt>
                <c:pt idx="2">
                  <c:v>91.238194553919385</c:v>
                </c:pt>
                <c:pt idx="3">
                  <c:v>91.512430160646346</c:v>
                </c:pt>
                <c:pt idx="4">
                  <c:v>91.85767233477371</c:v>
                </c:pt>
                <c:pt idx="5">
                  <c:v>92.29230648100571</c:v>
                </c:pt>
                <c:pt idx="6">
                  <c:v>92.839478452530642</c:v>
                </c:pt>
                <c:pt idx="7">
                  <c:v>93.528327152104893</c:v>
                </c:pt>
                <c:pt idx="8">
                  <c:v>94.395536284880279</c:v>
                </c:pt>
                <c:pt idx="9">
                  <c:v>95.487287899471212</c:v>
                </c:pt>
                <c:pt idx="10">
                  <c:v>96.861721750447032</c:v>
                </c:pt>
                <c:pt idx="11">
                  <c:v>98.592031452270618</c:v>
                </c:pt>
                <c:pt idx="12">
                  <c:v>100.77036230617031</c:v>
                </c:pt>
                <c:pt idx="13">
                  <c:v>103.51271837343994</c:v>
                </c:pt>
                <c:pt idx="14">
                  <c:v>106.96514011471356</c:v>
                </c:pt>
                <c:pt idx="15">
                  <c:v>111.31148157703362</c:v>
                </c:pt>
                <c:pt idx="16">
                  <c:v>116.78320129228294</c:v>
                </c:pt>
                <c:pt idx="17">
                  <c:v>123.67168828802548</c:v>
                </c:pt>
                <c:pt idx="18">
                  <c:v>132.3437796157794</c:v>
                </c:pt>
                <c:pt idx="19">
                  <c:v>143.26129576168864</c:v>
                </c:pt>
                <c:pt idx="20">
                  <c:v>157.00563427144689</c:v>
                </c:pt>
                <c:pt idx="21">
                  <c:v>174.30873128968278</c:v>
                </c:pt>
                <c:pt idx="22">
                  <c:v>196.09203982867976</c:v>
                </c:pt>
                <c:pt idx="23">
                  <c:v>223.51560050137596</c:v>
                </c:pt>
                <c:pt idx="24">
                  <c:v>258.03981791411235</c:v>
                </c:pt>
                <c:pt idx="25">
                  <c:v>301.50323253731284</c:v>
                </c:pt>
                <c:pt idx="26">
                  <c:v>356.22042968980617</c:v>
                </c:pt>
                <c:pt idx="27">
                  <c:v>425.10529964723145</c:v>
                </c:pt>
                <c:pt idx="28">
                  <c:v>511.82621292477086</c:v>
                </c:pt>
                <c:pt idx="29">
                  <c:v>621.00137438386321</c:v>
                </c:pt>
                <c:pt idx="30">
                  <c:v>758.44475948144577</c:v>
                </c:pt>
                <c:pt idx="31">
                  <c:v>931.47572966380437</c:v>
                </c:pt>
                <c:pt idx="32">
                  <c:v>1149.3088150537747</c:v>
                </c:pt>
                <c:pt idx="33">
                  <c:v>1423.5444217807367</c:v>
                </c:pt>
                <c:pt idx="34">
                  <c:v>1768.7865959081005</c:v>
                </c:pt>
                <c:pt idx="35">
                  <c:v>2203.4207421401065</c:v>
                </c:pt>
                <c:pt idx="36">
                  <c:v>2750.5927136650398</c:v>
                </c:pt>
                <c:pt idx="37">
                  <c:v>3439.4414132392935</c:v>
                </c:pt>
                <c:pt idx="38">
                  <c:v>4306.6505460146864</c:v>
                </c:pt>
                <c:pt idx="39">
                  <c:v>5398.4021606056122</c:v>
                </c:pt>
                <c:pt idx="40">
                  <c:v>6772.8360115814394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6-4820-BC4D-06DCB6F63B30}"/>
            </c:ext>
          </c:extLst>
        </c:ser>
        <c:ser>
          <c:idx val="1"/>
          <c:order val="1"/>
          <c:tx>
            <c:strRef>
              <c:f>'WSO-UV_funnel_Ly-alpha_bg'!$G$31</c:f>
              <c:strCache>
                <c:ptCount val="1"/>
                <c:pt idx="0">
                  <c:v>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'WSO-UV_funnel_Ly-alpha_bg'!$A$33:$A$73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'WSO-UV_funnel_Ly-alpha_bg'!$G$33:$G$73</c:f>
              <c:numCache>
                <c:formatCode>0.00E+00</c:formatCode>
                <c:ptCount val="41"/>
                <c:pt idx="0">
                  <c:v>376.41436904329976</c:v>
                </c:pt>
                <c:pt idx="1">
                  <c:v>376.58740001348212</c:v>
                </c:pt>
                <c:pt idx="2">
                  <c:v>376.80523309887212</c:v>
                </c:pt>
                <c:pt idx="3">
                  <c:v>377.07946870559908</c:v>
                </c:pt>
                <c:pt idx="4">
                  <c:v>377.42471087972643</c:v>
                </c:pt>
                <c:pt idx="5">
                  <c:v>377.85934502595842</c:v>
                </c:pt>
                <c:pt idx="6">
                  <c:v>378.40651699748338</c:v>
                </c:pt>
                <c:pt idx="7">
                  <c:v>379.09536569705762</c:v>
                </c:pt>
                <c:pt idx="8">
                  <c:v>379.96257482983299</c:v>
                </c:pt>
                <c:pt idx="9">
                  <c:v>381.05432644442391</c:v>
                </c:pt>
                <c:pt idx="10">
                  <c:v>382.42876029539974</c:v>
                </c:pt>
                <c:pt idx="11">
                  <c:v>384.15906999722336</c:v>
                </c:pt>
                <c:pt idx="12">
                  <c:v>386.33740085112305</c:v>
                </c:pt>
                <c:pt idx="13">
                  <c:v>389.07975691839266</c:v>
                </c:pt>
                <c:pt idx="14">
                  <c:v>392.53217865966627</c:v>
                </c:pt>
                <c:pt idx="15">
                  <c:v>396.87852012198636</c:v>
                </c:pt>
                <c:pt idx="16">
                  <c:v>402.35023983723568</c:v>
                </c:pt>
                <c:pt idx="17">
                  <c:v>409.23872683297822</c:v>
                </c:pt>
                <c:pt idx="18">
                  <c:v>417.91081816073211</c:v>
                </c:pt>
                <c:pt idx="19">
                  <c:v>428.82833430664135</c:v>
                </c:pt>
                <c:pt idx="20">
                  <c:v>442.57267281639963</c:v>
                </c:pt>
                <c:pt idx="21">
                  <c:v>459.87576983463549</c:v>
                </c:pt>
                <c:pt idx="22">
                  <c:v>481.6590783736325</c:v>
                </c:pt>
                <c:pt idx="23">
                  <c:v>509.08263904632867</c:v>
                </c:pt>
                <c:pt idx="24">
                  <c:v>543.60685645906506</c:v>
                </c:pt>
                <c:pt idx="25">
                  <c:v>587.07027108226555</c:v>
                </c:pt>
                <c:pt idx="26">
                  <c:v>641.78746823475888</c:v>
                </c:pt>
                <c:pt idx="27">
                  <c:v>710.67233819218416</c:v>
                </c:pt>
                <c:pt idx="28">
                  <c:v>797.39325146972351</c:v>
                </c:pt>
                <c:pt idx="29">
                  <c:v>906.56841292881597</c:v>
                </c:pt>
                <c:pt idx="30">
                  <c:v>1044.0117980263985</c:v>
                </c:pt>
                <c:pt idx="31">
                  <c:v>1217.042768208757</c:v>
                </c:pt>
                <c:pt idx="32">
                  <c:v>1434.8758535987274</c:v>
                </c:pt>
                <c:pt idx="33">
                  <c:v>1709.1114603256894</c:v>
                </c:pt>
                <c:pt idx="34">
                  <c:v>2054.353634453053</c:v>
                </c:pt>
                <c:pt idx="35">
                  <c:v>2488.9877806850591</c:v>
                </c:pt>
                <c:pt idx="36">
                  <c:v>3036.1597522099923</c:v>
                </c:pt>
                <c:pt idx="37">
                  <c:v>3725.0084517842461</c:v>
                </c:pt>
                <c:pt idx="38">
                  <c:v>4592.2175845596394</c:v>
                </c:pt>
                <c:pt idx="39">
                  <c:v>5683.9691991505642</c:v>
                </c:pt>
                <c:pt idx="40">
                  <c:v>7058.4030501263915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7-47A1-B968-6095D591D9F2}"/>
            </c:ext>
          </c:extLst>
        </c:ser>
        <c:ser>
          <c:idx val="2"/>
          <c:order val="2"/>
          <c:tx>
            <c:strRef>
              <c:f>'WSO-UV_funnel_Ly-alpha_bg'!$H$31</c:f>
              <c:strCache>
                <c:ptCount val="1"/>
                <c:pt idx="0">
                  <c:v>Slit: 30"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'WSO-UV_funnel_Ly-alpha_bg'!$A$33:$A$73</c:f>
              <c:numCache>
                <c:formatCode>0.00E+00</c:formatCode>
                <c:ptCount val="41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'WSO-UV_funnel_Ly-alpha_bg'!$H$33:$H$73</c:f>
              <c:numCache>
                <c:formatCode>0.0_ </c:formatCode>
                <c:ptCount val="41"/>
                <c:pt idx="0">
                  <c:v>1127.9065757405438</c:v>
                </c:pt>
                <c:pt idx="1">
                  <c:v>1128.0796067107262</c:v>
                </c:pt>
                <c:pt idx="2">
                  <c:v>1128.2974397961161</c:v>
                </c:pt>
                <c:pt idx="3">
                  <c:v>1128.5716754028431</c:v>
                </c:pt>
                <c:pt idx="4">
                  <c:v>1128.9169175769705</c:v>
                </c:pt>
                <c:pt idx="5">
                  <c:v>1129.3515517232024</c:v>
                </c:pt>
                <c:pt idx="6">
                  <c:v>1129.8987236947273</c:v>
                </c:pt>
                <c:pt idx="7">
                  <c:v>1130.5875723943016</c:v>
                </c:pt>
                <c:pt idx="8">
                  <c:v>1131.4547815270771</c:v>
                </c:pt>
                <c:pt idx="9">
                  <c:v>1132.5465331416679</c:v>
                </c:pt>
                <c:pt idx="10">
                  <c:v>1133.9209669926438</c:v>
                </c:pt>
                <c:pt idx="11">
                  <c:v>1135.6512766944672</c:v>
                </c:pt>
                <c:pt idx="12">
                  <c:v>1137.829607548367</c:v>
                </c:pt>
                <c:pt idx="13">
                  <c:v>1140.5719636156366</c:v>
                </c:pt>
                <c:pt idx="14">
                  <c:v>1144.0243853569102</c:v>
                </c:pt>
                <c:pt idx="15">
                  <c:v>1148.3707268192304</c:v>
                </c:pt>
                <c:pt idx="16">
                  <c:v>1153.8424465344797</c:v>
                </c:pt>
                <c:pt idx="17">
                  <c:v>1160.7309335302223</c:v>
                </c:pt>
                <c:pt idx="18">
                  <c:v>1169.4030248579761</c:v>
                </c:pt>
                <c:pt idx="19">
                  <c:v>1180.3205410038854</c:v>
                </c:pt>
                <c:pt idx="20">
                  <c:v>1194.0648795136435</c:v>
                </c:pt>
                <c:pt idx="21">
                  <c:v>1211.3679765318795</c:v>
                </c:pt>
                <c:pt idx="22">
                  <c:v>1233.1512850708764</c:v>
                </c:pt>
                <c:pt idx="23">
                  <c:v>1260.5748457435727</c:v>
                </c:pt>
                <c:pt idx="24">
                  <c:v>1295.0990631563091</c:v>
                </c:pt>
                <c:pt idx="25">
                  <c:v>1338.5624777795097</c:v>
                </c:pt>
                <c:pt idx="26">
                  <c:v>1393.2796749320028</c:v>
                </c:pt>
                <c:pt idx="27">
                  <c:v>1462.1645448894283</c:v>
                </c:pt>
                <c:pt idx="28">
                  <c:v>1548.8854581669675</c:v>
                </c:pt>
                <c:pt idx="29">
                  <c:v>1658.0606196260601</c:v>
                </c:pt>
                <c:pt idx="30">
                  <c:v>1795.5040047236425</c:v>
                </c:pt>
                <c:pt idx="31">
                  <c:v>1968.534974906001</c:v>
                </c:pt>
                <c:pt idx="32">
                  <c:v>2186.3680602959712</c:v>
                </c:pt>
                <c:pt idx="33">
                  <c:v>2460.6036670229332</c:v>
                </c:pt>
                <c:pt idx="34">
                  <c:v>2805.845841150297</c:v>
                </c:pt>
                <c:pt idx="35">
                  <c:v>3240.4799873823031</c:v>
                </c:pt>
                <c:pt idx="36">
                  <c:v>3787.6519589072363</c:v>
                </c:pt>
                <c:pt idx="37">
                  <c:v>4476.5006584814901</c:v>
                </c:pt>
                <c:pt idx="38">
                  <c:v>5343.7097912568825</c:v>
                </c:pt>
                <c:pt idx="39">
                  <c:v>6435.4614058478091</c:v>
                </c:pt>
                <c:pt idx="40">
                  <c:v>7809.8952568236364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7-47A1-B968-6095D591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3744"/>
        <c:axId val="391777664"/>
      </c:scatterChart>
      <c:valAx>
        <c:axId val="391773744"/>
        <c:scaling>
          <c:logBase val="10"/>
          <c:orientation val="minMax"/>
          <c:max val="1.0000000000000006E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aseline="0"/>
                  <a:t>Stellar flux [erg/cm2/s]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7664"/>
        <c:crossesAt val="0"/>
        <c:crossBetween val="midCat"/>
      </c:valAx>
      <c:valAx>
        <c:axId val="39177766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Count rate [cps]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3744"/>
        <c:crossesAt val="1.0000000000000008E-1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99531676187535"/>
          <c:y val="2.8533641603873887E-2"/>
          <c:w val="8.6126685144749068E-2"/>
          <c:h val="0.1113442436826598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'WSO-UV_funnel_Ly-alpha_bg'!$F$31:$G$31</c:f>
              <c:strCache>
                <c:ptCount val="1"/>
                <c:pt idx="0">
                  <c:v>Slit: 2.4" Slit: 10"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'WSO-UV_funnel_Ly-alpha_bg'!$A$33:$A$272</c:f>
              <c:numCache>
                <c:formatCode>0.00E+00</c:formatCode>
                <c:ptCount val="240"/>
                <c:pt idx="0">
                  <c:v>1E-14</c:v>
                </c:pt>
                <c:pt idx="1">
                  <c:v>1.2589254117941673E-14</c:v>
                </c:pt>
                <c:pt idx="2">
                  <c:v>1.5848931924611138E-14</c:v>
                </c:pt>
                <c:pt idx="3">
                  <c:v>1.99526231496888E-14</c:v>
                </c:pt>
                <c:pt idx="4">
                  <c:v>2.5118864315095807E-14</c:v>
                </c:pt>
                <c:pt idx="5">
                  <c:v>3.1622776601683802E-14</c:v>
                </c:pt>
                <c:pt idx="6">
                  <c:v>3.9810717055349737E-14</c:v>
                </c:pt>
                <c:pt idx="7">
                  <c:v>5.0118723362727245E-14</c:v>
                </c:pt>
                <c:pt idx="8">
                  <c:v>6.3095734448019354E-14</c:v>
                </c:pt>
                <c:pt idx="9">
                  <c:v>7.9432823472428196E-14</c:v>
                </c:pt>
                <c:pt idx="10">
                  <c:v>1.0000000000000007E-13</c:v>
                </c:pt>
                <c:pt idx="11">
                  <c:v>1.2589254117941681E-13</c:v>
                </c:pt>
                <c:pt idx="12">
                  <c:v>1.5848931924611147E-13</c:v>
                </c:pt>
                <c:pt idx="13">
                  <c:v>1.9952623149688812E-13</c:v>
                </c:pt>
                <c:pt idx="14">
                  <c:v>2.5118864315095825E-13</c:v>
                </c:pt>
                <c:pt idx="15">
                  <c:v>3.1622776601683827E-13</c:v>
                </c:pt>
                <c:pt idx="16">
                  <c:v>3.9810717055349768E-13</c:v>
                </c:pt>
                <c:pt idx="17">
                  <c:v>5.0118723362727288E-13</c:v>
                </c:pt>
                <c:pt idx="18">
                  <c:v>6.3095734448019404E-13</c:v>
                </c:pt>
                <c:pt idx="19">
                  <c:v>7.9432823472428257E-13</c:v>
                </c:pt>
                <c:pt idx="20">
                  <c:v>1.0000000000000014E-12</c:v>
                </c:pt>
                <c:pt idx="21">
                  <c:v>1.2589254117941691E-12</c:v>
                </c:pt>
                <c:pt idx="22">
                  <c:v>1.584893192461116E-12</c:v>
                </c:pt>
                <c:pt idx="23">
                  <c:v>1.9952623149688827E-12</c:v>
                </c:pt>
                <c:pt idx="24">
                  <c:v>2.5118864315095843E-12</c:v>
                </c:pt>
                <c:pt idx="25">
                  <c:v>3.1622776601683846E-12</c:v>
                </c:pt>
                <c:pt idx="26">
                  <c:v>3.9810717055349792E-12</c:v>
                </c:pt>
                <c:pt idx="27">
                  <c:v>5.0118723362727316E-12</c:v>
                </c:pt>
                <c:pt idx="28">
                  <c:v>6.3095734448019442E-12</c:v>
                </c:pt>
                <c:pt idx="29">
                  <c:v>7.9432823472428295E-12</c:v>
                </c:pt>
                <c:pt idx="30">
                  <c:v>1.0000000000000019E-11</c:v>
                </c:pt>
                <c:pt idx="31">
                  <c:v>1.2589254117941697E-11</c:v>
                </c:pt>
                <c:pt idx="32">
                  <c:v>1.5848931924611169E-11</c:v>
                </c:pt>
                <c:pt idx="33">
                  <c:v>1.9952623149688841E-11</c:v>
                </c:pt>
                <c:pt idx="34">
                  <c:v>2.5118864315095859E-11</c:v>
                </c:pt>
                <c:pt idx="35">
                  <c:v>3.1622776601683865E-11</c:v>
                </c:pt>
                <c:pt idx="36">
                  <c:v>3.9810717055349818E-11</c:v>
                </c:pt>
                <c:pt idx="37">
                  <c:v>5.0118723362727349E-11</c:v>
                </c:pt>
                <c:pt idx="38">
                  <c:v>6.3095734448019476E-11</c:v>
                </c:pt>
                <c:pt idx="39">
                  <c:v>7.9432823472428347E-11</c:v>
                </c:pt>
                <c:pt idx="40">
                  <c:v>1.0000000000000025E-10</c:v>
                </c:pt>
              </c:numCache>
            </c:numRef>
          </c:xVal>
          <c:yVal>
            <c:numRef>
              <c:f>'WSO-UV_funnel_Ly-alpha_bg'!$C$33:$C$272</c:f>
              <c:numCache>
                <c:formatCode>0.00E+00</c:formatCode>
                <c:ptCount val="240"/>
                <c:pt idx="0">
                  <c:v>90.179064803669277</c:v>
                </c:pt>
                <c:pt idx="1">
                  <c:v>90.179064803669277</c:v>
                </c:pt>
                <c:pt idx="2">
                  <c:v>90.179064803669277</c:v>
                </c:pt>
                <c:pt idx="3">
                  <c:v>90.179064803669277</c:v>
                </c:pt>
                <c:pt idx="4">
                  <c:v>90.179064803669277</c:v>
                </c:pt>
                <c:pt idx="5">
                  <c:v>90.179064803669277</c:v>
                </c:pt>
                <c:pt idx="6">
                  <c:v>90.179064803669277</c:v>
                </c:pt>
                <c:pt idx="7">
                  <c:v>90.179064803669277</c:v>
                </c:pt>
                <c:pt idx="8">
                  <c:v>90.179064803669277</c:v>
                </c:pt>
                <c:pt idx="9">
                  <c:v>90.179064803669277</c:v>
                </c:pt>
                <c:pt idx="10">
                  <c:v>90.179064803669277</c:v>
                </c:pt>
                <c:pt idx="11">
                  <c:v>90.179064803669277</c:v>
                </c:pt>
                <c:pt idx="12">
                  <c:v>90.179064803669277</c:v>
                </c:pt>
                <c:pt idx="13">
                  <c:v>90.179064803669277</c:v>
                </c:pt>
                <c:pt idx="14">
                  <c:v>90.179064803669277</c:v>
                </c:pt>
                <c:pt idx="15">
                  <c:v>90.179064803669277</c:v>
                </c:pt>
                <c:pt idx="16">
                  <c:v>90.179064803669277</c:v>
                </c:pt>
                <c:pt idx="17">
                  <c:v>90.179064803669277</c:v>
                </c:pt>
                <c:pt idx="18">
                  <c:v>90.179064803669277</c:v>
                </c:pt>
                <c:pt idx="19">
                  <c:v>90.179064803669277</c:v>
                </c:pt>
                <c:pt idx="20">
                  <c:v>90.179064803669277</c:v>
                </c:pt>
                <c:pt idx="21">
                  <c:v>90.179064803669277</c:v>
                </c:pt>
                <c:pt idx="22">
                  <c:v>90.179064803669277</c:v>
                </c:pt>
                <c:pt idx="23">
                  <c:v>90.179064803669277</c:v>
                </c:pt>
                <c:pt idx="24">
                  <c:v>90.179064803669277</c:v>
                </c:pt>
                <c:pt idx="25">
                  <c:v>90.179064803669277</c:v>
                </c:pt>
                <c:pt idx="26">
                  <c:v>90.179064803669277</c:v>
                </c:pt>
                <c:pt idx="27">
                  <c:v>90.179064803669277</c:v>
                </c:pt>
                <c:pt idx="28">
                  <c:v>90.179064803669277</c:v>
                </c:pt>
                <c:pt idx="29">
                  <c:v>90.179064803669277</c:v>
                </c:pt>
                <c:pt idx="30">
                  <c:v>90.179064803669277</c:v>
                </c:pt>
                <c:pt idx="31">
                  <c:v>90.179064803669277</c:v>
                </c:pt>
                <c:pt idx="32">
                  <c:v>90.179064803669277</c:v>
                </c:pt>
                <c:pt idx="33">
                  <c:v>90.179064803669277</c:v>
                </c:pt>
                <c:pt idx="34">
                  <c:v>90.179064803669277</c:v>
                </c:pt>
                <c:pt idx="35">
                  <c:v>90.179064803669277</c:v>
                </c:pt>
                <c:pt idx="36">
                  <c:v>90.179064803669277</c:v>
                </c:pt>
                <c:pt idx="37">
                  <c:v>90.179064803669277</c:v>
                </c:pt>
                <c:pt idx="38">
                  <c:v>90.179064803669277</c:v>
                </c:pt>
                <c:pt idx="39">
                  <c:v>90.179064803669277</c:v>
                </c:pt>
                <c:pt idx="40">
                  <c:v>90.179064803669277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B-4D54-B152-7EBBC4EE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4136"/>
        <c:axId val="391775312"/>
      </c:scatterChart>
      <c:valAx>
        <c:axId val="3917741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Geocorona</a:t>
                </a:r>
                <a:r>
                  <a:rPr lang="en-US" altLang="ja-JP" baseline="0"/>
                  <a:t>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5312"/>
        <c:crosses val="autoZero"/>
        <c:crossBetween val="midCat"/>
      </c:valAx>
      <c:valAx>
        <c:axId val="39177531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count rate (count/sec/mm2)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7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28574</xdr:rowOff>
    </xdr:from>
    <xdr:to>
      <xdr:col>13</xdr:col>
      <xdr:colOff>252414</xdr:colOff>
      <xdr:row>26</xdr:row>
      <xdr:rowOff>124726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C35B0B-CB99-457D-82D0-599A1000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1126067</xdr:colOff>
      <xdr:row>0</xdr:row>
      <xdr:rowOff>211666</xdr:rowOff>
    </xdr:from>
    <xdr:to>
      <xdr:col>17</xdr:col>
      <xdr:colOff>280194</xdr:colOff>
      <xdr:row>26</xdr:row>
      <xdr:rowOff>136652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46CFF5-E855-451B-866D-122E65EED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5534" y="211666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1028700</xdr:colOff>
      <xdr:row>27</xdr:row>
      <xdr:rowOff>55033</xdr:rowOff>
    </xdr:from>
    <xdr:to>
      <xdr:col>20</xdr:col>
      <xdr:colOff>228601</xdr:colOff>
      <xdr:row>48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D23C4B5-D72C-43D2-81EC-A75C4967B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8167" y="6235700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</xdr:row>
      <xdr:rowOff>59267</xdr:rowOff>
    </xdr:from>
    <xdr:to>
      <xdr:col>17</xdr:col>
      <xdr:colOff>500327</xdr:colOff>
      <xdr:row>26</xdr:row>
      <xdr:rowOff>212853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2435A4-383E-4F2B-8986-7F31AAD2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87867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1248833</xdr:colOff>
      <xdr:row>27</xdr:row>
      <xdr:rowOff>131234</xdr:rowOff>
    </xdr:from>
    <xdr:to>
      <xdr:col>20</xdr:col>
      <xdr:colOff>448734</xdr:colOff>
      <xdr:row>48</xdr:row>
      <xdr:rowOff>76201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98AB78-498D-43DB-94EE-5CA4A94D0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8300" y="6311901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</xdr:row>
      <xdr:rowOff>59267</xdr:rowOff>
    </xdr:from>
    <xdr:to>
      <xdr:col>17</xdr:col>
      <xdr:colOff>500327</xdr:colOff>
      <xdr:row>26</xdr:row>
      <xdr:rowOff>212853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A4106DD-38DF-4B98-8E1D-7DC46F59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87867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1248833</xdr:colOff>
      <xdr:row>27</xdr:row>
      <xdr:rowOff>131234</xdr:rowOff>
    </xdr:from>
    <xdr:to>
      <xdr:col>20</xdr:col>
      <xdr:colOff>448734</xdr:colOff>
      <xdr:row>48</xdr:row>
      <xdr:rowOff>76201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C4D22F7-3B18-4929-839E-ED4BCA868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8300" y="6311901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261408</xdr:colOff>
      <xdr:row>4</xdr:row>
      <xdr:rowOff>66674</xdr:rowOff>
    </xdr:from>
    <xdr:to>
      <xdr:col>37</xdr:col>
      <xdr:colOff>302683</xdr:colOff>
      <xdr:row>38</xdr:row>
      <xdr:rowOff>132502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51FFB2-DD98-4FA2-AC94-ADF41AB5B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B13812-3522-497E-9CE4-E338DDA9F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1126067</xdr:colOff>
      <xdr:row>0</xdr:row>
      <xdr:rowOff>211666</xdr:rowOff>
    </xdr:from>
    <xdr:to>
      <xdr:col>17</xdr:col>
      <xdr:colOff>280194</xdr:colOff>
      <xdr:row>26</xdr:row>
      <xdr:rowOff>136652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9B980D0-2A5C-4F98-B12D-F449E463D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5534" y="211666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1028700</xdr:colOff>
      <xdr:row>27</xdr:row>
      <xdr:rowOff>55033</xdr:rowOff>
    </xdr:from>
    <xdr:to>
      <xdr:col>20</xdr:col>
      <xdr:colOff>228601</xdr:colOff>
      <xdr:row>48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A6D31D7-BCBB-4F1F-A4B5-925CB17D7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8167" y="6235700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4</xdr:row>
      <xdr:rowOff>24341</xdr:rowOff>
    </xdr:from>
    <xdr:to>
      <xdr:col>30</xdr:col>
      <xdr:colOff>345016</xdr:colOff>
      <xdr:row>48</xdr:row>
      <xdr:rowOff>85936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7C6F97-8E68-49DB-815C-F9BF8A3D3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23</xdr:col>
      <xdr:colOff>168275</xdr:colOff>
      <xdr:row>82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95B317A-0D87-4CB9-9E22-2FA6DB91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4</xdr:row>
      <xdr:rowOff>24341</xdr:rowOff>
    </xdr:from>
    <xdr:to>
      <xdr:col>30</xdr:col>
      <xdr:colOff>345016</xdr:colOff>
      <xdr:row>44</xdr:row>
      <xdr:rowOff>85936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952BF3-BF1F-4C58-BF2D-F605EFDC2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23</xdr:col>
      <xdr:colOff>168275</xdr:colOff>
      <xdr:row>78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E463A6-0919-47FF-86F2-E5516650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1208617</xdr:colOff>
      <xdr:row>0</xdr:row>
      <xdr:rowOff>34924</xdr:rowOff>
    </xdr:from>
    <xdr:to>
      <xdr:col>11</xdr:col>
      <xdr:colOff>545042</xdr:colOff>
      <xdr:row>19</xdr:row>
      <xdr:rowOff>44449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BAF71B-4A86-457B-A75A-8A6CEFDCA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4</xdr:row>
      <xdr:rowOff>24341</xdr:rowOff>
    </xdr:from>
    <xdr:to>
      <xdr:col>30</xdr:col>
      <xdr:colOff>345016</xdr:colOff>
      <xdr:row>56</xdr:row>
      <xdr:rowOff>85936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CC20BF-6E0F-40C8-BCBC-5EBD58864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23</xdr:col>
      <xdr:colOff>168275</xdr:colOff>
      <xdr:row>90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F997C8-0C3B-47EC-A46B-4667D84B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28574</xdr:rowOff>
    </xdr:from>
    <xdr:to>
      <xdr:col>13</xdr:col>
      <xdr:colOff>252414</xdr:colOff>
      <xdr:row>26</xdr:row>
      <xdr:rowOff>124726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28574</xdr:rowOff>
    </xdr:from>
    <xdr:to>
      <xdr:col>13</xdr:col>
      <xdr:colOff>252414</xdr:colOff>
      <xdr:row>26</xdr:row>
      <xdr:rowOff>124726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B3DC5C-EF36-4DFD-BC46-8BE2AEEEA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0</xdr:row>
      <xdr:rowOff>111124</xdr:rowOff>
    </xdr:from>
    <xdr:to>
      <xdr:col>11</xdr:col>
      <xdr:colOff>536575</xdr:colOff>
      <xdr:row>16</xdr:row>
      <xdr:rowOff>120649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F71E40-C72F-46F2-B5EB-3ECCED90C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0</xdr:row>
      <xdr:rowOff>180974</xdr:rowOff>
    </xdr:from>
    <xdr:to>
      <xdr:col>8</xdr:col>
      <xdr:colOff>650875</xdr:colOff>
      <xdr:row>16</xdr:row>
      <xdr:rowOff>190499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5C2905-016A-4565-A62B-E417E30D2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1349374</xdr:colOff>
      <xdr:row>2</xdr:row>
      <xdr:rowOff>53974</xdr:rowOff>
    </xdr:from>
    <xdr:to>
      <xdr:col>21</xdr:col>
      <xdr:colOff>120649</xdr:colOff>
      <xdr:row>36</xdr:row>
      <xdr:rowOff>115569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A868FB-33BA-4FC8-992D-497FBC367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CE8601-744D-4668-8C0B-E76FE36D2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2</xdr:row>
      <xdr:rowOff>28574</xdr:rowOff>
    </xdr:from>
    <xdr:to>
      <xdr:col>21</xdr:col>
      <xdr:colOff>171449</xdr:colOff>
      <xdr:row>36</xdr:row>
      <xdr:rowOff>90169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2A9173-EB5F-4EA3-B7B9-8B2596C56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1ADE32-F4CF-42DE-B9DE-F0D2C5CC5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2</xdr:row>
      <xdr:rowOff>28574</xdr:rowOff>
    </xdr:from>
    <xdr:to>
      <xdr:col>21</xdr:col>
      <xdr:colOff>171449</xdr:colOff>
      <xdr:row>36</xdr:row>
      <xdr:rowOff>90169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52207A-0555-4EBE-891A-C48C90E98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21</xdr:col>
      <xdr:colOff>168275</xdr:colOff>
      <xdr:row>72</xdr:row>
      <xdr:rowOff>61595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82EA68-6D58-46C8-BE1A-B83FD667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1126067</xdr:colOff>
      <xdr:row>0</xdr:row>
      <xdr:rowOff>211666</xdr:rowOff>
    </xdr:from>
    <xdr:to>
      <xdr:col>17</xdr:col>
      <xdr:colOff>280194</xdr:colOff>
      <xdr:row>26</xdr:row>
      <xdr:rowOff>136652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64538A1-6EFC-4128-8BAE-CA2A731F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5534" y="211666"/>
          <a:ext cx="9144793" cy="5877053"/>
        </a:xfrm>
        <a:prstGeom prst="rect">
          <a:avLst/>
        </a:prstGeom>
      </xdr:spPr>
    </xdr:pic>
    <xdr:clientData/>
  </xdr:twoCellAnchor>
  <xdr:twoCellAnchor editAs="oneCell">
    <xdr:from>
      <xdr:col>6</xdr:col>
      <xdr:colOff>1028700</xdr:colOff>
      <xdr:row>27</xdr:row>
      <xdr:rowOff>55033</xdr:rowOff>
    </xdr:from>
    <xdr:to>
      <xdr:col>20</xdr:col>
      <xdr:colOff>228601</xdr:colOff>
      <xdr:row>48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3FBD587-90F2-450F-AD67-1FC78DF5D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8167" y="6235700"/>
          <a:ext cx="11222567" cy="474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6F60-B9EB-443A-BC7D-F4E4A6BCA1F9}">
  <dimension ref="A1:Q200"/>
  <sheetViews>
    <sheetView zoomScaleNormal="100" workbookViewId="0">
      <selection activeCell="C12" sqref="C12:D12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5">
      <c r="A1" t="s">
        <v>44</v>
      </c>
    </row>
    <row r="2" spans="1:5">
      <c r="B2" t="s">
        <v>1</v>
      </c>
      <c r="C2" s="1">
        <v>6.626068E-34</v>
      </c>
    </row>
    <row r="3" spans="1:5">
      <c r="B3" t="s">
        <v>2</v>
      </c>
      <c r="C3" s="1">
        <v>299792458</v>
      </c>
    </row>
    <row r="4" spans="1:5">
      <c r="B4" t="s">
        <v>3</v>
      </c>
      <c r="C4" s="1">
        <v>9.9999999999999995E-8</v>
      </c>
      <c r="D4" t="s">
        <v>4</v>
      </c>
    </row>
    <row r="5" spans="1:5">
      <c r="B5" s="2"/>
      <c r="C5" s="2" t="s">
        <v>5</v>
      </c>
      <c r="D5" s="2" t="s">
        <v>6</v>
      </c>
    </row>
    <row r="6" spans="1:5">
      <c r="B6" s="3" t="s">
        <v>7</v>
      </c>
      <c r="C6" s="181">
        <v>170</v>
      </c>
      <c r="D6" s="182"/>
    </row>
    <row r="7" spans="1:5">
      <c r="B7" s="3" t="s">
        <v>8</v>
      </c>
      <c r="C7" s="181">
        <v>0.75</v>
      </c>
      <c r="D7" s="182"/>
      <c r="E7" s="183" t="s">
        <v>119</v>
      </c>
    </row>
    <row r="8" spans="1:5">
      <c r="B8" s="3" t="s">
        <v>10</v>
      </c>
      <c r="C8" s="181">
        <v>0.32</v>
      </c>
      <c r="D8" s="182"/>
      <c r="E8" s="184"/>
    </row>
    <row r="9" spans="1:5">
      <c r="B9" s="3" t="s">
        <v>11</v>
      </c>
      <c r="C9" s="181">
        <v>0.37</v>
      </c>
      <c r="D9" s="182"/>
      <c r="E9" s="184"/>
    </row>
    <row r="10" spans="1:5">
      <c r="B10" s="3" t="s">
        <v>12</v>
      </c>
      <c r="C10" s="181">
        <v>0.59</v>
      </c>
      <c r="D10" s="182"/>
      <c r="E10" s="184"/>
    </row>
    <row r="11" spans="1:5">
      <c r="B11" s="2" t="s">
        <v>13</v>
      </c>
      <c r="C11" s="185">
        <v>0.27</v>
      </c>
      <c r="D11" s="182"/>
      <c r="E11" s="184"/>
    </row>
    <row r="12" spans="1:5">
      <c r="B12" s="4" t="s">
        <v>46</v>
      </c>
      <c r="C12" s="181">
        <f>C7^3*C8*C9*C10*C11</f>
        <v>7.9570350000000012E-3</v>
      </c>
      <c r="D12" s="182"/>
    </row>
    <row r="13" spans="1:5">
      <c r="B13" s="2" t="s">
        <v>15</v>
      </c>
      <c r="C13" s="186">
        <f>PI()*(C6/2)^2*C12</f>
        <v>180.60883551007834</v>
      </c>
      <c r="D13" s="187"/>
    </row>
    <row r="14" spans="1:5">
      <c r="B14" s="5" t="s">
        <v>16</v>
      </c>
      <c r="C14" s="188">
        <v>12</v>
      </c>
      <c r="D14" s="188"/>
    </row>
    <row r="15" spans="1:5">
      <c r="B15" s="2" t="s">
        <v>17</v>
      </c>
      <c r="C15" s="188">
        <v>9</v>
      </c>
      <c r="D15" s="188"/>
    </row>
    <row r="16" spans="1:5">
      <c r="B16" s="3" t="s">
        <v>18</v>
      </c>
      <c r="C16" s="188">
        <v>3</v>
      </c>
      <c r="D16" s="188"/>
    </row>
    <row r="17" spans="1:17">
      <c r="B17" s="3" t="s">
        <v>19</v>
      </c>
      <c r="C17" s="181">
        <v>2</v>
      </c>
      <c r="D17" s="182"/>
    </row>
    <row r="18" spans="1:17">
      <c r="B18" s="3" t="s">
        <v>20</v>
      </c>
      <c r="C18" s="181">
        <v>6</v>
      </c>
      <c r="D18" s="182"/>
    </row>
    <row r="19" spans="1:17">
      <c r="B19" s="3" t="s">
        <v>21</v>
      </c>
      <c r="C19" s="181">
        <v>60</v>
      </c>
      <c r="D19" s="182"/>
    </row>
    <row r="20" spans="1:17">
      <c r="B20" s="3" t="s">
        <v>22</v>
      </c>
      <c r="C20" s="181">
        <f>C15*C17*C16^2</f>
        <v>162</v>
      </c>
      <c r="D20" s="182"/>
    </row>
    <row r="21" spans="1:17">
      <c r="B21" s="3" t="s">
        <v>23</v>
      </c>
      <c r="C21" s="181">
        <f>C15*C18*C16^2</f>
        <v>486</v>
      </c>
      <c r="D21" s="182"/>
      <c r="E21" s="7"/>
    </row>
    <row r="22" spans="1:17">
      <c r="B22" s="3" t="s">
        <v>24</v>
      </c>
      <c r="C22" s="181">
        <f>C15*C19*C16^2</f>
        <v>4860</v>
      </c>
      <c r="D22" s="182"/>
    </row>
    <row r="23" spans="1:17">
      <c r="B23" s="3" t="s">
        <v>25</v>
      </c>
      <c r="C23" s="2">
        <v>12</v>
      </c>
      <c r="D23" s="2">
        <v>36</v>
      </c>
    </row>
    <row r="24" spans="1:17">
      <c r="B24" s="3" t="s">
        <v>26</v>
      </c>
      <c r="C24" s="6">
        <f>C23*C15/6</f>
        <v>18</v>
      </c>
      <c r="D24" s="6">
        <f>D23*C15/6</f>
        <v>54</v>
      </c>
    </row>
    <row r="25" spans="1:17">
      <c r="B25" s="3" t="s">
        <v>27</v>
      </c>
      <c r="C25" s="6">
        <f>C23*C15*1</f>
        <v>108</v>
      </c>
      <c r="D25" s="6">
        <f>D23*C15*1</f>
        <v>324</v>
      </c>
    </row>
    <row r="26" spans="1:17">
      <c r="B26" s="3" t="s">
        <v>28</v>
      </c>
      <c r="C26" s="6">
        <f>C23*C15*10</f>
        <v>1080</v>
      </c>
      <c r="D26" s="6">
        <f>C15*D23*10</f>
        <v>3240</v>
      </c>
    </row>
    <row r="28" spans="1:17">
      <c r="D28" s="189" t="s">
        <v>29</v>
      </c>
      <c r="E28" s="189"/>
      <c r="F28" s="189" t="s">
        <v>30</v>
      </c>
      <c r="G28" s="189"/>
      <c r="H28" s="189" t="s">
        <v>31</v>
      </c>
      <c r="I28" s="189"/>
      <c r="J28" s="189" t="s">
        <v>64</v>
      </c>
      <c r="K28" s="189"/>
      <c r="L28" s="189" t="s">
        <v>32</v>
      </c>
      <c r="M28" s="189"/>
      <c r="N28" s="189" t="s">
        <v>33</v>
      </c>
      <c r="O28" s="189"/>
      <c r="P28" s="189" t="s">
        <v>31</v>
      </c>
      <c r="Q28" s="189"/>
    </row>
    <row r="29" spans="1:17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39</v>
      </c>
      <c r="H29" t="s">
        <v>40</v>
      </c>
      <c r="I29" t="s">
        <v>39</v>
      </c>
      <c r="J29" t="s">
        <v>40</v>
      </c>
      <c r="K29" t="s">
        <v>39</v>
      </c>
      <c r="L29" t="s">
        <v>40</v>
      </c>
      <c r="M29" t="s">
        <v>39</v>
      </c>
      <c r="N29" t="s">
        <v>40</v>
      </c>
      <c r="O29" t="s">
        <v>39</v>
      </c>
      <c r="P29" t="s">
        <v>40</v>
      </c>
      <c r="Q29" t="s">
        <v>39</v>
      </c>
    </row>
    <row r="30" spans="1:17">
      <c r="A30" s="1">
        <v>5.0000000000000002E-11</v>
      </c>
      <c r="B30" s="1">
        <f t="shared" ref="B30:B41" si="0">A30*$C$4/($C$2*$C$3/(1.2*10^-7))</f>
        <v>3.0204709205956108</v>
      </c>
      <c r="C30" s="1">
        <f>B30*PI()*($C$6/2)^2*$C$7^3*$C$8*$C$9*$C$10*3600</f>
        <v>7273649.8088110322</v>
      </c>
      <c r="D30" s="1">
        <f>C30*$C$11/6</f>
        <v>327314.24139649648</v>
      </c>
      <c r="E30" s="1">
        <f>D30/SQRT(D30+($C$24+$C$20)*2)</f>
        <v>571.79947263989288</v>
      </c>
      <c r="F30" s="1">
        <f t="shared" ref="F30:F93" si="1">C30*$C$11*1</f>
        <v>1963885.4483789788</v>
      </c>
      <c r="G30" s="1">
        <f>F30/SQRT(F30+($C$25+$C$21)*2)</f>
        <v>1400.963299516927</v>
      </c>
      <c r="H30" s="1">
        <f t="shared" ref="H30:H93" si="2">C30*$C$11*10</f>
        <v>19638854.483789787</v>
      </c>
      <c r="I30" s="1">
        <f>H30/SQRT(H30+($C$26+$C$22)*2)</f>
        <v>4430.2349447781598</v>
      </c>
      <c r="J30" s="1">
        <f>C30*$C$11*50</f>
        <v>98194272.418948933</v>
      </c>
      <c r="K30" s="1">
        <f>J30/SQRT(J30+($C$26+$C$22)*2)</f>
        <v>9908.7029351006768</v>
      </c>
      <c r="L30" s="1">
        <f t="shared" ref="L30:L93" si="3">C30*$C$11/6</f>
        <v>327314.24139649648</v>
      </c>
      <c r="M30" s="1">
        <f>L30/SQRT(L30+($D$24+$C$20)*2)</f>
        <v>571.73666212045339</v>
      </c>
      <c r="N30" s="1">
        <f t="shared" ref="N30:N93" si="4">C30*$C$11*1</f>
        <v>1963885.4483789788</v>
      </c>
      <c r="O30" s="1">
        <f>N30/SQRT(N30+($D$25+$C$21)*2)</f>
        <v>1400.8093316394072</v>
      </c>
      <c r="P30" s="1">
        <f t="shared" ref="P30:P93" si="5">C30*$C$11*10</f>
        <v>19638854.483789787</v>
      </c>
      <c r="Q30" s="1">
        <f>P30/SQRT(P30+($D$26+$C$22)*2)</f>
        <v>4429.7480555986949</v>
      </c>
    </row>
    <row r="31" spans="1:17">
      <c r="A31" s="1">
        <v>4.5E-11</v>
      </c>
      <c r="B31" s="1">
        <f t="shared" si="0"/>
        <v>2.71842382853605</v>
      </c>
      <c r="C31" s="1">
        <f t="shared" ref="C31:C94" si="6">B31*PI()*($C$6/2)^2*$C$7^3*$C$8*$C$9*$C$10*3600</f>
        <v>6546284.8279299298</v>
      </c>
      <c r="D31" s="1">
        <f t="shared" ref="D31:D94" si="7">C31*$C$11/6</f>
        <v>294582.81725684687</v>
      </c>
      <c r="E31" s="1">
        <f t="shared" ref="E31:E94" si="8">D31/SQRT(D31+($C$24+$C$20)*2)</f>
        <v>542.42350305278569</v>
      </c>
      <c r="F31" s="1">
        <f t="shared" si="1"/>
        <v>1767496.9035410811</v>
      </c>
      <c r="G31" s="1">
        <f t="shared" ref="G31:G94" si="9">F31/SQRT(F31+($C$25+$C$21)*2)</f>
        <v>1329.0258468154229</v>
      </c>
      <c r="H31" s="1">
        <f t="shared" si="2"/>
        <v>17674969.03541081</v>
      </c>
      <c r="I31" s="1">
        <f t="shared" ref="I31:I94" si="10">H31/SQRT(H31+($C$26+$C$22)*2)</f>
        <v>4202.7487451707748</v>
      </c>
      <c r="J31" s="1">
        <f t="shared" ref="J31:J94" si="11">C31*$C$11*50</f>
        <v>88374845.177054062</v>
      </c>
      <c r="K31" s="1">
        <f t="shared" ref="K31:K94" si="12">J31/SQRT(J31+($C$26+$C$22)*2)</f>
        <v>9400.1578057943716</v>
      </c>
      <c r="L31" s="1">
        <f t="shared" si="3"/>
        <v>294582.81725684687</v>
      </c>
      <c r="M31" s="1">
        <f t="shared" ref="M31:M94" si="13">L31/SQRT(L31+($D$24+$C$20)*2)</f>
        <v>542.35730828375665</v>
      </c>
      <c r="N31" s="1">
        <f t="shared" si="4"/>
        <v>1767496.9035410811</v>
      </c>
      <c r="O31" s="1">
        <f t="shared" ref="O31:O94" si="14">N31/SQRT(N31+($D$25+$C$21)*2)</f>
        <v>1328.8635697441164</v>
      </c>
      <c r="P31" s="1">
        <f t="shared" si="5"/>
        <v>17674969.03541081</v>
      </c>
      <c r="Q31" s="1">
        <f t="shared" ref="Q31:Q94" si="15">P31/SQRT(P31+($D$26+$C$22)*2)</f>
        <v>4202.2355800134246</v>
      </c>
    </row>
    <row r="32" spans="1:17">
      <c r="A32" s="1">
        <v>3.9999999999999998E-11</v>
      </c>
      <c r="B32" s="1">
        <f t="shared" si="0"/>
        <v>2.4163767364764888</v>
      </c>
      <c r="C32" s="1">
        <f t="shared" si="6"/>
        <v>5818919.8470488256</v>
      </c>
      <c r="D32" s="1">
        <f t="shared" si="7"/>
        <v>261851.39311719718</v>
      </c>
      <c r="E32" s="1">
        <f t="shared" si="8"/>
        <v>511.36277472543588</v>
      </c>
      <c r="F32" s="1">
        <f t="shared" si="1"/>
        <v>1571108.358703183</v>
      </c>
      <c r="G32" s="1">
        <f t="shared" si="9"/>
        <v>1252.9649860772188</v>
      </c>
      <c r="H32" s="1">
        <f t="shared" si="2"/>
        <v>15711083.58703183</v>
      </c>
      <c r="I32" s="1">
        <f t="shared" si="10"/>
        <v>3962.2231844451735</v>
      </c>
      <c r="J32" s="1">
        <f t="shared" si="11"/>
        <v>78555417.935159147</v>
      </c>
      <c r="K32" s="1">
        <f t="shared" si="12"/>
        <v>8862.4793219228213</v>
      </c>
      <c r="L32" s="1">
        <f t="shared" si="3"/>
        <v>261851.39311719718</v>
      </c>
      <c r="M32" s="1">
        <f t="shared" si="13"/>
        <v>511.29258223927508</v>
      </c>
      <c r="N32" s="1">
        <f t="shared" si="4"/>
        <v>1571108.358703183</v>
      </c>
      <c r="O32" s="1">
        <f t="shared" si="14"/>
        <v>1252.7928908625208</v>
      </c>
      <c r="P32" s="1">
        <f t="shared" si="5"/>
        <v>15711083.58703183</v>
      </c>
      <c r="Q32" s="1">
        <f t="shared" si="15"/>
        <v>3961.6789715923123</v>
      </c>
    </row>
    <row r="33" spans="1:17">
      <c r="A33" s="1">
        <v>3.5000000000000002E-11</v>
      </c>
      <c r="B33" s="1">
        <f t="shared" si="0"/>
        <v>2.1143296444169275</v>
      </c>
      <c r="C33" s="1">
        <f t="shared" si="6"/>
        <v>5091554.8661677213</v>
      </c>
      <c r="D33" s="1">
        <f t="shared" si="7"/>
        <v>229119.96897754748</v>
      </c>
      <c r="E33" s="1">
        <f t="shared" si="8"/>
        <v>478.28917375654902</v>
      </c>
      <c r="F33" s="1">
        <f t="shared" si="1"/>
        <v>1374719.8138652849</v>
      </c>
      <c r="G33" s="1">
        <f t="shared" si="9"/>
        <v>1171.9781736961029</v>
      </c>
      <c r="H33" s="1">
        <f t="shared" si="2"/>
        <v>13747198.13865285</v>
      </c>
      <c r="I33" s="1">
        <f t="shared" si="10"/>
        <v>3706.1203968841223</v>
      </c>
      <c r="J33" s="1">
        <f t="shared" si="11"/>
        <v>68735990.693264246</v>
      </c>
      <c r="K33" s="1">
        <f t="shared" si="12"/>
        <v>8290.0007687690741</v>
      </c>
      <c r="L33" s="1">
        <f t="shared" si="3"/>
        <v>229119.96897754748</v>
      </c>
      <c r="M33" s="1">
        <f t="shared" si="13"/>
        <v>478.2141591064829</v>
      </c>
      <c r="N33" s="1">
        <f t="shared" si="4"/>
        <v>1374719.8138652849</v>
      </c>
      <c r="O33" s="1">
        <f t="shared" si="14"/>
        <v>1171.7942313656561</v>
      </c>
      <c r="P33" s="1">
        <f t="shared" si="5"/>
        <v>13747198.13865285</v>
      </c>
      <c r="Q33" s="1">
        <f t="shared" si="15"/>
        <v>3705.5387201617914</v>
      </c>
    </row>
    <row r="34" spans="1:17">
      <c r="A34" s="1">
        <v>3E-11</v>
      </c>
      <c r="B34" s="1">
        <f t="shared" si="0"/>
        <v>1.8122825523573667</v>
      </c>
      <c r="C34" s="1">
        <f t="shared" si="6"/>
        <v>4364189.8852866217</v>
      </c>
      <c r="D34" s="1">
        <f t="shared" si="7"/>
        <v>196388.54483789799</v>
      </c>
      <c r="E34" s="1">
        <f t="shared" si="8"/>
        <v>442.75185323915787</v>
      </c>
      <c r="F34" s="1">
        <f t="shared" si="1"/>
        <v>1178331.269027388</v>
      </c>
      <c r="G34" s="1">
        <f t="shared" si="9"/>
        <v>1084.9628867242857</v>
      </c>
      <c r="H34" s="1">
        <f t="shared" si="2"/>
        <v>11783312.690273879</v>
      </c>
      <c r="I34" s="1">
        <f t="shared" si="10"/>
        <v>3430.9538988000045</v>
      </c>
      <c r="J34" s="1">
        <f t="shared" si="11"/>
        <v>58916563.451369397</v>
      </c>
      <c r="K34" s="1">
        <f t="shared" si="12"/>
        <v>7674.9388171100491</v>
      </c>
      <c r="L34" s="1">
        <f t="shared" si="3"/>
        <v>196388.54483789799</v>
      </c>
      <c r="M34" s="1">
        <f t="shared" si="13"/>
        <v>442.67086309310525</v>
      </c>
      <c r="N34" s="1">
        <f t="shared" si="4"/>
        <v>1178331.269027388</v>
      </c>
      <c r="O34" s="1">
        <f t="shared" si="14"/>
        <v>1084.7642569641741</v>
      </c>
      <c r="P34" s="1">
        <f t="shared" si="5"/>
        <v>11783312.690273879</v>
      </c>
      <c r="Q34" s="1">
        <f t="shared" si="15"/>
        <v>3430.3257763469587</v>
      </c>
    </row>
    <row r="35" spans="1:17">
      <c r="A35" s="1">
        <v>2.5000000000000001E-11</v>
      </c>
      <c r="B35" s="1">
        <f t="shared" si="0"/>
        <v>1.5102354602978054</v>
      </c>
      <c r="C35" s="1">
        <f t="shared" si="6"/>
        <v>3636824.9044055161</v>
      </c>
      <c r="D35" s="1">
        <f t="shared" si="7"/>
        <v>163657.12069824824</v>
      </c>
      <c r="E35" s="1">
        <f t="shared" si="8"/>
        <v>404.10136211062468</v>
      </c>
      <c r="F35" s="1">
        <f t="shared" si="1"/>
        <v>981942.72418948938</v>
      </c>
      <c r="G35" s="1">
        <f t="shared" si="9"/>
        <v>990.33133836628724</v>
      </c>
      <c r="H35" s="1">
        <f t="shared" si="2"/>
        <v>9819427.2418948933</v>
      </c>
      <c r="I35" s="1">
        <f t="shared" si="10"/>
        <v>3131.7026674803619</v>
      </c>
      <c r="J35" s="1">
        <f t="shared" si="11"/>
        <v>49097136.209474467</v>
      </c>
      <c r="K35" s="1">
        <f t="shared" si="12"/>
        <v>7006.0872877358897</v>
      </c>
      <c r="L35" s="1">
        <f t="shared" si="3"/>
        <v>163657.12069824824</v>
      </c>
      <c r="M35" s="1">
        <f t="shared" si="13"/>
        <v>404.01269538396861</v>
      </c>
      <c r="N35" s="1">
        <f t="shared" si="4"/>
        <v>981942.72418948938</v>
      </c>
      <c r="O35" s="1">
        <f t="shared" si="14"/>
        <v>990.11382802604919</v>
      </c>
      <c r="P35" s="1">
        <f t="shared" si="5"/>
        <v>9819427.2418948933</v>
      </c>
      <c r="Q35" s="1">
        <f t="shared" si="15"/>
        <v>3131.014839390572</v>
      </c>
    </row>
    <row r="36" spans="1:17">
      <c r="A36" s="1">
        <v>1.9999999999999999E-11</v>
      </c>
      <c r="B36" s="1">
        <f t="shared" si="0"/>
        <v>1.2081883682382444</v>
      </c>
      <c r="C36" s="1">
        <f t="shared" si="6"/>
        <v>2909459.9235244128</v>
      </c>
      <c r="D36" s="1">
        <f t="shared" si="7"/>
        <v>130925.69655859859</v>
      </c>
      <c r="E36" s="1">
        <f t="shared" si="8"/>
        <v>361.34012193318409</v>
      </c>
      <c r="F36" s="1">
        <f t="shared" si="1"/>
        <v>785554.17935159151</v>
      </c>
      <c r="G36" s="1">
        <f t="shared" si="9"/>
        <v>885.6455121891313</v>
      </c>
      <c r="H36" s="1">
        <f t="shared" si="2"/>
        <v>7855541.7935159151</v>
      </c>
      <c r="I36" s="1">
        <f t="shared" si="10"/>
        <v>2800.6570180240724</v>
      </c>
      <c r="J36" s="1">
        <f t="shared" si="11"/>
        <v>39277708.967579573</v>
      </c>
      <c r="K36" s="1">
        <f t="shared" si="12"/>
        <v>6266.2454914994578</v>
      </c>
      <c r="L36" s="1">
        <f t="shared" si="3"/>
        <v>130925.69655859859</v>
      </c>
      <c r="M36" s="1">
        <f t="shared" si="13"/>
        <v>361.24107918392548</v>
      </c>
      <c r="N36" s="1">
        <f t="shared" si="4"/>
        <v>785554.17935159151</v>
      </c>
      <c r="O36" s="1">
        <f t="shared" si="14"/>
        <v>885.40245837834141</v>
      </c>
      <c r="P36" s="1">
        <f t="shared" si="5"/>
        <v>7855541.7935159151</v>
      </c>
      <c r="Q36" s="1">
        <f t="shared" si="15"/>
        <v>2799.8884143879923</v>
      </c>
    </row>
    <row r="37" spans="1:17">
      <c r="A37" s="1">
        <v>1.5E-11</v>
      </c>
      <c r="B37" s="1">
        <f t="shared" si="0"/>
        <v>0.90614127617868334</v>
      </c>
      <c r="C37" s="1">
        <f t="shared" si="6"/>
        <v>2182094.9426433109</v>
      </c>
      <c r="D37" s="1">
        <f t="shared" si="7"/>
        <v>98194.272418948996</v>
      </c>
      <c r="E37" s="1">
        <f t="shared" si="8"/>
        <v>312.78680827431441</v>
      </c>
      <c r="F37" s="1">
        <f t="shared" si="1"/>
        <v>589165.63451369398</v>
      </c>
      <c r="G37" s="1">
        <f t="shared" si="9"/>
        <v>766.79855580800631</v>
      </c>
      <c r="H37" s="1">
        <f t="shared" si="2"/>
        <v>5891656.3451369395</v>
      </c>
      <c r="I37" s="1">
        <f t="shared" si="10"/>
        <v>2424.8299428810346</v>
      </c>
      <c r="J37" s="1">
        <f t="shared" si="11"/>
        <v>29458281.725684699</v>
      </c>
      <c r="K37" s="1">
        <f t="shared" si="12"/>
        <v>5426.4543225522157</v>
      </c>
      <c r="L37" s="1">
        <f t="shared" si="3"/>
        <v>98194.272418948996</v>
      </c>
      <c r="M37" s="1">
        <f t="shared" si="13"/>
        <v>312.67261577101903</v>
      </c>
      <c r="N37" s="1">
        <f t="shared" si="4"/>
        <v>589165.63451369398</v>
      </c>
      <c r="O37" s="1">
        <f t="shared" si="14"/>
        <v>766.51815160118554</v>
      </c>
      <c r="P37" s="1">
        <f t="shared" si="5"/>
        <v>5891656.3451369395</v>
      </c>
      <c r="Q37" s="1">
        <f t="shared" si="15"/>
        <v>2423.9432269219874</v>
      </c>
    </row>
    <row r="38" spans="1:17">
      <c r="A38" s="1">
        <v>9.9999999999999994E-12</v>
      </c>
      <c r="B38" s="1">
        <f t="shared" si="0"/>
        <v>0.60409418411912219</v>
      </c>
      <c r="C38" s="1">
        <f t="shared" si="6"/>
        <v>1454729.9617622064</v>
      </c>
      <c r="D38" s="1">
        <f t="shared" si="7"/>
        <v>65462.848279299295</v>
      </c>
      <c r="E38" s="1">
        <f t="shared" si="8"/>
        <v>255.15645631744792</v>
      </c>
      <c r="F38" s="1">
        <f t="shared" si="1"/>
        <v>392777.08967579575</v>
      </c>
      <c r="G38" s="1">
        <f t="shared" si="9"/>
        <v>625.77365882928086</v>
      </c>
      <c r="H38" s="1">
        <f t="shared" si="2"/>
        <v>3927770.8967579575</v>
      </c>
      <c r="I38" s="1">
        <f t="shared" si="10"/>
        <v>1978.8700616376639</v>
      </c>
      <c r="J38" s="1">
        <f t="shared" si="11"/>
        <v>19638854.483789787</v>
      </c>
      <c r="K38" s="1">
        <f t="shared" si="12"/>
        <v>4430.2349447781598</v>
      </c>
      <c r="L38" s="1">
        <f t="shared" si="3"/>
        <v>65462.848279299295</v>
      </c>
      <c r="M38" s="1">
        <f t="shared" si="13"/>
        <v>255.01701987880017</v>
      </c>
      <c r="N38" s="1">
        <f t="shared" si="4"/>
        <v>392777.08967579575</v>
      </c>
      <c r="O38" s="1">
        <f t="shared" si="14"/>
        <v>625.4308466034538</v>
      </c>
      <c r="P38" s="1">
        <f t="shared" si="5"/>
        <v>3927770.8967579575</v>
      </c>
      <c r="Q38" s="1">
        <f t="shared" si="15"/>
        <v>1977.7859941942984</v>
      </c>
    </row>
    <row r="39" spans="1:17">
      <c r="A39" s="1">
        <v>9.4999999999999995E-12</v>
      </c>
      <c r="B39" s="1">
        <f t="shared" si="0"/>
        <v>0.57388947491316611</v>
      </c>
      <c r="C39" s="1">
        <f t="shared" si="6"/>
        <v>1381993.4636740964</v>
      </c>
      <c r="D39" s="1">
        <f t="shared" si="7"/>
        <v>62189.705865334341</v>
      </c>
      <c r="E39" s="1">
        <f t="shared" si="8"/>
        <v>248.65996424338906</v>
      </c>
      <c r="F39" s="1">
        <f t="shared" si="1"/>
        <v>373138.23519200605</v>
      </c>
      <c r="G39" s="1">
        <f t="shared" si="9"/>
        <v>609.88032067794404</v>
      </c>
      <c r="H39" s="1">
        <f t="shared" si="2"/>
        <v>3731382.3519200603</v>
      </c>
      <c r="I39" s="1">
        <f t="shared" si="10"/>
        <v>1928.6109134561896</v>
      </c>
      <c r="J39" s="1">
        <f t="shared" si="11"/>
        <v>18656911.759600304</v>
      </c>
      <c r="K39" s="1">
        <f t="shared" si="12"/>
        <v>4317.990194466759</v>
      </c>
      <c r="L39" s="1">
        <f t="shared" si="3"/>
        <v>62189.705865334341</v>
      </c>
      <c r="M39" s="1">
        <f t="shared" si="13"/>
        <v>248.51697335604018</v>
      </c>
      <c r="N39" s="1">
        <f t="shared" si="4"/>
        <v>373138.23519200605</v>
      </c>
      <c r="O39" s="1">
        <f t="shared" si="14"/>
        <v>609.52870162678016</v>
      </c>
      <c r="P39" s="1">
        <f t="shared" si="5"/>
        <v>3731382.3519200603</v>
      </c>
      <c r="Q39" s="1">
        <f t="shared" si="15"/>
        <v>1927.4989963858045</v>
      </c>
    </row>
    <row r="40" spans="1:17">
      <c r="A40" s="1">
        <v>8.9999999999999996E-12</v>
      </c>
      <c r="B40" s="1">
        <f t="shared" si="0"/>
        <v>0.54368476570720992</v>
      </c>
      <c r="C40" s="1">
        <f t="shared" si="6"/>
        <v>1309256.9655859859</v>
      </c>
      <c r="D40" s="1">
        <f t="shared" si="7"/>
        <v>58916.563451369373</v>
      </c>
      <c r="E40" s="1">
        <f t="shared" si="8"/>
        <v>241.98915226293468</v>
      </c>
      <c r="F40" s="1">
        <f t="shared" si="1"/>
        <v>353499.38070821622</v>
      </c>
      <c r="G40" s="1">
        <f t="shared" si="9"/>
        <v>593.56158890986376</v>
      </c>
      <c r="H40" s="1">
        <f t="shared" si="2"/>
        <v>3534993.8070821622</v>
      </c>
      <c r="I40" s="1">
        <f t="shared" si="10"/>
        <v>1877.0065525437094</v>
      </c>
      <c r="J40" s="1">
        <f t="shared" si="11"/>
        <v>17674969.03541081</v>
      </c>
      <c r="K40" s="1">
        <f t="shared" si="12"/>
        <v>4202.7487451707748</v>
      </c>
      <c r="L40" s="1">
        <f t="shared" si="3"/>
        <v>58916.563451369373</v>
      </c>
      <c r="M40" s="1">
        <f t="shared" si="13"/>
        <v>241.84232051590959</v>
      </c>
      <c r="N40" s="1">
        <f t="shared" si="4"/>
        <v>353499.38070821622</v>
      </c>
      <c r="O40" s="1">
        <f t="shared" si="14"/>
        <v>593.20044748724854</v>
      </c>
      <c r="P40" s="1">
        <f t="shared" si="5"/>
        <v>3534993.8070821622</v>
      </c>
      <c r="Q40" s="1">
        <f t="shared" si="15"/>
        <v>1875.8645230908119</v>
      </c>
    </row>
    <row r="41" spans="1:17">
      <c r="A41" s="1">
        <v>8.4999999999999997E-12</v>
      </c>
      <c r="B41" s="1">
        <f t="shared" si="0"/>
        <v>0.51348005650125383</v>
      </c>
      <c r="C41" s="1">
        <f t="shared" si="6"/>
        <v>1236520.4674978757</v>
      </c>
      <c r="D41" s="1">
        <f t="shared" si="7"/>
        <v>55643.421037404412</v>
      </c>
      <c r="E41" s="1">
        <f t="shared" si="8"/>
        <v>235.12918828113988</v>
      </c>
      <c r="F41" s="1">
        <f t="shared" si="1"/>
        <v>333860.52622442646</v>
      </c>
      <c r="G41" s="1">
        <f t="shared" si="9"/>
        <v>576.78136115985239</v>
      </c>
      <c r="H41" s="1">
        <f t="shared" si="2"/>
        <v>3338605.2622442646</v>
      </c>
      <c r="I41" s="1">
        <f t="shared" si="10"/>
        <v>1823.9428131973114</v>
      </c>
      <c r="J41" s="1">
        <f t="shared" si="11"/>
        <v>16693026.311221324</v>
      </c>
      <c r="K41" s="1">
        <f t="shared" si="12"/>
        <v>4084.2569409748025</v>
      </c>
      <c r="L41" s="1">
        <f t="shared" si="3"/>
        <v>55643.421037404412</v>
      </c>
      <c r="M41" s="1">
        <f t="shared" si="13"/>
        <v>234.97818861874907</v>
      </c>
      <c r="N41" s="1">
        <f t="shared" si="4"/>
        <v>333860.52622442646</v>
      </c>
      <c r="O41" s="1">
        <f t="shared" si="14"/>
        <v>576.40987936813531</v>
      </c>
      <c r="P41" s="1">
        <f t="shared" si="5"/>
        <v>3338605.2622442646</v>
      </c>
      <c r="Q41" s="1">
        <f t="shared" si="15"/>
        <v>1822.7680846262049</v>
      </c>
    </row>
    <row r="42" spans="1:17">
      <c r="A42" s="1">
        <v>7.9999999999999998E-12</v>
      </c>
      <c r="B42" s="1">
        <f>A42*$C$4/($C$2*$C$3/(1.2*10^-7))</f>
        <v>0.48327534729529775</v>
      </c>
      <c r="C42" s="1">
        <f t="shared" si="6"/>
        <v>1163783.9694097652</v>
      </c>
      <c r="D42" s="1">
        <f t="shared" si="7"/>
        <v>52370.278623439437</v>
      </c>
      <c r="E42" s="1">
        <f t="shared" si="8"/>
        <v>228.0630097459017</v>
      </c>
      <c r="F42" s="1">
        <f t="shared" si="1"/>
        <v>314221.67174063664</v>
      </c>
      <c r="G42" s="1">
        <f t="shared" si="9"/>
        <v>559.49812008469769</v>
      </c>
      <c r="H42" s="1">
        <f t="shared" si="2"/>
        <v>3142216.7174063665</v>
      </c>
      <c r="I42" s="1">
        <f t="shared" si="10"/>
        <v>1769.2884060500451</v>
      </c>
      <c r="J42" s="1">
        <f t="shared" si="11"/>
        <v>15711083.587031832</v>
      </c>
      <c r="K42" s="1">
        <f t="shared" si="12"/>
        <v>3962.223184445174</v>
      </c>
      <c r="L42" s="1">
        <f t="shared" si="3"/>
        <v>52370.278623439437</v>
      </c>
      <c r="M42" s="1">
        <f t="shared" si="13"/>
        <v>227.90746590747005</v>
      </c>
      <c r="N42" s="1">
        <f t="shared" si="4"/>
        <v>314221.67174063664</v>
      </c>
      <c r="O42" s="1">
        <f t="shared" si="14"/>
        <v>559.11535568894249</v>
      </c>
      <c r="P42" s="1">
        <f t="shared" si="5"/>
        <v>3142216.7174063665</v>
      </c>
      <c r="Q42" s="1">
        <f t="shared" si="15"/>
        <v>1768.0779987522401</v>
      </c>
    </row>
    <row r="43" spans="1:17">
      <c r="A43" s="1">
        <v>7.5E-12</v>
      </c>
      <c r="B43" s="1">
        <f>A43*$C$4/($C$2*$C$3/(1.2*10^-7))</f>
        <v>0.45307063808934167</v>
      </c>
      <c r="C43" s="1">
        <f t="shared" si="6"/>
        <v>1091047.4713216554</v>
      </c>
      <c r="D43" s="1">
        <f t="shared" si="7"/>
        <v>49097.136209474498</v>
      </c>
      <c r="E43" s="1">
        <f t="shared" si="8"/>
        <v>220.77082384326357</v>
      </c>
      <c r="F43" s="1">
        <f t="shared" si="1"/>
        <v>294582.81725684699</v>
      </c>
      <c r="G43" s="1">
        <f t="shared" si="9"/>
        <v>541.6637231765701</v>
      </c>
      <c r="H43" s="1">
        <f t="shared" si="2"/>
        <v>2945828.1725684698</v>
      </c>
      <c r="I43" s="1">
        <f t="shared" si="10"/>
        <v>1712.8910911248968</v>
      </c>
      <c r="J43" s="1">
        <f t="shared" si="11"/>
        <v>14729140.862842349</v>
      </c>
      <c r="K43" s="1">
        <f t="shared" si="12"/>
        <v>3836.3094814032702</v>
      </c>
      <c r="L43" s="1">
        <f t="shared" si="3"/>
        <v>49097.136209474498</v>
      </c>
      <c r="M43" s="1">
        <f t="shared" si="13"/>
        <v>220.6102993367044</v>
      </c>
      <c r="N43" s="1">
        <f t="shared" si="4"/>
        <v>294582.81725684699</v>
      </c>
      <c r="O43" s="1">
        <f t="shared" si="14"/>
        <v>541.26858157678976</v>
      </c>
      <c r="P43" s="1">
        <f t="shared" si="5"/>
        <v>2945828.1725684698</v>
      </c>
      <c r="Q43" s="1">
        <f t="shared" si="15"/>
        <v>1711.641543671308</v>
      </c>
    </row>
    <row r="44" spans="1:17">
      <c r="A44" s="1">
        <v>7.0000000000000001E-12</v>
      </c>
      <c r="B44" s="1">
        <f t="shared" ref="B44:B107" si="16">A44*$C$4/($C$2*$C$3/(1.2*10^-7))</f>
        <v>0.42286592888338553</v>
      </c>
      <c r="C44" s="1">
        <f t="shared" si="6"/>
        <v>1018310.9732335446</v>
      </c>
      <c r="D44" s="1">
        <f t="shared" si="7"/>
        <v>45823.993795509508</v>
      </c>
      <c r="E44" s="1">
        <f t="shared" si="8"/>
        <v>213.22945378752038</v>
      </c>
      <c r="F44" s="1">
        <f t="shared" si="1"/>
        <v>274943.96277305705</v>
      </c>
      <c r="G44" s="1">
        <f t="shared" si="9"/>
        <v>523.22182092733328</v>
      </c>
      <c r="H44" s="1">
        <f t="shared" si="2"/>
        <v>2749439.6277305707</v>
      </c>
      <c r="I44" s="1">
        <f t="shared" si="10"/>
        <v>1654.5726756311265</v>
      </c>
      <c r="J44" s="1">
        <f t="shared" si="11"/>
        <v>13747198.138652852</v>
      </c>
      <c r="K44" s="1">
        <f t="shared" si="12"/>
        <v>3706.1203968841228</v>
      </c>
      <c r="L44" s="1">
        <f t="shared" si="3"/>
        <v>45823.993795509508</v>
      </c>
      <c r="M44" s="1">
        <f t="shared" si="13"/>
        <v>213.06343746912071</v>
      </c>
      <c r="N44" s="1">
        <f t="shared" si="4"/>
        <v>274943.96277305705</v>
      </c>
      <c r="O44" s="1">
        <f t="shared" si="14"/>
        <v>522.81301827594075</v>
      </c>
      <c r="P44" s="1">
        <f t="shared" si="5"/>
        <v>2749439.6277305707</v>
      </c>
      <c r="Q44" s="1">
        <f t="shared" si="15"/>
        <v>1653.2799281392099</v>
      </c>
    </row>
    <row r="45" spans="1:17">
      <c r="A45" s="1">
        <v>6.5000000000000002E-12</v>
      </c>
      <c r="B45" s="1">
        <f t="shared" si="16"/>
        <v>0.39266121967742945</v>
      </c>
      <c r="C45" s="1">
        <f t="shared" si="6"/>
        <v>945574.4751454345</v>
      </c>
      <c r="D45" s="1">
        <f t="shared" si="7"/>
        <v>42550.851381544555</v>
      </c>
      <c r="E45" s="1">
        <f t="shared" si="8"/>
        <v>205.41146899969908</v>
      </c>
      <c r="F45" s="1">
        <f t="shared" si="1"/>
        <v>255305.10828926734</v>
      </c>
      <c r="G45" s="1">
        <f t="shared" si="9"/>
        <v>504.10575354076104</v>
      </c>
      <c r="H45" s="1">
        <f t="shared" si="2"/>
        <v>2553051.0828926736</v>
      </c>
      <c r="I45" s="1">
        <f t="shared" si="10"/>
        <v>1594.1223627842955</v>
      </c>
      <c r="J45" s="1">
        <f t="shared" si="11"/>
        <v>12765255.414463367</v>
      </c>
      <c r="K45" s="1">
        <f t="shared" si="12"/>
        <v>3571.1883820822914</v>
      </c>
      <c r="L45" s="1">
        <f t="shared" si="3"/>
        <v>42550.851381544555</v>
      </c>
      <c r="M45" s="1">
        <f t="shared" si="13"/>
        <v>205.23935588992066</v>
      </c>
      <c r="N45" s="1">
        <f t="shared" si="4"/>
        <v>255305.10828926734</v>
      </c>
      <c r="O45" s="1">
        <f t="shared" si="14"/>
        <v>503.6817675269217</v>
      </c>
      <c r="P45" s="1">
        <f t="shared" si="5"/>
        <v>2553051.0828926736</v>
      </c>
      <c r="Q45" s="1">
        <f t="shared" si="15"/>
        <v>1592.7816012845076</v>
      </c>
    </row>
    <row r="46" spans="1:17">
      <c r="A46" s="1">
        <v>6.0000000000000003E-12</v>
      </c>
      <c r="B46" s="1">
        <f t="shared" si="16"/>
        <v>0.36245651047147331</v>
      </c>
      <c r="C46" s="1">
        <f t="shared" si="6"/>
        <v>872837.97705732402</v>
      </c>
      <c r="D46" s="1">
        <f t="shared" si="7"/>
        <v>39277.70896757958</v>
      </c>
      <c r="E46" s="1">
        <f t="shared" si="8"/>
        <v>197.28400487970003</v>
      </c>
      <c r="F46" s="1">
        <f t="shared" si="1"/>
        <v>235666.25380547749</v>
      </c>
      <c r="G46" s="1">
        <f t="shared" si="9"/>
        <v>484.23569933229084</v>
      </c>
      <c r="H46" s="1">
        <f t="shared" si="2"/>
        <v>2356662.538054775</v>
      </c>
      <c r="I46" s="1">
        <f t="shared" si="10"/>
        <v>1531.2877342545155</v>
      </c>
      <c r="J46" s="1">
        <f t="shared" si="11"/>
        <v>11783312.690273875</v>
      </c>
      <c r="K46" s="1">
        <f t="shared" si="12"/>
        <v>3430.953898800004</v>
      </c>
      <c r="L46" s="1">
        <f t="shared" si="3"/>
        <v>39277.70896757958</v>
      </c>
      <c r="M46" s="1">
        <f t="shared" si="13"/>
        <v>197.10507013938027</v>
      </c>
      <c r="N46" s="1">
        <f t="shared" si="4"/>
        <v>235666.25380547749</v>
      </c>
      <c r="O46" s="1">
        <f t="shared" si="14"/>
        <v>483.79470218742233</v>
      </c>
      <c r="P46" s="1">
        <f t="shared" si="5"/>
        <v>2356662.538054775</v>
      </c>
      <c r="Q46" s="1">
        <f t="shared" si="15"/>
        <v>1529.8931788350999</v>
      </c>
    </row>
    <row r="47" spans="1:17">
      <c r="A47" s="1">
        <v>5.5000000000000004E-12</v>
      </c>
      <c r="B47" s="1">
        <f t="shared" si="16"/>
        <v>0.33225180126551723</v>
      </c>
      <c r="C47" s="1">
        <f t="shared" si="6"/>
        <v>800101.47896921379</v>
      </c>
      <c r="D47" s="1">
        <f t="shared" si="7"/>
        <v>36004.566553614619</v>
      </c>
      <c r="E47" s="1">
        <f t="shared" si="8"/>
        <v>188.80712503094006</v>
      </c>
      <c r="F47" s="1">
        <f t="shared" si="1"/>
        <v>216027.39932168773</v>
      </c>
      <c r="G47" s="1">
        <f t="shared" si="9"/>
        <v>463.5147211918694</v>
      </c>
      <c r="H47" s="1">
        <f t="shared" si="2"/>
        <v>2160273.9932168773</v>
      </c>
      <c r="I47" s="1">
        <f t="shared" si="10"/>
        <v>1465.7622479842237</v>
      </c>
      <c r="J47" s="1">
        <f t="shared" si="11"/>
        <v>10801369.966084387</v>
      </c>
      <c r="K47" s="1">
        <f t="shared" si="12"/>
        <v>3284.7378918372733</v>
      </c>
      <c r="L47" s="1">
        <f t="shared" si="3"/>
        <v>36004.566553614619</v>
      </c>
      <c r="M47" s="1">
        <f t="shared" si="13"/>
        <v>188.62048786189175</v>
      </c>
      <c r="N47" s="1">
        <f t="shared" si="4"/>
        <v>216027.39932168773</v>
      </c>
      <c r="O47" s="1">
        <f t="shared" si="14"/>
        <v>463.05448638025047</v>
      </c>
      <c r="P47" s="1">
        <f t="shared" si="5"/>
        <v>2160273.9932168773</v>
      </c>
      <c r="Q47" s="1">
        <f t="shared" si="15"/>
        <v>1464.3068577210092</v>
      </c>
    </row>
    <row r="48" spans="1:17">
      <c r="A48" s="1">
        <v>4.9999999999999997E-12</v>
      </c>
      <c r="B48" s="1">
        <f t="shared" si="16"/>
        <v>0.3020470920595611</v>
      </c>
      <c r="C48" s="1">
        <f t="shared" si="6"/>
        <v>727364.9808811032</v>
      </c>
      <c r="D48" s="1">
        <f t="shared" si="7"/>
        <v>32731.424139649647</v>
      </c>
      <c r="E48" s="1">
        <f t="shared" si="8"/>
        <v>179.93148852329415</v>
      </c>
      <c r="F48" s="1">
        <f t="shared" si="1"/>
        <v>196388.54483789788</v>
      </c>
      <c r="G48" s="1">
        <f t="shared" si="9"/>
        <v>441.82314121711215</v>
      </c>
      <c r="H48" s="1">
        <f t="shared" si="2"/>
        <v>1963885.4483789788</v>
      </c>
      <c r="I48" s="1">
        <f t="shared" si="10"/>
        <v>1397.1674492162927</v>
      </c>
      <c r="J48" s="1">
        <f t="shared" si="11"/>
        <v>9819427.2418948933</v>
      </c>
      <c r="K48" s="1">
        <f t="shared" si="12"/>
        <v>3131.7026674803619</v>
      </c>
      <c r="L48" s="1">
        <f t="shared" si="3"/>
        <v>32731.424139649647</v>
      </c>
      <c r="M48" s="1">
        <f t="shared" si="13"/>
        <v>179.7360607782482</v>
      </c>
      <c r="N48" s="1">
        <f t="shared" si="4"/>
        <v>196388.54483789788</v>
      </c>
      <c r="O48" s="1">
        <f t="shared" si="14"/>
        <v>441.34090996798307</v>
      </c>
      <c r="P48" s="1">
        <f t="shared" si="5"/>
        <v>1963885.4483789788</v>
      </c>
      <c r="Q48" s="1">
        <f t="shared" si="15"/>
        <v>1395.6425001101366</v>
      </c>
    </row>
    <row r="49" spans="1:17">
      <c r="A49" s="1">
        <v>4.4999999999999998E-12</v>
      </c>
      <c r="B49" s="1">
        <f t="shared" si="16"/>
        <v>0.27184238285360496</v>
      </c>
      <c r="C49" s="1">
        <f t="shared" si="6"/>
        <v>654628.48279299296</v>
      </c>
      <c r="D49" s="1">
        <f t="shared" si="7"/>
        <v>29458.281725684687</v>
      </c>
      <c r="E49" s="1">
        <f t="shared" si="8"/>
        <v>170.59492387695914</v>
      </c>
      <c r="F49" s="1">
        <f t="shared" si="1"/>
        <v>176749.69035410811</v>
      </c>
      <c r="G49" s="1">
        <f t="shared" si="9"/>
        <v>419.01028869169875</v>
      </c>
      <c r="H49" s="1">
        <f t="shared" si="2"/>
        <v>1767496.9035410811</v>
      </c>
      <c r="I49" s="1">
        <f t="shared" si="10"/>
        <v>1325.0268753104622</v>
      </c>
      <c r="J49" s="1">
        <f t="shared" si="11"/>
        <v>8837484.5177054051</v>
      </c>
      <c r="K49" s="1">
        <f t="shared" si="12"/>
        <v>2970.7945849958114</v>
      </c>
      <c r="L49" s="1">
        <f t="shared" si="3"/>
        <v>29458.281725684687</v>
      </c>
      <c r="M49" s="1">
        <f t="shared" si="13"/>
        <v>170.38933464386446</v>
      </c>
      <c r="N49" s="1">
        <f t="shared" si="4"/>
        <v>176749.69035410811</v>
      </c>
      <c r="O49" s="1">
        <f t="shared" si="14"/>
        <v>418.50257301022748</v>
      </c>
      <c r="P49" s="1">
        <f t="shared" si="5"/>
        <v>1767496.9035410811</v>
      </c>
      <c r="Q49" s="1">
        <f t="shared" si="15"/>
        <v>1323.4213373532284</v>
      </c>
    </row>
    <row r="50" spans="1:17">
      <c r="A50" s="1">
        <v>3.9999999999999999E-12</v>
      </c>
      <c r="B50" s="1">
        <f t="shared" si="16"/>
        <v>0.24163767364764888</v>
      </c>
      <c r="C50" s="1">
        <f t="shared" si="6"/>
        <v>581891.98470488261</v>
      </c>
      <c r="D50" s="1">
        <f t="shared" si="7"/>
        <v>26185.139311719719</v>
      </c>
      <c r="E50" s="1">
        <f t="shared" si="8"/>
        <v>160.71720991069515</v>
      </c>
      <c r="F50" s="1">
        <f t="shared" si="1"/>
        <v>157110.83587031832</v>
      </c>
      <c r="G50" s="1">
        <f t="shared" si="9"/>
        <v>394.88194636427386</v>
      </c>
      <c r="H50" s="1">
        <f t="shared" si="2"/>
        <v>1571108.3587031832</v>
      </c>
      <c r="I50" s="1">
        <f t="shared" si="10"/>
        <v>1248.7263573915513</v>
      </c>
      <c r="J50" s="1">
        <f t="shared" si="11"/>
        <v>7855541.793515916</v>
      </c>
      <c r="K50" s="1">
        <f t="shared" si="12"/>
        <v>2800.6570180240724</v>
      </c>
      <c r="L50" s="1">
        <f t="shared" si="3"/>
        <v>26185.139311719719</v>
      </c>
      <c r="M50" s="1">
        <f t="shared" si="13"/>
        <v>160.49969075940447</v>
      </c>
      <c r="N50" s="1">
        <f t="shared" si="4"/>
        <v>157110.83587031832</v>
      </c>
      <c r="O50" s="1">
        <f t="shared" si="14"/>
        <v>394.34422719216525</v>
      </c>
      <c r="P50" s="1">
        <f t="shared" si="5"/>
        <v>1571108.3587031832</v>
      </c>
      <c r="Q50" s="1">
        <f t="shared" si="15"/>
        <v>1247.025940066148</v>
      </c>
    </row>
    <row r="51" spans="1:17">
      <c r="A51" s="1">
        <v>3.5E-12</v>
      </c>
      <c r="B51" s="1">
        <f t="shared" si="16"/>
        <v>0.21143296444169277</v>
      </c>
      <c r="C51" s="1">
        <f t="shared" si="6"/>
        <v>509155.48661677231</v>
      </c>
      <c r="D51" s="1">
        <f t="shared" si="7"/>
        <v>22911.996897754754</v>
      </c>
      <c r="E51" s="1">
        <f t="shared" si="8"/>
        <v>150.19176349762321</v>
      </c>
      <c r="F51" s="1">
        <f t="shared" si="1"/>
        <v>137471.98138652853</v>
      </c>
      <c r="G51" s="1">
        <f t="shared" si="9"/>
        <v>369.18038929333983</v>
      </c>
      <c r="H51" s="1">
        <f t="shared" si="2"/>
        <v>1374719.8138652854</v>
      </c>
      <c r="I51" s="1">
        <f t="shared" si="10"/>
        <v>1167.4508976345942</v>
      </c>
      <c r="J51" s="1">
        <f t="shared" si="11"/>
        <v>6873599.0693264259</v>
      </c>
      <c r="K51" s="1">
        <f t="shared" si="12"/>
        <v>2619.4922345225064</v>
      </c>
      <c r="L51" s="1">
        <f t="shared" si="3"/>
        <v>22911.996897754754</v>
      </c>
      <c r="M51" s="1">
        <f t="shared" si="13"/>
        <v>149.95996604297258</v>
      </c>
      <c r="N51" s="1">
        <f t="shared" si="4"/>
        <v>137471.98138652853</v>
      </c>
      <c r="O51" s="1">
        <f t="shared" si="14"/>
        <v>368.60663243675168</v>
      </c>
      <c r="P51" s="1">
        <f t="shared" si="5"/>
        <v>1374719.8138652854</v>
      </c>
      <c r="Q51" s="1">
        <f t="shared" si="15"/>
        <v>1165.6365191446371</v>
      </c>
    </row>
    <row r="52" spans="1:17">
      <c r="A52" s="1">
        <v>3.0000000000000001E-12</v>
      </c>
      <c r="B52" s="1">
        <f t="shared" si="16"/>
        <v>0.18122825523573666</v>
      </c>
      <c r="C52" s="1">
        <f t="shared" si="6"/>
        <v>436418.98852866201</v>
      </c>
      <c r="D52" s="1">
        <f t="shared" si="7"/>
        <v>19638.85448378979</v>
      </c>
      <c r="E52" s="1">
        <f t="shared" si="8"/>
        <v>138.87164885230644</v>
      </c>
      <c r="F52" s="1">
        <f t="shared" si="1"/>
        <v>117833.12690273875</v>
      </c>
      <c r="G52" s="1">
        <f t="shared" si="9"/>
        <v>341.55085248192722</v>
      </c>
      <c r="H52" s="1">
        <f t="shared" si="2"/>
        <v>1178331.2690273875</v>
      </c>
      <c r="I52" s="1">
        <f t="shared" si="10"/>
        <v>1080.078630615064</v>
      </c>
      <c r="J52" s="1">
        <f t="shared" si="11"/>
        <v>5891656.3451369377</v>
      </c>
      <c r="K52" s="1">
        <f t="shared" si="12"/>
        <v>2424.8299428810342</v>
      </c>
      <c r="L52" s="1">
        <f t="shared" si="3"/>
        <v>19638.85448378979</v>
      </c>
      <c r="M52" s="1">
        <f t="shared" si="13"/>
        <v>138.62233854117201</v>
      </c>
      <c r="N52" s="1">
        <f t="shared" si="4"/>
        <v>117833.12690273875</v>
      </c>
      <c r="O52" s="1">
        <f t="shared" si="14"/>
        <v>340.93268694370306</v>
      </c>
      <c r="P52" s="1">
        <f t="shared" si="5"/>
        <v>1178331.2690273875</v>
      </c>
      <c r="Q52" s="1">
        <f t="shared" si="15"/>
        <v>1078.1238195432518</v>
      </c>
    </row>
    <row r="53" spans="1:17">
      <c r="A53" s="1">
        <v>2.4999999999999998E-12</v>
      </c>
      <c r="B53" s="1">
        <f t="shared" si="16"/>
        <v>0.15102354602978055</v>
      </c>
      <c r="C53" s="1">
        <f t="shared" si="6"/>
        <v>363682.4904405516</v>
      </c>
      <c r="D53" s="1">
        <f t="shared" si="7"/>
        <v>16365.712069824824</v>
      </c>
      <c r="E53" s="1">
        <f t="shared" si="8"/>
        <v>126.54430298852947</v>
      </c>
      <c r="F53" s="1">
        <f t="shared" si="1"/>
        <v>98194.272418948938</v>
      </c>
      <c r="G53" s="1">
        <f t="shared" si="9"/>
        <v>311.4810966711446</v>
      </c>
      <c r="H53" s="1">
        <f t="shared" si="2"/>
        <v>981942.72418948938</v>
      </c>
      <c r="I53" s="1">
        <f t="shared" si="10"/>
        <v>984.98971356790798</v>
      </c>
      <c r="J53" s="1">
        <f t="shared" si="11"/>
        <v>4909713.6209474467</v>
      </c>
      <c r="K53" s="1">
        <f t="shared" si="12"/>
        <v>2213.1114516699276</v>
      </c>
      <c r="L53" s="1">
        <f t="shared" si="3"/>
        <v>16365.712069824824</v>
      </c>
      <c r="M53" s="1">
        <f t="shared" si="13"/>
        <v>126.27280845176016</v>
      </c>
      <c r="N53" s="1">
        <f t="shared" si="4"/>
        <v>98194.272418948938</v>
      </c>
      <c r="O53" s="1">
        <f t="shared" si="14"/>
        <v>310.80631469130697</v>
      </c>
      <c r="P53" s="1">
        <f t="shared" si="5"/>
        <v>981942.72418948938</v>
      </c>
      <c r="Q53" s="1">
        <f t="shared" si="15"/>
        <v>982.85586558758314</v>
      </c>
    </row>
    <row r="54" spans="1:17">
      <c r="A54" s="1">
        <v>2E-12</v>
      </c>
      <c r="B54" s="1">
        <f t="shared" si="16"/>
        <v>0.12081883682382444</v>
      </c>
      <c r="C54" s="1">
        <f t="shared" si="6"/>
        <v>290945.9923524413</v>
      </c>
      <c r="D54" s="1">
        <f t="shared" si="7"/>
        <v>13092.569655859859</v>
      </c>
      <c r="E54" s="1">
        <f t="shared" si="8"/>
        <v>112.88136915816447</v>
      </c>
      <c r="F54" s="1">
        <f t="shared" si="1"/>
        <v>78555.417935159159</v>
      </c>
      <c r="G54" s="1">
        <f t="shared" si="9"/>
        <v>278.18180475964982</v>
      </c>
      <c r="H54" s="1">
        <f t="shared" si="2"/>
        <v>785554.17935159162</v>
      </c>
      <c r="I54" s="1">
        <f t="shared" si="10"/>
        <v>879.68810665676233</v>
      </c>
      <c r="J54" s="1">
        <f t="shared" si="11"/>
        <v>3927770.896757958</v>
      </c>
      <c r="K54" s="1">
        <f t="shared" si="12"/>
        <v>1978.8700616376641</v>
      </c>
      <c r="L54" s="1">
        <f t="shared" si="3"/>
        <v>13092.569655859859</v>
      </c>
      <c r="M54" s="1">
        <f t="shared" si="13"/>
        <v>112.5804980546738</v>
      </c>
      <c r="N54" s="1">
        <f t="shared" si="4"/>
        <v>78555.417935159159</v>
      </c>
      <c r="O54" s="1">
        <f t="shared" si="14"/>
        <v>277.43134494902478</v>
      </c>
      <c r="P54" s="1">
        <f t="shared" si="5"/>
        <v>785554.17935159162</v>
      </c>
      <c r="Q54" s="1">
        <f t="shared" si="15"/>
        <v>877.31494436276853</v>
      </c>
    </row>
    <row r="55" spans="1:17">
      <c r="A55" s="1">
        <v>1.5000000000000001E-12</v>
      </c>
      <c r="B55" s="1">
        <f t="shared" si="16"/>
        <v>9.0614127617868329E-2</v>
      </c>
      <c r="C55" s="1">
        <f t="shared" si="6"/>
        <v>218209.49426433101</v>
      </c>
      <c r="D55" s="1">
        <f t="shared" si="7"/>
        <v>9819.4272418948949</v>
      </c>
      <c r="E55" s="1">
        <f t="shared" si="8"/>
        <v>97.325016326766615</v>
      </c>
      <c r="F55" s="1">
        <f t="shared" si="1"/>
        <v>58916.563451369373</v>
      </c>
      <c r="G55" s="1">
        <f t="shared" si="9"/>
        <v>240.31655150993907</v>
      </c>
      <c r="H55" s="1">
        <f t="shared" si="2"/>
        <v>589165.63451369375</v>
      </c>
      <c r="I55" s="1">
        <f t="shared" si="10"/>
        <v>759.94766220858401</v>
      </c>
      <c r="J55" s="1">
        <f t="shared" si="11"/>
        <v>2945828.1725684688</v>
      </c>
      <c r="K55" s="1">
        <f t="shared" si="12"/>
        <v>1712.8910911248963</v>
      </c>
      <c r="L55" s="1">
        <f t="shared" si="3"/>
        <v>9819.4272418948949</v>
      </c>
      <c r="M55" s="1">
        <f t="shared" si="13"/>
        <v>96.982637242602109</v>
      </c>
      <c r="N55" s="1">
        <f t="shared" si="4"/>
        <v>58916.563451369373</v>
      </c>
      <c r="O55" s="1">
        <f t="shared" si="14"/>
        <v>239.45754480408033</v>
      </c>
      <c r="P55" s="1">
        <f t="shared" si="5"/>
        <v>589165.63451369375</v>
      </c>
      <c r="Q55" s="1">
        <f t="shared" si="15"/>
        <v>757.23124449271199</v>
      </c>
    </row>
    <row r="56" spans="1:17">
      <c r="A56" s="1">
        <v>9.9999999999999998E-13</v>
      </c>
      <c r="B56" s="1">
        <f t="shared" si="16"/>
        <v>6.0409418411912219E-2</v>
      </c>
      <c r="C56" s="1">
        <f t="shared" si="6"/>
        <v>145472.99617622065</v>
      </c>
      <c r="D56" s="1">
        <f t="shared" si="7"/>
        <v>6546.2848279299296</v>
      </c>
      <c r="E56" s="1">
        <f t="shared" si="8"/>
        <v>78.772141929466059</v>
      </c>
      <c r="F56" s="1">
        <f t="shared" si="1"/>
        <v>39277.70896757958</v>
      </c>
      <c r="G56" s="1">
        <f t="shared" si="9"/>
        <v>195.25518302496144</v>
      </c>
      <c r="H56" s="1">
        <f t="shared" si="2"/>
        <v>392777.08967579581</v>
      </c>
      <c r="I56" s="1">
        <f t="shared" si="10"/>
        <v>617.4511033119237</v>
      </c>
      <c r="J56" s="1">
        <f t="shared" si="11"/>
        <v>1963885.448378979</v>
      </c>
      <c r="K56" s="1">
        <f t="shared" si="12"/>
        <v>1397.1674492162927</v>
      </c>
      <c r="L56" s="1">
        <f t="shared" si="3"/>
        <v>6546.2848279299296</v>
      </c>
      <c r="M56" s="1">
        <f t="shared" si="13"/>
        <v>78.364713757404587</v>
      </c>
      <c r="N56" s="1">
        <f t="shared" si="4"/>
        <v>39277.70896757958</v>
      </c>
      <c r="O56" s="1">
        <f t="shared" si="14"/>
        <v>194.22121104877377</v>
      </c>
      <c r="P56" s="1">
        <f t="shared" si="5"/>
        <v>392777.08967579581</v>
      </c>
      <c r="Q56" s="1">
        <f t="shared" si="15"/>
        <v>614.18139683038532</v>
      </c>
    </row>
    <row r="57" spans="1:17">
      <c r="A57" s="1">
        <v>9.4999999999999999E-13</v>
      </c>
      <c r="B57" s="1">
        <f t="shared" si="16"/>
        <v>5.7388947491316608E-2</v>
      </c>
      <c r="C57" s="1">
        <f t="shared" si="6"/>
        <v>138199.34636740963</v>
      </c>
      <c r="D57" s="1">
        <f t="shared" si="7"/>
        <v>6218.9705865334336</v>
      </c>
      <c r="E57" s="1">
        <f t="shared" si="8"/>
        <v>76.672483441011522</v>
      </c>
      <c r="F57" s="1">
        <f t="shared" si="1"/>
        <v>37313.823519200603</v>
      </c>
      <c r="G57" s="1">
        <f t="shared" si="9"/>
        <v>190.16435015193863</v>
      </c>
      <c r="H57" s="1">
        <f t="shared" si="2"/>
        <v>373138.23519200605</v>
      </c>
      <c r="I57" s="1">
        <f t="shared" si="10"/>
        <v>601.35247624591284</v>
      </c>
      <c r="J57" s="1">
        <f t="shared" si="11"/>
        <v>1865691.1759600302</v>
      </c>
      <c r="K57" s="1">
        <f t="shared" si="12"/>
        <v>1361.5749500346242</v>
      </c>
      <c r="L57" s="1">
        <f t="shared" si="3"/>
        <v>6218.9705865334336</v>
      </c>
      <c r="M57" s="1">
        <f t="shared" si="13"/>
        <v>76.256345641157338</v>
      </c>
      <c r="N57" s="1">
        <f t="shared" si="4"/>
        <v>37313.823519200603</v>
      </c>
      <c r="O57" s="1">
        <f t="shared" si="14"/>
        <v>189.10639916399097</v>
      </c>
      <c r="P57" s="1">
        <f t="shared" si="5"/>
        <v>373138.23519200605</v>
      </c>
      <c r="Q57" s="1">
        <f t="shared" si="15"/>
        <v>598.00694147117292</v>
      </c>
    </row>
    <row r="58" spans="1:17">
      <c r="A58" s="1">
        <v>9E-13</v>
      </c>
      <c r="B58" s="1">
        <f t="shared" si="16"/>
        <v>5.4368476570720997E-2</v>
      </c>
      <c r="C58" s="1">
        <f t="shared" si="6"/>
        <v>130925.6965585986</v>
      </c>
      <c r="D58" s="1">
        <f t="shared" si="7"/>
        <v>5891.6563451369375</v>
      </c>
      <c r="E58" s="1">
        <f t="shared" si="8"/>
        <v>74.514339903385462</v>
      </c>
      <c r="F58" s="1">
        <f t="shared" si="1"/>
        <v>35349.938070821627</v>
      </c>
      <c r="G58" s="1">
        <f t="shared" si="9"/>
        <v>184.93394734620807</v>
      </c>
      <c r="H58" s="1">
        <f t="shared" si="2"/>
        <v>353499.38070821628</v>
      </c>
      <c r="I58" s="1">
        <f t="shared" si="10"/>
        <v>584.81249029966909</v>
      </c>
      <c r="J58" s="1">
        <f t="shared" si="11"/>
        <v>1767496.9035410814</v>
      </c>
      <c r="K58" s="1">
        <f t="shared" si="12"/>
        <v>1325.0268753104624</v>
      </c>
      <c r="L58" s="1">
        <f t="shared" si="3"/>
        <v>5891.6563451369375</v>
      </c>
      <c r="M58" s="1">
        <f t="shared" si="13"/>
        <v>74.08892214963349</v>
      </c>
      <c r="N58" s="1">
        <f t="shared" si="4"/>
        <v>35349.938070821627</v>
      </c>
      <c r="O58" s="1">
        <f t="shared" si="14"/>
        <v>183.85028005614646</v>
      </c>
      <c r="P58" s="1">
        <f t="shared" si="5"/>
        <v>353499.38070821628</v>
      </c>
      <c r="Q58" s="1">
        <f t="shared" si="15"/>
        <v>581.38563343725207</v>
      </c>
    </row>
    <row r="59" spans="1:17">
      <c r="A59" s="1">
        <v>8.5000000000000001E-13</v>
      </c>
      <c r="B59" s="1">
        <f t="shared" si="16"/>
        <v>5.1348005650125386E-2</v>
      </c>
      <c r="C59" s="1">
        <f t="shared" si="6"/>
        <v>123652.04674978757</v>
      </c>
      <c r="D59" s="1">
        <f t="shared" si="7"/>
        <v>5564.3421037404405</v>
      </c>
      <c r="E59" s="1">
        <f t="shared" si="8"/>
        <v>72.292585722865581</v>
      </c>
      <c r="F59" s="1">
        <f t="shared" si="1"/>
        <v>33386.052622442643</v>
      </c>
      <c r="G59" s="1">
        <f t="shared" si="9"/>
        <v>179.55186861751744</v>
      </c>
      <c r="H59" s="1">
        <f t="shared" si="2"/>
        <v>333860.52622442646</v>
      </c>
      <c r="I59" s="1">
        <f t="shared" si="10"/>
        <v>567.79286297066335</v>
      </c>
      <c r="J59" s="1">
        <f t="shared" si="11"/>
        <v>1669302.6311221321</v>
      </c>
      <c r="K59" s="1">
        <f t="shared" si="12"/>
        <v>1287.441874648161</v>
      </c>
      <c r="L59" s="1">
        <f t="shared" si="3"/>
        <v>5564.3421037404405</v>
      </c>
      <c r="M59" s="1">
        <f t="shared" si="13"/>
        <v>71.857254872714137</v>
      </c>
      <c r="N59" s="1">
        <f t="shared" si="4"/>
        <v>33386.052622442643</v>
      </c>
      <c r="O59" s="1">
        <f t="shared" si="14"/>
        <v>178.4405293505005</v>
      </c>
      <c r="P59" s="1">
        <f t="shared" si="5"/>
        <v>333860.52622442646</v>
      </c>
      <c r="Q59" s="1">
        <f t="shared" si="15"/>
        <v>564.27849963370772</v>
      </c>
    </row>
    <row r="60" spans="1:17">
      <c r="A60" s="1">
        <v>8.0000000000000002E-13</v>
      </c>
      <c r="B60" s="1">
        <f t="shared" si="16"/>
        <v>4.8327534729529775E-2</v>
      </c>
      <c r="C60" s="1">
        <f t="shared" si="6"/>
        <v>116378.39694097651</v>
      </c>
      <c r="D60" s="1">
        <f t="shared" si="7"/>
        <v>5237.0278623439435</v>
      </c>
      <c r="E60" s="1">
        <f t="shared" si="8"/>
        <v>70.001307193673256</v>
      </c>
      <c r="F60" s="1">
        <f t="shared" si="1"/>
        <v>31422.167174063659</v>
      </c>
      <c r="G60" s="1">
        <f t="shared" si="9"/>
        <v>174.00415637856062</v>
      </c>
      <c r="H60" s="1">
        <f t="shared" si="2"/>
        <v>314221.67174063658</v>
      </c>
      <c r="I60" s="1">
        <f t="shared" si="10"/>
        <v>550.24945649236747</v>
      </c>
      <c r="J60" s="1">
        <f t="shared" si="11"/>
        <v>1571108.358703183</v>
      </c>
      <c r="K60" s="1">
        <f t="shared" si="12"/>
        <v>1248.7263573915513</v>
      </c>
      <c r="L60" s="1">
        <f t="shared" si="3"/>
        <v>5237.0278623439435</v>
      </c>
      <c r="M60" s="1">
        <f t="shared" si="13"/>
        <v>69.555357753907202</v>
      </c>
      <c r="N60" s="1">
        <f t="shared" si="4"/>
        <v>31422.167174063659</v>
      </c>
      <c r="O60" s="1">
        <f t="shared" si="14"/>
        <v>172.86293112483429</v>
      </c>
      <c r="P60" s="1">
        <f t="shared" si="5"/>
        <v>314221.67174063658</v>
      </c>
      <c r="Q60" s="1">
        <f t="shared" si="15"/>
        <v>546.64058536728862</v>
      </c>
    </row>
    <row r="61" spans="1:17">
      <c r="A61" s="1">
        <v>7.5000000000000004E-13</v>
      </c>
      <c r="B61" s="1">
        <f t="shared" si="16"/>
        <v>4.5307063808934164E-2</v>
      </c>
      <c r="C61" s="1">
        <f t="shared" si="6"/>
        <v>109104.7471321655</v>
      </c>
      <c r="D61" s="1">
        <f t="shared" si="7"/>
        <v>4909.7136209474475</v>
      </c>
      <c r="E61" s="1">
        <f t="shared" si="8"/>
        <v>67.633623204330675</v>
      </c>
      <c r="F61" s="1">
        <f t="shared" si="1"/>
        <v>29458.281725684687</v>
      </c>
      <c r="G61" s="1">
        <f t="shared" si="9"/>
        <v>168.274580448395</v>
      </c>
      <c r="H61" s="1">
        <f t="shared" si="2"/>
        <v>294582.81725684687</v>
      </c>
      <c r="I61" s="1">
        <f t="shared" si="10"/>
        <v>532.13094652616621</v>
      </c>
      <c r="J61" s="1">
        <f t="shared" si="11"/>
        <v>1472914.0862842344</v>
      </c>
      <c r="K61" s="1">
        <f t="shared" si="12"/>
        <v>1208.7717482901974</v>
      </c>
      <c r="L61" s="1">
        <f t="shared" si="3"/>
        <v>4909.7136209474475</v>
      </c>
      <c r="M61" s="1">
        <f t="shared" si="13"/>
        <v>67.176266077685355</v>
      </c>
      <c r="N61" s="1">
        <f t="shared" si="4"/>
        <v>29458.281725684687</v>
      </c>
      <c r="O61" s="1">
        <f t="shared" si="14"/>
        <v>167.10094718074387</v>
      </c>
      <c r="P61" s="1">
        <f t="shared" si="5"/>
        <v>294582.81725684687</v>
      </c>
      <c r="Q61" s="1">
        <f t="shared" si="15"/>
        <v>528.41959226264271</v>
      </c>
    </row>
    <row r="62" spans="1:17">
      <c r="A62" s="1">
        <v>7.0000000000000005E-13</v>
      </c>
      <c r="B62" s="1">
        <f t="shared" si="16"/>
        <v>4.2286592888338553E-2</v>
      </c>
      <c r="C62" s="1">
        <f t="shared" si="6"/>
        <v>101831.09732335448</v>
      </c>
      <c r="D62" s="1">
        <f t="shared" si="7"/>
        <v>4582.3993795509514</v>
      </c>
      <c r="E62" s="1">
        <f t="shared" si="8"/>
        <v>65.181450284458009</v>
      </c>
      <c r="F62" s="1">
        <f t="shared" si="1"/>
        <v>27494.39627730571</v>
      </c>
      <c r="G62" s="1">
        <f t="shared" si="9"/>
        <v>162.34408584202444</v>
      </c>
      <c r="H62" s="1">
        <f t="shared" si="2"/>
        <v>274943.96277305711</v>
      </c>
      <c r="I62" s="1">
        <f t="shared" si="10"/>
        <v>513.37707591869162</v>
      </c>
      <c r="J62" s="1">
        <f t="shared" si="11"/>
        <v>1374719.8138652856</v>
      </c>
      <c r="K62" s="1">
        <f t="shared" si="12"/>
        <v>1167.4508976345942</v>
      </c>
      <c r="L62" s="1">
        <f t="shared" si="3"/>
        <v>4582.3993795509514</v>
      </c>
      <c r="M62" s="1">
        <f t="shared" si="13"/>
        <v>64.711799522419312</v>
      </c>
      <c r="N62" s="1">
        <f t="shared" si="4"/>
        <v>27494.39627730571</v>
      </c>
      <c r="O62" s="1">
        <f t="shared" si="14"/>
        <v>161.13515212394029</v>
      </c>
      <c r="P62" s="1">
        <f t="shared" si="5"/>
        <v>274943.96277305711</v>
      </c>
      <c r="Q62" s="1">
        <f t="shared" si="15"/>
        <v>509.55409182936978</v>
      </c>
    </row>
    <row r="63" spans="1:17">
      <c r="A63" s="1">
        <v>6.4999999999999996E-13</v>
      </c>
      <c r="B63" s="1">
        <f t="shared" si="16"/>
        <v>3.9266121967742942E-2</v>
      </c>
      <c r="C63" s="1">
        <f t="shared" si="6"/>
        <v>94557.447514543441</v>
      </c>
      <c r="D63" s="1">
        <f t="shared" si="7"/>
        <v>4255.0851381544553</v>
      </c>
      <c r="E63" s="1">
        <f t="shared" si="8"/>
        <v>62.635189472788831</v>
      </c>
      <c r="F63" s="1">
        <f t="shared" si="1"/>
        <v>25530.51082892673</v>
      </c>
      <c r="G63" s="1">
        <f t="shared" si="9"/>
        <v>156.19005580812282</v>
      </c>
      <c r="H63" s="1">
        <f t="shared" si="2"/>
        <v>255305.10828926729</v>
      </c>
      <c r="I63" s="1">
        <f t="shared" si="10"/>
        <v>493.9163242224792</v>
      </c>
      <c r="J63" s="1">
        <f t="shared" si="11"/>
        <v>1276525.5414463365</v>
      </c>
      <c r="K63" s="1">
        <f t="shared" si="12"/>
        <v>1124.6133039197682</v>
      </c>
      <c r="L63" s="1">
        <f t="shared" si="3"/>
        <v>4255.0851381544553</v>
      </c>
      <c r="M63" s="1">
        <f t="shared" si="13"/>
        <v>62.152246798335057</v>
      </c>
      <c r="N63" s="1">
        <f t="shared" si="4"/>
        <v>25530.51082892673</v>
      </c>
      <c r="O63" s="1">
        <f t="shared" si="14"/>
        <v>154.94247962926875</v>
      </c>
      <c r="P63" s="1">
        <f t="shared" si="5"/>
        <v>255305.10828926729</v>
      </c>
      <c r="Q63" s="1">
        <f t="shared" si="15"/>
        <v>489.9711419427307</v>
      </c>
    </row>
    <row r="64" spans="1:17">
      <c r="A64" s="1">
        <v>5.9999999999999997E-13</v>
      </c>
      <c r="B64" s="1">
        <f t="shared" si="16"/>
        <v>3.6245651047147331E-2</v>
      </c>
      <c r="C64" s="1">
        <f t="shared" si="6"/>
        <v>87283.797705732402</v>
      </c>
      <c r="D64" s="1">
        <f t="shared" si="7"/>
        <v>3927.7708967579583</v>
      </c>
      <c r="E64" s="1">
        <f t="shared" si="8"/>
        <v>59.983300945102947</v>
      </c>
      <c r="F64" s="1">
        <f t="shared" si="1"/>
        <v>23566.62538054775</v>
      </c>
      <c r="G64" s="1">
        <f t="shared" si="9"/>
        <v>149.78530877780435</v>
      </c>
      <c r="H64" s="1">
        <f t="shared" si="2"/>
        <v>235666.25380547749</v>
      </c>
      <c r="I64" s="1">
        <f t="shared" si="10"/>
        <v>473.66273576947339</v>
      </c>
      <c r="J64" s="1">
        <f t="shared" si="11"/>
        <v>1178331.2690273875</v>
      </c>
      <c r="K64" s="1">
        <f t="shared" si="12"/>
        <v>1080.078630615064</v>
      </c>
      <c r="L64" s="1">
        <f t="shared" si="3"/>
        <v>3927.7708967579583</v>
      </c>
      <c r="M64" s="1">
        <f t="shared" si="13"/>
        <v>59.485937966790786</v>
      </c>
      <c r="N64" s="1">
        <f t="shared" si="4"/>
        <v>23566.62538054775</v>
      </c>
      <c r="O64" s="1">
        <f t="shared" si="14"/>
        <v>148.49519702570703</v>
      </c>
      <c r="P64" s="1">
        <f t="shared" si="5"/>
        <v>235666.25380547749</v>
      </c>
      <c r="Q64" s="1">
        <f t="shared" si="15"/>
        <v>469.58304419669543</v>
      </c>
    </row>
    <row r="65" spans="1:17">
      <c r="A65" s="1">
        <v>5.4999999999999998E-13</v>
      </c>
      <c r="B65" s="1">
        <f t="shared" si="16"/>
        <v>3.322518012655172E-2</v>
      </c>
      <c r="C65" s="1">
        <f t="shared" si="6"/>
        <v>80010.147896921364</v>
      </c>
      <c r="D65" s="1">
        <f t="shared" si="7"/>
        <v>3600.4566553614618</v>
      </c>
      <c r="E65" s="1">
        <f t="shared" si="8"/>
        <v>57.211713438007081</v>
      </c>
      <c r="F65" s="1">
        <f t="shared" si="1"/>
        <v>21602.73993216877</v>
      </c>
      <c r="G65" s="1">
        <f t="shared" si="9"/>
        <v>143.09670204345949</v>
      </c>
      <c r="H65" s="1">
        <f t="shared" si="2"/>
        <v>216027.3993216877</v>
      </c>
      <c r="I65" s="1">
        <f t="shared" si="10"/>
        <v>452.51150411580278</v>
      </c>
      <c r="J65" s="1">
        <f t="shared" si="11"/>
        <v>1080136.9966084384</v>
      </c>
      <c r="K65" s="1">
        <f t="shared" si="12"/>
        <v>1033.6277079069016</v>
      </c>
      <c r="L65" s="1">
        <f t="shared" si="3"/>
        <v>3600.4566553614618</v>
      </c>
      <c r="M65" s="1">
        <f t="shared" si="13"/>
        <v>56.698651906581262</v>
      </c>
      <c r="N65" s="1">
        <f t="shared" si="4"/>
        <v>21602.73993216877</v>
      </c>
      <c r="O65" s="1">
        <f t="shared" si="14"/>
        <v>141.75947888218101</v>
      </c>
      <c r="P65" s="1">
        <f t="shared" si="5"/>
        <v>216027.3993216877</v>
      </c>
      <c r="Q65" s="1">
        <f t="shared" si="15"/>
        <v>448.28283318623215</v>
      </c>
    </row>
    <row r="66" spans="1:17">
      <c r="A66" s="1">
        <v>4.9999999999999999E-13</v>
      </c>
      <c r="B66" s="1">
        <f t="shared" si="16"/>
        <v>3.020470920595611E-2</v>
      </c>
      <c r="C66" s="1">
        <f t="shared" si="6"/>
        <v>72736.498088110326</v>
      </c>
      <c r="D66" s="1">
        <f t="shared" si="7"/>
        <v>3273.1424139649648</v>
      </c>
      <c r="E66" s="1">
        <f t="shared" si="8"/>
        <v>54.302983464607188</v>
      </c>
      <c r="F66" s="1">
        <f t="shared" si="1"/>
        <v>19638.85448378979</v>
      </c>
      <c r="G66" s="1">
        <f t="shared" si="9"/>
        <v>136.08313661088039</v>
      </c>
      <c r="H66" s="1">
        <f t="shared" si="2"/>
        <v>196388.54483789791</v>
      </c>
      <c r="I66" s="1">
        <f t="shared" si="10"/>
        <v>430.33266283022874</v>
      </c>
      <c r="J66" s="1">
        <f t="shared" si="11"/>
        <v>981942.7241894895</v>
      </c>
      <c r="K66" s="1">
        <f t="shared" si="12"/>
        <v>984.9897135679081</v>
      </c>
      <c r="L66" s="1">
        <f t="shared" si="3"/>
        <v>3273.1424139649648</v>
      </c>
      <c r="M66" s="1">
        <f t="shared" si="13"/>
        <v>53.772774970900471</v>
      </c>
      <c r="N66" s="1">
        <f t="shared" si="4"/>
        <v>19638.85448378979</v>
      </c>
      <c r="O66" s="1">
        <f t="shared" si="14"/>
        <v>134.69337111019075</v>
      </c>
      <c r="P66" s="1">
        <f t="shared" si="5"/>
        <v>196388.54483789791</v>
      </c>
      <c r="Q66" s="1">
        <f t="shared" si="15"/>
        <v>425.93783843452519</v>
      </c>
    </row>
    <row r="67" spans="1:17">
      <c r="A67" s="1">
        <v>4.5E-13</v>
      </c>
      <c r="B67" s="1">
        <f t="shared" si="16"/>
        <v>2.7184238285360499E-2</v>
      </c>
      <c r="C67" s="1">
        <f t="shared" si="6"/>
        <v>65462.848279299302</v>
      </c>
      <c r="D67" s="1">
        <f t="shared" si="7"/>
        <v>2945.8281725684687</v>
      </c>
      <c r="E67" s="1">
        <f t="shared" si="8"/>
        <v>51.235062818861763</v>
      </c>
      <c r="F67" s="1">
        <f t="shared" si="1"/>
        <v>17674.969035410813</v>
      </c>
      <c r="G67" s="1">
        <f t="shared" si="9"/>
        <v>128.6926179640914</v>
      </c>
      <c r="H67" s="1">
        <f t="shared" si="2"/>
        <v>176749.69035410814</v>
      </c>
      <c r="I67" s="1">
        <f t="shared" si="10"/>
        <v>406.96179081643004</v>
      </c>
      <c r="J67" s="1">
        <f t="shared" si="11"/>
        <v>883748.45177054068</v>
      </c>
      <c r="K67" s="1">
        <f t="shared" si="12"/>
        <v>933.82334153036822</v>
      </c>
      <c r="L67" s="1">
        <f t="shared" si="3"/>
        <v>2945.8281725684687</v>
      </c>
      <c r="M67" s="1">
        <f t="shared" si="13"/>
        <v>50.686071800700383</v>
      </c>
      <c r="N67" s="1">
        <f t="shared" si="4"/>
        <v>17674.969035410813</v>
      </c>
      <c r="O67" s="1">
        <f t="shared" si="14"/>
        <v>127.24379656870721</v>
      </c>
      <c r="P67" s="1">
        <f t="shared" si="5"/>
        <v>176749.69035410814</v>
      </c>
      <c r="Q67" s="1">
        <f t="shared" si="15"/>
        <v>402.38021528423275</v>
      </c>
    </row>
    <row r="68" spans="1:17">
      <c r="A68" s="1">
        <v>4.0000000000000001E-13</v>
      </c>
      <c r="B68" s="1">
        <f t="shared" si="16"/>
        <v>2.4163767364764888E-2</v>
      </c>
      <c r="C68" s="1">
        <f t="shared" si="6"/>
        <v>58189.198470488256</v>
      </c>
      <c r="D68" s="1">
        <f t="shared" si="7"/>
        <v>2618.5139311719718</v>
      </c>
      <c r="E68" s="1">
        <f t="shared" si="8"/>
        <v>47.979428534254424</v>
      </c>
      <c r="F68" s="1">
        <f t="shared" si="1"/>
        <v>15711.08358703183</v>
      </c>
      <c r="G68" s="1">
        <f t="shared" si="9"/>
        <v>120.85776596904741</v>
      </c>
      <c r="H68" s="1">
        <f t="shared" si="2"/>
        <v>157110.83587031829</v>
      </c>
      <c r="I68" s="1">
        <f t="shared" si="10"/>
        <v>382.18581338177682</v>
      </c>
      <c r="J68" s="1">
        <f t="shared" si="11"/>
        <v>785554.17935159151</v>
      </c>
      <c r="K68" s="1">
        <f t="shared" si="12"/>
        <v>879.68810665676222</v>
      </c>
      <c r="L68" s="1">
        <f t="shared" si="3"/>
        <v>2618.5139311719718</v>
      </c>
      <c r="M68" s="1">
        <f t="shared" si="13"/>
        <v>47.409828298521973</v>
      </c>
      <c r="N68" s="1">
        <f t="shared" si="4"/>
        <v>15711.08358703183</v>
      </c>
      <c r="O68" s="1">
        <f t="shared" si="14"/>
        <v>119.34199149317716</v>
      </c>
      <c r="P68" s="1">
        <f t="shared" si="5"/>
        <v>157110.83587031829</v>
      </c>
      <c r="Q68" s="1">
        <f t="shared" si="15"/>
        <v>377.39251361887887</v>
      </c>
    </row>
    <row r="69" spans="1:17">
      <c r="A69" s="1">
        <v>3.5000000000000002E-13</v>
      </c>
      <c r="B69" s="1">
        <f t="shared" si="16"/>
        <v>2.1143296444169277E-2</v>
      </c>
      <c r="C69" s="1">
        <f t="shared" si="6"/>
        <v>50915.54866167724</v>
      </c>
      <c r="D69" s="1">
        <f t="shared" si="7"/>
        <v>2291.1996897754757</v>
      </c>
      <c r="E69" s="1">
        <f t="shared" si="8"/>
        <v>44.498126027252432</v>
      </c>
      <c r="F69" s="1">
        <f t="shared" si="1"/>
        <v>13747.198138652855</v>
      </c>
      <c r="G69" s="1">
        <f t="shared" si="9"/>
        <v>112.48864823198058</v>
      </c>
      <c r="H69" s="1">
        <f t="shared" si="2"/>
        <v>137471.98138652855</v>
      </c>
      <c r="I69" s="1">
        <f t="shared" si="10"/>
        <v>355.72033932653142</v>
      </c>
      <c r="J69" s="1">
        <f t="shared" si="11"/>
        <v>687359.9069326428</v>
      </c>
      <c r="K69" s="1">
        <f t="shared" si="12"/>
        <v>821.99862936089755</v>
      </c>
      <c r="L69" s="1">
        <f t="shared" si="3"/>
        <v>2291.1996897754757</v>
      </c>
      <c r="M69" s="1">
        <f t="shared" si="13"/>
        <v>43.905931688303468</v>
      </c>
      <c r="N69" s="1">
        <f t="shared" si="4"/>
        <v>13747.198138652855</v>
      </c>
      <c r="O69" s="1">
        <f t="shared" si="14"/>
        <v>110.89624647178627</v>
      </c>
      <c r="P69" s="1">
        <f t="shared" si="5"/>
        <v>137471.98138652855</v>
      </c>
      <c r="Q69" s="1">
        <f t="shared" si="15"/>
        <v>350.68472281425619</v>
      </c>
    </row>
    <row r="70" spans="1:17">
      <c r="A70" s="1">
        <v>2.9999999999999998E-13</v>
      </c>
      <c r="B70" s="1">
        <f>A70*$C$4/($C$2*$C$3/(1.2*10^-7))</f>
        <v>1.8122825523573666E-2</v>
      </c>
      <c r="C70" s="1">
        <f t="shared" si="6"/>
        <v>43641.898852866201</v>
      </c>
      <c r="D70" s="1">
        <f t="shared" si="7"/>
        <v>1963.8854483789792</v>
      </c>
      <c r="E70" s="1">
        <f t="shared" si="8"/>
        <v>40.738852684909155</v>
      </c>
      <c r="F70" s="1">
        <f t="shared" si="1"/>
        <v>11783.312690273875</v>
      </c>
      <c r="G70" s="1">
        <f t="shared" si="9"/>
        <v>103.46070614080753</v>
      </c>
      <c r="H70" s="1">
        <f t="shared" si="2"/>
        <v>117833.12690273875</v>
      </c>
      <c r="I70" s="1">
        <f t="shared" si="10"/>
        <v>327.17147973432111</v>
      </c>
      <c r="J70" s="1">
        <f t="shared" si="11"/>
        <v>589165.63451369375</v>
      </c>
      <c r="K70" s="1">
        <f t="shared" si="12"/>
        <v>759.94766220858401</v>
      </c>
      <c r="L70" s="1">
        <f t="shared" si="3"/>
        <v>1963.8854483789792</v>
      </c>
      <c r="M70" s="1">
        <f t="shared" si="13"/>
        <v>40.122051153857015</v>
      </c>
      <c r="N70" s="1">
        <f t="shared" si="4"/>
        <v>11783.312690273875</v>
      </c>
      <c r="O70" s="1">
        <f t="shared" si="14"/>
        <v>101.77973782207992</v>
      </c>
      <c r="P70" s="1">
        <f t="shared" si="5"/>
        <v>117833.12690273875</v>
      </c>
      <c r="Q70" s="1">
        <f t="shared" si="15"/>
        <v>321.85579117255799</v>
      </c>
    </row>
    <row r="71" spans="1:17">
      <c r="A71" s="1">
        <v>2.4999999999999999E-13</v>
      </c>
      <c r="B71" s="1">
        <f t="shared" si="16"/>
        <v>1.5102354602978055E-2</v>
      </c>
      <c r="C71" s="1">
        <f t="shared" si="6"/>
        <v>36368.249044055163</v>
      </c>
      <c r="D71" s="1">
        <f t="shared" si="7"/>
        <v>1636.5712069824824</v>
      </c>
      <c r="E71" s="1">
        <f t="shared" si="8"/>
        <v>36.626254117239441</v>
      </c>
      <c r="F71" s="1">
        <f t="shared" si="1"/>
        <v>9819.4272418948949</v>
      </c>
      <c r="G71" s="1">
        <f t="shared" si="9"/>
        <v>93.592973395441291</v>
      </c>
      <c r="H71" s="1">
        <f t="shared" si="2"/>
        <v>98194.272418948953</v>
      </c>
      <c r="I71" s="1">
        <f t="shared" si="10"/>
        <v>295.96696891713742</v>
      </c>
      <c r="J71" s="1">
        <f t="shared" si="11"/>
        <v>490971.36209474475</v>
      </c>
      <c r="K71" s="1">
        <f t="shared" si="12"/>
        <v>692.36697662530105</v>
      </c>
      <c r="L71" s="1">
        <f t="shared" si="3"/>
        <v>1636.5712069824824</v>
      </c>
      <c r="M71" s="1">
        <f t="shared" si="13"/>
        <v>35.983190536377712</v>
      </c>
      <c r="N71" s="1">
        <f t="shared" si="4"/>
        <v>9819.4272418948949</v>
      </c>
      <c r="O71" s="1">
        <f t="shared" si="14"/>
        <v>91.808737723364359</v>
      </c>
      <c r="P71" s="1">
        <f t="shared" si="5"/>
        <v>98194.272418948953</v>
      </c>
      <c r="Q71" s="1">
        <f t="shared" si="15"/>
        <v>290.32472031085308</v>
      </c>
    </row>
    <row r="72" spans="1:17">
      <c r="A72" s="1">
        <v>2.0000000000000001E-13</v>
      </c>
      <c r="B72" s="1">
        <f t="shared" si="16"/>
        <v>1.2081883682382444E-2</v>
      </c>
      <c r="C72" s="1">
        <f t="shared" si="6"/>
        <v>29094.599235244128</v>
      </c>
      <c r="D72" s="1">
        <f t="shared" si="7"/>
        <v>1309.2569655859859</v>
      </c>
      <c r="E72" s="1">
        <f t="shared" si="8"/>
        <v>32.045222734993715</v>
      </c>
      <c r="F72" s="1">
        <f t="shared" si="1"/>
        <v>7855.5417935159148</v>
      </c>
      <c r="G72" s="1">
        <f t="shared" si="9"/>
        <v>82.605101380438001</v>
      </c>
      <c r="H72" s="1">
        <f t="shared" si="2"/>
        <v>78555.417935159145</v>
      </c>
      <c r="I72" s="1">
        <f t="shared" si="10"/>
        <v>261.22026671130322</v>
      </c>
      <c r="J72" s="1">
        <f t="shared" si="11"/>
        <v>392777.08967579575</v>
      </c>
      <c r="K72" s="1">
        <f t="shared" si="12"/>
        <v>617.45110331192359</v>
      </c>
      <c r="L72" s="1">
        <f t="shared" si="3"/>
        <v>1309.2569655859859</v>
      </c>
      <c r="M72" s="1">
        <f t="shared" si="13"/>
        <v>31.375702596694115</v>
      </c>
      <c r="N72" s="1">
        <f t="shared" si="4"/>
        <v>7855.5417935159148</v>
      </c>
      <c r="O72" s="1">
        <f t="shared" si="14"/>
        <v>80.700108343050701</v>
      </c>
      <c r="P72" s="1">
        <f t="shared" si="5"/>
        <v>78555.417935159145</v>
      </c>
      <c r="Q72" s="1">
        <f t="shared" si="15"/>
        <v>255.19614978639709</v>
      </c>
    </row>
    <row r="73" spans="1:17">
      <c r="A73" s="1">
        <v>1.4999999999999999E-13</v>
      </c>
      <c r="B73" s="1">
        <f t="shared" si="16"/>
        <v>9.0614127617868329E-3</v>
      </c>
      <c r="C73" s="1">
        <f t="shared" si="6"/>
        <v>21820.949426433101</v>
      </c>
      <c r="D73" s="1">
        <f t="shared" si="7"/>
        <v>981.94272418948958</v>
      </c>
      <c r="E73" s="1">
        <f t="shared" si="8"/>
        <v>26.805207072418376</v>
      </c>
      <c r="F73" s="1">
        <f t="shared" si="1"/>
        <v>5891.6563451369375</v>
      </c>
      <c r="G73" s="1">
        <f t="shared" si="9"/>
        <v>70.021485233691067</v>
      </c>
      <c r="H73" s="1">
        <f t="shared" si="2"/>
        <v>58916.563451369373</v>
      </c>
      <c r="I73" s="1">
        <f t="shared" si="10"/>
        <v>221.42737848631131</v>
      </c>
      <c r="J73" s="1">
        <f t="shared" si="11"/>
        <v>294582.81725684687</v>
      </c>
      <c r="K73" s="1">
        <f t="shared" si="12"/>
        <v>532.13094652616621</v>
      </c>
      <c r="L73" s="1">
        <f t="shared" si="3"/>
        <v>981.94272418948958</v>
      </c>
      <c r="M73" s="1">
        <f t="shared" si="13"/>
        <v>26.113810472911247</v>
      </c>
      <c r="N73" s="1">
        <f t="shared" si="4"/>
        <v>5891.6563451369375</v>
      </c>
      <c r="O73" s="1">
        <f t="shared" si="14"/>
        <v>67.978182901642128</v>
      </c>
      <c r="P73" s="1">
        <f t="shared" si="5"/>
        <v>58916.563451369373</v>
      </c>
      <c r="Q73" s="1">
        <f t="shared" si="15"/>
        <v>214.965889168703</v>
      </c>
    </row>
    <row r="74" spans="1:17">
      <c r="A74" s="1">
        <v>1E-13</v>
      </c>
      <c r="B74" s="1">
        <f t="shared" si="16"/>
        <v>6.0409418411912219E-3</v>
      </c>
      <c r="C74" s="1">
        <f t="shared" si="6"/>
        <v>14547.299617622064</v>
      </c>
      <c r="D74" s="1">
        <f t="shared" si="7"/>
        <v>654.62848279299294</v>
      </c>
      <c r="E74" s="1">
        <f t="shared" si="8"/>
        <v>20.55139812770302</v>
      </c>
      <c r="F74" s="1">
        <f t="shared" si="1"/>
        <v>3927.7708967579574</v>
      </c>
      <c r="G74" s="1">
        <f t="shared" si="9"/>
        <v>54.914951502869222</v>
      </c>
      <c r="H74" s="1">
        <f t="shared" si="2"/>
        <v>39277.708967579572</v>
      </c>
      <c r="I74" s="1">
        <f t="shared" si="10"/>
        <v>173.65632434675331</v>
      </c>
      <c r="J74" s="1">
        <f t="shared" si="11"/>
        <v>196388.54483789788</v>
      </c>
      <c r="K74" s="1">
        <f t="shared" si="12"/>
        <v>430.33266283022874</v>
      </c>
      <c r="L74" s="1">
        <f t="shared" si="3"/>
        <v>654.62848279299294</v>
      </c>
      <c r="M74" s="1">
        <f t="shared" si="13"/>
        <v>19.858861875575627</v>
      </c>
      <c r="N74" s="1">
        <f t="shared" si="4"/>
        <v>3927.7708967579574</v>
      </c>
      <c r="O74" s="1">
        <f t="shared" si="14"/>
        <v>52.733535435088676</v>
      </c>
      <c r="P74" s="1">
        <f t="shared" si="5"/>
        <v>39277.708967579572</v>
      </c>
      <c r="Q74" s="1">
        <f t="shared" si="15"/>
        <v>166.75808104807854</v>
      </c>
    </row>
    <row r="75" spans="1:17">
      <c r="A75" s="1">
        <v>9.4999999999999999E-14</v>
      </c>
      <c r="B75" s="1">
        <f t="shared" si="16"/>
        <v>5.7388947491316608E-3</v>
      </c>
      <c r="C75" s="1">
        <f t="shared" si="6"/>
        <v>13819.93463674096</v>
      </c>
      <c r="D75" s="1">
        <f t="shared" si="7"/>
        <v>621.89705865334327</v>
      </c>
      <c r="E75" s="1">
        <f t="shared" si="8"/>
        <v>19.84657287676982</v>
      </c>
      <c r="F75" s="1">
        <f t="shared" si="1"/>
        <v>3731.3823519200596</v>
      </c>
      <c r="G75" s="1">
        <f t="shared" si="9"/>
        <v>53.200346847921054</v>
      </c>
      <c r="H75" s="1">
        <f t="shared" si="2"/>
        <v>37313.823519200596</v>
      </c>
      <c r="I75" s="1">
        <f t="shared" si="10"/>
        <v>168.23426835038998</v>
      </c>
      <c r="J75" s="1">
        <f t="shared" si="11"/>
        <v>186569.11759600299</v>
      </c>
      <c r="K75" s="1">
        <f t="shared" si="12"/>
        <v>418.80819527768386</v>
      </c>
      <c r="L75" s="1">
        <f t="shared" si="3"/>
        <v>621.89705865334327</v>
      </c>
      <c r="M75" s="1">
        <f t="shared" si="13"/>
        <v>19.15664302972467</v>
      </c>
      <c r="N75" s="1">
        <f t="shared" si="4"/>
        <v>3731.3823519200596</v>
      </c>
      <c r="O75" s="1">
        <f t="shared" si="14"/>
        <v>51.007819917584492</v>
      </c>
      <c r="P75" s="1">
        <f t="shared" si="5"/>
        <v>37313.823519200596</v>
      </c>
      <c r="Q75" s="1">
        <f t="shared" si="15"/>
        <v>161.30088941926917</v>
      </c>
    </row>
    <row r="76" spans="1:17">
      <c r="A76" s="1">
        <v>8.9999999999999995E-14</v>
      </c>
      <c r="B76" s="1">
        <f t="shared" si="16"/>
        <v>5.4368476570720997E-3</v>
      </c>
      <c r="C76" s="1">
        <f t="shared" si="6"/>
        <v>13092.569655859859</v>
      </c>
      <c r="D76" s="1">
        <f t="shared" si="7"/>
        <v>589.1656345136937</v>
      </c>
      <c r="E76" s="1">
        <f t="shared" si="8"/>
        <v>19.123457016917168</v>
      </c>
      <c r="F76" s="1">
        <f t="shared" si="1"/>
        <v>3534.9938070821622</v>
      </c>
      <c r="G76" s="1">
        <f t="shared" si="9"/>
        <v>51.437513819751814</v>
      </c>
      <c r="H76" s="1">
        <f t="shared" si="2"/>
        <v>35349.938070821619</v>
      </c>
      <c r="I76" s="1">
        <f t="shared" si="10"/>
        <v>162.65970084680342</v>
      </c>
      <c r="J76" s="1">
        <f t="shared" si="11"/>
        <v>176749.69035410811</v>
      </c>
      <c r="K76" s="1">
        <f t="shared" si="12"/>
        <v>406.96179081642998</v>
      </c>
      <c r="L76" s="1">
        <f t="shared" si="3"/>
        <v>589.1656345136937</v>
      </c>
      <c r="M76" s="1">
        <f t="shared" si="13"/>
        <v>18.436959913531709</v>
      </c>
      <c r="N76" s="1">
        <f t="shared" si="4"/>
        <v>3534.9938070821622</v>
      </c>
      <c r="O76" s="1">
        <f t="shared" si="14"/>
        <v>49.235072680216746</v>
      </c>
      <c r="P76" s="1">
        <f t="shared" si="5"/>
        <v>35349.938070821619</v>
      </c>
      <c r="Q76" s="1">
        <f t="shared" si="15"/>
        <v>155.6949704334159</v>
      </c>
    </row>
    <row r="77" spans="1:17">
      <c r="A77" s="1">
        <v>8.5000000000000004E-14</v>
      </c>
      <c r="B77" s="1">
        <f t="shared" si="16"/>
        <v>5.1348005650125386E-3</v>
      </c>
      <c r="C77" s="1">
        <f t="shared" si="6"/>
        <v>12365.204674978755</v>
      </c>
      <c r="D77" s="1">
        <f t="shared" si="7"/>
        <v>556.43421037404403</v>
      </c>
      <c r="E77" s="1">
        <f t="shared" si="8"/>
        <v>18.380747821541249</v>
      </c>
      <c r="F77" s="1">
        <f t="shared" si="1"/>
        <v>3338.6052622442639</v>
      </c>
      <c r="G77" s="1">
        <f t="shared" si="9"/>
        <v>49.622513846811131</v>
      </c>
      <c r="H77" s="1">
        <f t="shared" si="2"/>
        <v>33386.052622442643</v>
      </c>
      <c r="I77" s="1">
        <f t="shared" si="10"/>
        <v>156.92016697916691</v>
      </c>
      <c r="J77" s="1">
        <f t="shared" si="11"/>
        <v>166930.2631122132</v>
      </c>
      <c r="K77" s="1">
        <f t="shared" si="12"/>
        <v>394.76519614636788</v>
      </c>
      <c r="L77" s="1">
        <f t="shared" si="3"/>
        <v>556.43421037404403</v>
      </c>
      <c r="M77" s="1">
        <f t="shared" si="13"/>
        <v>17.698641773611616</v>
      </c>
      <c r="N77" s="1">
        <f t="shared" si="4"/>
        <v>3338.6052622442639</v>
      </c>
      <c r="O77" s="1">
        <f t="shared" si="14"/>
        <v>47.411675696484586</v>
      </c>
      <c r="P77" s="1">
        <f t="shared" si="5"/>
        <v>33386.052622442643</v>
      </c>
      <c r="Q77" s="1">
        <f t="shared" si="15"/>
        <v>149.92888288614131</v>
      </c>
    </row>
    <row r="78" spans="1:17">
      <c r="A78" s="1">
        <v>8E-14</v>
      </c>
      <c r="B78" s="1">
        <f t="shared" si="16"/>
        <v>4.8327534729529775E-3</v>
      </c>
      <c r="C78" s="1">
        <f t="shared" si="6"/>
        <v>11637.839694097651</v>
      </c>
      <c r="D78" s="1">
        <f t="shared" si="7"/>
        <v>523.70278623439435</v>
      </c>
      <c r="E78" s="1">
        <f t="shared" si="8"/>
        <v>17.616992616620657</v>
      </c>
      <c r="F78" s="1">
        <f t="shared" si="1"/>
        <v>3142.2167174063661</v>
      </c>
      <c r="G78" s="1">
        <f t="shared" si="9"/>
        <v>47.750873302153266</v>
      </c>
      <c r="H78" s="1">
        <f t="shared" si="2"/>
        <v>31422.167174063659</v>
      </c>
      <c r="I78" s="1">
        <f t="shared" si="10"/>
        <v>151.00151989692998</v>
      </c>
      <c r="J78" s="1">
        <f t="shared" si="11"/>
        <v>157110.83587031832</v>
      </c>
      <c r="K78" s="1">
        <f t="shared" si="12"/>
        <v>382.18581338177688</v>
      </c>
      <c r="L78" s="1">
        <f t="shared" si="3"/>
        <v>523.70278623439435</v>
      </c>
      <c r="M78" s="1">
        <f t="shared" si="13"/>
        <v>16.940392106376986</v>
      </c>
      <c r="N78" s="1">
        <f t="shared" si="4"/>
        <v>3142.2167174063661</v>
      </c>
      <c r="O78" s="1">
        <f t="shared" si="14"/>
        <v>45.53355482802796</v>
      </c>
      <c r="P78" s="1">
        <f t="shared" si="5"/>
        <v>31422.167174063659</v>
      </c>
      <c r="Q78" s="1">
        <f t="shared" si="15"/>
        <v>143.98974322072485</v>
      </c>
    </row>
    <row r="79" spans="1:17">
      <c r="A79" s="1">
        <v>7.4999999999999996E-14</v>
      </c>
      <c r="B79" s="1">
        <f t="shared" si="16"/>
        <v>4.5307063808934164E-3</v>
      </c>
      <c r="C79" s="1">
        <f t="shared" si="6"/>
        <v>10910.47471321655</v>
      </c>
      <c r="D79" s="1">
        <f t="shared" si="7"/>
        <v>490.97136209474479</v>
      </c>
      <c r="E79" s="1">
        <f t="shared" si="8"/>
        <v>16.830564727433025</v>
      </c>
      <c r="F79" s="1">
        <f t="shared" si="1"/>
        <v>2945.8281725684687</v>
      </c>
      <c r="G79" s="1">
        <f t="shared" si="9"/>
        <v>45.817480205677512</v>
      </c>
      <c r="H79" s="1">
        <f t="shared" si="2"/>
        <v>29458.281725684687</v>
      </c>
      <c r="I79" s="1">
        <f t="shared" si="10"/>
        <v>144.88759409962091</v>
      </c>
      <c r="J79" s="1">
        <f t="shared" si="11"/>
        <v>147291.40862842344</v>
      </c>
      <c r="K79" s="1">
        <f t="shared" si="12"/>
        <v>369.18571273041937</v>
      </c>
      <c r="L79" s="1">
        <f t="shared" si="3"/>
        <v>490.97136209474479</v>
      </c>
      <c r="M79" s="1">
        <f t="shared" si="13"/>
        <v>16.160769942289349</v>
      </c>
      <c r="N79" s="1">
        <f t="shared" si="4"/>
        <v>2945.8281725684687</v>
      </c>
      <c r="O79" s="1">
        <f t="shared" si="14"/>
        <v>43.596098936889973</v>
      </c>
      <c r="P79" s="1">
        <f t="shared" si="5"/>
        <v>29458.281725684687</v>
      </c>
      <c r="Q79" s="1">
        <f t="shared" si="15"/>
        <v>137.86296973861758</v>
      </c>
    </row>
    <row r="80" spans="1:17">
      <c r="A80" s="1">
        <v>7.0000000000000005E-14</v>
      </c>
      <c r="B80" s="1">
        <f t="shared" si="16"/>
        <v>4.2286592888338562E-3</v>
      </c>
      <c r="C80" s="1">
        <f t="shared" si="6"/>
        <v>10183.109732335444</v>
      </c>
      <c r="D80" s="1">
        <f t="shared" si="7"/>
        <v>458.239937955095</v>
      </c>
      <c r="E80" s="1">
        <f t="shared" si="8"/>
        <v>16.019634414249907</v>
      </c>
      <c r="F80" s="1">
        <f t="shared" si="1"/>
        <v>2749.43962773057</v>
      </c>
      <c r="G80" s="1">
        <f t="shared" si="9"/>
        <v>43.816454614930542</v>
      </c>
      <c r="H80" s="1">
        <f t="shared" si="2"/>
        <v>27494.396277305699</v>
      </c>
      <c r="I80" s="1">
        <f t="shared" si="10"/>
        <v>138.55979557657653</v>
      </c>
      <c r="J80" s="1">
        <f t="shared" si="11"/>
        <v>137471.9813865285</v>
      </c>
      <c r="K80" s="1">
        <f t="shared" si="12"/>
        <v>355.7203393265313</v>
      </c>
      <c r="L80" s="1">
        <f t="shared" si="3"/>
        <v>458.239937955095</v>
      </c>
      <c r="M80" s="1">
        <f t="shared" si="13"/>
        <v>15.358167529438985</v>
      </c>
      <c r="N80" s="1">
        <f t="shared" si="4"/>
        <v>2749.43962773057</v>
      </c>
      <c r="O80" s="1">
        <f t="shared" si="14"/>
        <v>41.594060226198266</v>
      </c>
      <c r="P80" s="1">
        <f t="shared" si="5"/>
        <v>27494.396277305699</v>
      </c>
      <c r="Q80" s="1">
        <f t="shared" si="15"/>
        <v>131.5319674490049</v>
      </c>
    </row>
    <row r="81" spans="1:17">
      <c r="A81" s="1">
        <v>6.5000000000000001E-14</v>
      </c>
      <c r="B81" s="1">
        <f t="shared" si="16"/>
        <v>3.9266121967742942E-3</v>
      </c>
      <c r="C81" s="1">
        <f t="shared" si="6"/>
        <v>9455.7447514543437</v>
      </c>
      <c r="D81" s="1">
        <f t="shared" si="7"/>
        <v>425.5085138154455</v>
      </c>
      <c r="E81" s="1">
        <f t="shared" si="8"/>
        <v>15.182133496013311</v>
      </c>
      <c r="F81" s="1">
        <f t="shared" si="1"/>
        <v>2553.0510828926731</v>
      </c>
      <c r="G81" s="1">
        <f t="shared" si="9"/>
        <v>41.740984232186904</v>
      </c>
      <c r="H81" s="1">
        <f t="shared" si="2"/>
        <v>25530.51082892673</v>
      </c>
      <c r="I81" s="1">
        <f t="shared" si="10"/>
        <v>131.99658195088523</v>
      </c>
      <c r="J81" s="1">
        <f t="shared" si="11"/>
        <v>127652.55414463366</v>
      </c>
      <c r="K81" s="1">
        <f t="shared" si="12"/>
        <v>341.73679086629511</v>
      </c>
      <c r="L81" s="1">
        <f t="shared" si="3"/>
        <v>425.5085138154455</v>
      </c>
      <c r="M81" s="1">
        <f t="shared" si="13"/>
        <v>14.530783556879877</v>
      </c>
      <c r="N81" s="1">
        <f t="shared" si="4"/>
        <v>2553.0510828926731</v>
      </c>
      <c r="O81" s="1">
        <f t="shared" si="14"/>
        <v>39.521430342676858</v>
      </c>
      <c r="P81" s="1">
        <f t="shared" si="5"/>
        <v>25530.51082892673</v>
      </c>
      <c r="Q81" s="1">
        <f t="shared" si="15"/>
        <v>124.97773627054777</v>
      </c>
    </row>
    <row r="82" spans="1:17">
      <c r="A82" s="1">
        <v>5.9999999999999997E-14</v>
      </c>
      <c r="B82" s="1">
        <f t="shared" si="16"/>
        <v>3.6245651047147327E-3</v>
      </c>
      <c r="C82" s="1">
        <f t="shared" si="6"/>
        <v>8728.3797705732395</v>
      </c>
      <c r="D82" s="1">
        <f t="shared" si="7"/>
        <v>392.77708967579582</v>
      </c>
      <c r="E82" s="1">
        <f t="shared" si="8"/>
        <v>14.315711951222823</v>
      </c>
      <c r="F82" s="1">
        <f t="shared" si="1"/>
        <v>2356.6625380547748</v>
      </c>
      <c r="G82" s="1">
        <f t="shared" si="9"/>
        <v>39.583113399440585</v>
      </c>
      <c r="H82" s="1">
        <f t="shared" si="2"/>
        <v>23566.625380547746</v>
      </c>
      <c r="I82" s="1">
        <f t="shared" si="10"/>
        <v>125.17279522296259</v>
      </c>
      <c r="J82" s="1">
        <f t="shared" si="11"/>
        <v>117833.12690273875</v>
      </c>
      <c r="K82" s="1">
        <f t="shared" si="12"/>
        <v>327.17147973432111</v>
      </c>
      <c r="L82" s="1">
        <f t="shared" si="3"/>
        <v>392.77708967579582</v>
      </c>
      <c r="M82" s="1">
        <f t="shared" si="13"/>
        <v>13.676590810258485</v>
      </c>
      <c r="N82" s="1">
        <f t="shared" si="4"/>
        <v>2356.6625380547748</v>
      </c>
      <c r="O82" s="1">
        <f t="shared" si="14"/>
        <v>37.371284829977412</v>
      </c>
      <c r="P82" s="1">
        <f t="shared" si="5"/>
        <v>23566.625380547746</v>
      </c>
      <c r="Q82" s="1">
        <f t="shared" si="15"/>
        <v>118.17837914962702</v>
      </c>
    </row>
    <row r="83" spans="1:17">
      <c r="A83" s="1">
        <v>5.4999999999999999E-14</v>
      </c>
      <c r="B83" s="1">
        <f t="shared" si="16"/>
        <v>3.322518012655172E-3</v>
      </c>
      <c r="C83" s="1">
        <f t="shared" si="6"/>
        <v>8001.0147896921353</v>
      </c>
      <c r="D83" s="1">
        <f t="shared" si="7"/>
        <v>360.04566553614609</v>
      </c>
      <c r="E83" s="1">
        <f t="shared" si="8"/>
        <v>13.417684221807445</v>
      </c>
      <c r="F83" s="1">
        <f t="shared" si="1"/>
        <v>2160.2739932168765</v>
      </c>
      <c r="G83" s="1">
        <f t="shared" si="9"/>
        <v>37.333468691123144</v>
      </c>
      <c r="H83" s="1">
        <f t="shared" si="2"/>
        <v>21602.739932168766</v>
      </c>
      <c r="I83" s="1">
        <f t="shared" si="10"/>
        <v>118.05879401853434</v>
      </c>
      <c r="J83" s="1">
        <f t="shared" si="11"/>
        <v>108013.69966084382</v>
      </c>
      <c r="K83" s="1">
        <f t="shared" si="12"/>
        <v>311.94689040635467</v>
      </c>
      <c r="L83" s="1">
        <f t="shared" si="3"/>
        <v>360.04566553614609</v>
      </c>
      <c r="M83" s="1">
        <f t="shared" si="13"/>
        <v>12.79329681963692</v>
      </c>
      <c r="N83" s="1">
        <f t="shared" si="4"/>
        <v>2160.2739932168765</v>
      </c>
      <c r="O83" s="1">
        <f t="shared" si="14"/>
        <v>35.135585748147435</v>
      </c>
      <c r="P83" s="1">
        <f t="shared" si="5"/>
        <v>21602.739932168766</v>
      </c>
      <c r="Q83" s="1">
        <f t="shared" si="15"/>
        <v>111.10847788829713</v>
      </c>
    </row>
    <row r="84" spans="1:17">
      <c r="A84" s="1">
        <v>5.0000000000000002E-14</v>
      </c>
      <c r="B84" s="1">
        <f t="shared" si="16"/>
        <v>3.020470920595611E-3</v>
      </c>
      <c r="C84" s="1">
        <f t="shared" si="6"/>
        <v>7273.649808811032</v>
      </c>
      <c r="D84" s="1">
        <f t="shared" si="7"/>
        <v>327.31424139649647</v>
      </c>
      <c r="E84" s="1">
        <f t="shared" si="8"/>
        <v>12.484962160910714</v>
      </c>
      <c r="F84" s="1">
        <f t="shared" si="1"/>
        <v>1963.8854483789787</v>
      </c>
      <c r="G84" s="1">
        <f t="shared" si="9"/>
        <v>34.980896830531861</v>
      </c>
      <c r="H84" s="1">
        <f t="shared" si="2"/>
        <v>19638.854483789786</v>
      </c>
      <c r="I84" s="1">
        <f t="shared" si="10"/>
        <v>110.61930857984575</v>
      </c>
      <c r="J84" s="1">
        <f t="shared" si="11"/>
        <v>98194.272418948938</v>
      </c>
      <c r="K84" s="1">
        <f t="shared" si="12"/>
        <v>295.96696891713748</v>
      </c>
      <c r="L84" s="1">
        <f t="shared" si="3"/>
        <v>327.31424139649647</v>
      </c>
      <c r="M84" s="1">
        <f t="shared" si="13"/>
        <v>11.878295608138528</v>
      </c>
      <c r="N84" s="1">
        <f t="shared" si="4"/>
        <v>1963.8854483789787</v>
      </c>
      <c r="O84" s="1">
        <f t="shared" si="14"/>
        <v>32.804928253110823</v>
      </c>
      <c r="P84" s="1">
        <f t="shared" si="5"/>
        <v>19638.854483789786</v>
      </c>
      <c r="Q84" s="1">
        <f t="shared" si="15"/>
        <v>103.73829175823886</v>
      </c>
    </row>
    <row r="85" spans="1:17">
      <c r="A85" s="1">
        <v>4.4999999999999998E-14</v>
      </c>
      <c r="B85" s="1">
        <f t="shared" si="16"/>
        <v>2.7184238285360499E-3</v>
      </c>
      <c r="C85" s="1">
        <f t="shared" si="6"/>
        <v>6546.2848279299296</v>
      </c>
      <c r="D85" s="1">
        <f t="shared" si="7"/>
        <v>294.58281725684685</v>
      </c>
      <c r="E85" s="1">
        <f t="shared" si="8"/>
        <v>11.513970456873958</v>
      </c>
      <c r="F85" s="1">
        <f t="shared" si="1"/>
        <v>1767.4969035410811</v>
      </c>
      <c r="G85" s="1">
        <f t="shared" si="9"/>
        <v>32.511979115659727</v>
      </c>
      <c r="H85" s="1">
        <f t="shared" si="2"/>
        <v>17674.96903541081</v>
      </c>
      <c r="I85" s="1">
        <f t="shared" si="10"/>
        <v>102.81190524531165</v>
      </c>
      <c r="J85" s="1">
        <f t="shared" si="11"/>
        <v>88374.845177054056</v>
      </c>
      <c r="K85" s="1">
        <f t="shared" si="12"/>
        <v>279.11037525997159</v>
      </c>
      <c r="L85" s="1">
        <f t="shared" si="3"/>
        <v>294.58281725684685</v>
      </c>
      <c r="M85" s="1">
        <f t="shared" si="13"/>
        <v>10.928608030573255</v>
      </c>
      <c r="N85" s="1">
        <f t="shared" si="4"/>
        <v>1767.4969035410811</v>
      </c>
      <c r="O85" s="1">
        <f t="shared" si="14"/>
        <v>30.368210994668878</v>
      </c>
      <c r="P85" s="1">
        <f t="shared" si="5"/>
        <v>17674.96903541081</v>
      </c>
      <c r="Q85" s="1">
        <f t="shared" si="15"/>
        <v>96.032715207721154</v>
      </c>
    </row>
    <row r="86" spans="1:17">
      <c r="A86" s="1">
        <v>4E-14</v>
      </c>
      <c r="B86" s="1">
        <f t="shared" si="16"/>
        <v>2.4163767364764888E-3</v>
      </c>
      <c r="C86" s="1">
        <f t="shared" si="6"/>
        <v>5818.9198470488254</v>
      </c>
      <c r="D86" s="1">
        <f t="shared" si="7"/>
        <v>261.85139311719718</v>
      </c>
      <c r="E86" s="1">
        <f t="shared" si="8"/>
        <v>10.500538775617555</v>
      </c>
      <c r="F86" s="1">
        <f t="shared" si="1"/>
        <v>1571.1083587031831</v>
      </c>
      <c r="G86" s="1">
        <f t="shared" si="9"/>
        <v>29.91036830045438</v>
      </c>
      <c r="H86" s="1">
        <f t="shared" si="2"/>
        <v>15711.08358703183</v>
      </c>
      <c r="I86" s="1">
        <f t="shared" si="10"/>
        <v>94.584889483935356</v>
      </c>
      <c r="J86" s="1">
        <f t="shared" si="11"/>
        <v>78555.417935159159</v>
      </c>
      <c r="K86" s="1">
        <f t="shared" si="12"/>
        <v>261.22026671130322</v>
      </c>
      <c r="L86" s="1">
        <f t="shared" si="3"/>
        <v>261.85139311719718</v>
      </c>
      <c r="M86" s="1">
        <f t="shared" si="13"/>
        <v>9.9408073299510171</v>
      </c>
      <c r="N86" s="1">
        <f t="shared" si="4"/>
        <v>1571.1083587031831</v>
      </c>
      <c r="O86" s="1">
        <f t="shared" si="14"/>
        <v>27.812201257780316</v>
      </c>
      <c r="P86" s="1">
        <f t="shared" si="5"/>
        <v>15711.08358703183</v>
      </c>
      <c r="Q86" s="1">
        <f t="shared" si="15"/>
        <v>87.949902717585587</v>
      </c>
    </row>
    <row r="87" spans="1:17">
      <c r="A87" s="1">
        <v>3.5000000000000002E-14</v>
      </c>
      <c r="B87" s="1">
        <f t="shared" si="16"/>
        <v>2.1143296444169281E-3</v>
      </c>
      <c r="C87" s="1">
        <f t="shared" si="6"/>
        <v>5091.5548661677221</v>
      </c>
      <c r="D87" s="1">
        <f t="shared" si="7"/>
        <v>229.1199689775475</v>
      </c>
      <c r="E87" s="1">
        <f t="shared" si="8"/>
        <v>9.4397625447304403</v>
      </c>
      <c r="F87" s="1">
        <f t="shared" si="1"/>
        <v>1374.719813865285</v>
      </c>
      <c r="G87" s="1">
        <f t="shared" si="9"/>
        <v>27.155864241209045</v>
      </c>
      <c r="H87" s="1">
        <f t="shared" si="2"/>
        <v>13747.19813865285</v>
      </c>
      <c r="I87" s="1">
        <f t="shared" si="10"/>
        <v>85.874382832540704</v>
      </c>
      <c r="J87" s="1">
        <f t="shared" si="11"/>
        <v>68735.990693264248</v>
      </c>
      <c r="K87" s="1">
        <f t="shared" si="12"/>
        <v>242.08818746141725</v>
      </c>
      <c r="L87" s="1">
        <f t="shared" si="3"/>
        <v>229.1199689775475</v>
      </c>
      <c r="M87" s="1">
        <f t="shared" si="13"/>
        <v>8.9109253257751071</v>
      </c>
      <c r="N87" s="1">
        <f t="shared" si="4"/>
        <v>1374.719813865285</v>
      </c>
      <c r="O87" s="1">
        <f t="shared" si="14"/>
        <v>25.120952029965618</v>
      </c>
      <c r="P87" s="1">
        <f t="shared" si="5"/>
        <v>13747.19813865285</v>
      </c>
      <c r="Q87" s="1">
        <f t="shared" si="15"/>
        <v>79.439425406521764</v>
      </c>
    </row>
    <row r="88" spans="1:17">
      <c r="A88" s="1">
        <v>2.9999999999999998E-14</v>
      </c>
      <c r="B88" s="1">
        <f t="shared" si="16"/>
        <v>1.8122825523573664E-3</v>
      </c>
      <c r="C88" s="1">
        <f t="shared" si="6"/>
        <v>4364.1898852866198</v>
      </c>
      <c r="D88" s="1">
        <f t="shared" si="7"/>
        <v>196.38854483789791</v>
      </c>
      <c r="E88" s="1">
        <f t="shared" si="8"/>
        <v>8.3258208584980711</v>
      </c>
      <c r="F88" s="1">
        <f t="shared" si="1"/>
        <v>1178.3312690273874</v>
      </c>
      <c r="G88" s="1">
        <f t="shared" si="9"/>
        <v>24.223094936001008</v>
      </c>
      <c r="H88" s="1">
        <f t="shared" si="2"/>
        <v>11783.312690273873</v>
      </c>
      <c r="I88" s="1">
        <f t="shared" si="10"/>
        <v>76.600151976253784</v>
      </c>
      <c r="J88" s="1">
        <f t="shared" si="11"/>
        <v>58916.563451369373</v>
      </c>
      <c r="K88" s="1">
        <f t="shared" si="12"/>
        <v>221.42737848631131</v>
      </c>
      <c r="L88" s="1">
        <f t="shared" si="3"/>
        <v>196.38854483789791</v>
      </c>
      <c r="M88" s="1">
        <f t="shared" si="13"/>
        <v>7.8343329108821926</v>
      </c>
      <c r="N88" s="1">
        <f t="shared" si="4"/>
        <v>1178.3312690273874</v>
      </c>
      <c r="O88" s="1">
        <f t="shared" si="14"/>
        <v>22.275006523054383</v>
      </c>
      <c r="P88" s="1">
        <f t="shared" si="5"/>
        <v>11783.312690273873</v>
      </c>
      <c r="Q88" s="1">
        <f t="shared" si="15"/>
        <v>70.439755507959788</v>
      </c>
    </row>
    <row r="89" spans="1:17">
      <c r="A89" s="1">
        <v>2.5000000000000001E-14</v>
      </c>
      <c r="B89" s="1">
        <f t="shared" si="16"/>
        <v>1.5102354602978055E-3</v>
      </c>
      <c r="C89" s="1">
        <f t="shared" si="6"/>
        <v>3636.824904405516</v>
      </c>
      <c r="D89" s="1">
        <f t="shared" si="7"/>
        <v>163.65712069824824</v>
      </c>
      <c r="E89" s="1">
        <f t="shared" si="8"/>
        <v>7.1517347638254778</v>
      </c>
      <c r="F89" s="1">
        <f t="shared" si="1"/>
        <v>981.94272418948935</v>
      </c>
      <c r="G89" s="1">
        <f t="shared" si="9"/>
        <v>21.079583282156541</v>
      </c>
      <c r="H89" s="1">
        <f t="shared" si="2"/>
        <v>9819.4272418948931</v>
      </c>
      <c r="I89" s="1">
        <f t="shared" si="10"/>
        <v>66.659495298822478</v>
      </c>
      <c r="J89" s="1">
        <f t="shared" si="11"/>
        <v>49097.136209474469</v>
      </c>
      <c r="K89" s="1">
        <f t="shared" si="12"/>
        <v>198.82575896373555</v>
      </c>
      <c r="L89" s="1">
        <f t="shared" si="3"/>
        <v>163.65712069824824</v>
      </c>
      <c r="M89" s="1">
        <f t="shared" si="13"/>
        <v>6.7055860069488054</v>
      </c>
      <c r="N89" s="1">
        <f t="shared" si="4"/>
        <v>981.94272418948935</v>
      </c>
      <c r="O89" s="1">
        <f t="shared" si="14"/>
        <v>19.250290618378454</v>
      </c>
      <c r="P89" s="1">
        <f t="shared" si="5"/>
        <v>9819.4272418948931</v>
      </c>
      <c r="Q89" s="1">
        <f t="shared" si="15"/>
        <v>60.874763974247116</v>
      </c>
    </row>
    <row r="90" spans="1:17">
      <c r="A90" s="1">
        <v>2E-14</v>
      </c>
      <c r="B90" s="1">
        <f t="shared" si="16"/>
        <v>1.2081883682382444E-3</v>
      </c>
      <c r="C90" s="1">
        <f t="shared" si="6"/>
        <v>2909.4599235244127</v>
      </c>
      <c r="D90" s="1">
        <f t="shared" si="7"/>
        <v>130.92569655859859</v>
      </c>
      <c r="E90" s="1">
        <f t="shared" si="8"/>
        <v>5.9090410991438951</v>
      </c>
      <c r="F90" s="1">
        <f t="shared" si="1"/>
        <v>785.55417935159153</v>
      </c>
      <c r="G90" s="1">
        <f t="shared" si="9"/>
        <v>17.682823692772551</v>
      </c>
      <c r="H90" s="1">
        <f t="shared" si="2"/>
        <v>7855.5417935159148</v>
      </c>
      <c r="I90" s="1">
        <f t="shared" si="10"/>
        <v>55.91799833235077</v>
      </c>
      <c r="J90" s="1">
        <f t="shared" si="11"/>
        <v>39277.70896757958</v>
      </c>
      <c r="K90" s="1">
        <f t="shared" si="12"/>
        <v>173.65632434675334</v>
      </c>
      <c r="L90" s="1">
        <f t="shared" si="3"/>
        <v>130.92569655859859</v>
      </c>
      <c r="M90" s="1">
        <f t="shared" si="13"/>
        <v>5.5182243872740822</v>
      </c>
      <c r="N90" s="1">
        <f t="shared" si="4"/>
        <v>785.55417935159153</v>
      </c>
      <c r="O90" s="1">
        <f t="shared" si="14"/>
        <v>16.016535185081516</v>
      </c>
      <c r="P90" s="1">
        <f t="shared" si="5"/>
        <v>7855.5417935159148</v>
      </c>
      <c r="Q90" s="1">
        <f t="shared" si="15"/>
        <v>50.6487314090841</v>
      </c>
    </row>
    <row r="91" spans="1:17">
      <c r="A91" s="1">
        <v>1.4999999999999999E-14</v>
      </c>
      <c r="B91" s="1">
        <f t="shared" si="16"/>
        <v>9.0614127617868318E-4</v>
      </c>
      <c r="C91" s="1">
        <f t="shared" si="6"/>
        <v>2182.0949426433099</v>
      </c>
      <c r="D91" s="1">
        <f t="shared" si="7"/>
        <v>98.194272418948955</v>
      </c>
      <c r="E91" s="1">
        <f t="shared" si="8"/>
        <v>4.5873442098788226</v>
      </c>
      <c r="F91" s="1">
        <f t="shared" si="1"/>
        <v>589.1656345136937</v>
      </c>
      <c r="G91" s="1">
        <f t="shared" si="9"/>
        <v>13.975696268216785</v>
      </c>
      <c r="H91" s="1">
        <f t="shared" si="2"/>
        <v>5891.6563451369366</v>
      </c>
      <c r="I91" s="1">
        <f t="shared" si="10"/>
        <v>44.195032094280521</v>
      </c>
      <c r="J91" s="1">
        <f t="shared" si="11"/>
        <v>29458.281725684687</v>
      </c>
      <c r="K91" s="1">
        <f t="shared" si="12"/>
        <v>144.88759409962091</v>
      </c>
      <c r="L91" s="1">
        <f t="shared" si="3"/>
        <v>98.194272418948955</v>
      </c>
      <c r="M91" s="1">
        <f t="shared" si="13"/>
        <v>4.2645051244462753</v>
      </c>
      <c r="N91" s="1">
        <f t="shared" si="4"/>
        <v>589.1656345136937</v>
      </c>
      <c r="O91" s="1">
        <f t="shared" si="14"/>
        <v>12.534969094543976</v>
      </c>
      <c r="P91" s="1">
        <f t="shared" si="5"/>
        <v>5891.6563451369366</v>
      </c>
      <c r="Q91" s="1">
        <f t="shared" si="15"/>
        <v>39.639052738577469</v>
      </c>
    </row>
    <row r="92" spans="1:17">
      <c r="A92" s="1">
        <v>1E-14</v>
      </c>
      <c r="B92" s="1">
        <f t="shared" si="16"/>
        <v>6.0409418411912219E-4</v>
      </c>
      <c r="C92" s="1">
        <f t="shared" si="6"/>
        <v>1454.7299617622064</v>
      </c>
      <c r="D92" s="1">
        <f t="shared" si="7"/>
        <v>65.462848279299294</v>
      </c>
      <c r="E92" s="1">
        <f t="shared" si="8"/>
        <v>3.1736868756518724</v>
      </c>
      <c r="F92" s="1">
        <f t="shared" si="1"/>
        <v>392.77708967579576</v>
      </c>
      <c r="G92" s="1">
        <f t="shared" si="9"/>
        <v>9.878951000613192</v>
      </c>
      <c r="H92" s="1">
        <f t="shared" si="2"/>
        <v>3927.7708967579574</v>
      </c>
      <c r="I92" s="1">
        <f t="shared" si="10"/>
        <v>31.239986055137155</v>
      </c>
      <c r="J92" s="1">
        <f t="shared" si="11"/>
        <v>19638.85448378979</v>
      </c>
      <c r="K92" s="1">
        <f t="shared" si="12"/>
        <v>110.61930857984576</v>
      </c>
      <c r="L92" s="1">
        <f t="shared" si="3"/>
        <v>65.462848279299294</v>
      </c>
      <c r="M92" s="1">
        <f t="shared" si="13"/>
        <v>2.9350436969170883</v>
      </c>
      <c r="N92" s="1">
        <f t="shared" si="4"/>
        <v>392.77708967579576</v>
      </c>
      <c r="O92" s="1">
        <f t="shared" si="14"/>
        <v>8.7548418975602029</v>
      </c>
      <c r="P92" s="1">
        <f t="shared" si="5"/>
        <v>3927.7708967579574</v>
      </c>
      <c r="Q92" s="1">
        <f t="shared" si="15"/>
        <v>27.685240950960768</v>
      </c>
    </row>
    <row r="93" spans="1:17">
      <c r="A93" s="1">
        <v>9.5000000000000005E-15</v>
      </c>
      <c r="B93" s="1">
        <f t="shared" si="16"/>
        <v>5.7388947491316604E-4</v>
      </c>
      <c r="C93" s="1">
        <f t="shared" si="6"/>
        <v>1381.9934636740963</v>
      </c>
      <c r="D93" s="1">
        <f t="shared" si="7"/>
        <v>62.189705865334339</v>
      </c>
      <c r="E93" s="1">
        <f t="shared" si="8"/>
        <v>3.0266672872900782</v>
      </c>
      <c r="F93" s="1">
        <f t="shared" si="1"/>
        <v>373.13823519200605</v>
      </c>
      <c r="G93" s="1">
        <f t="shared" si="9"/>
        <v>9.4438498362150902</v>
      </c>
      <c r="H93" s="1">
        <f t="shared" si="2"/>
        <v>3731.3823519200605</v>
      </c>
      <c r="I93" s="1">
        <f t="shared" si="10"/>
        <v>29.864075363047792</v>
      </c>
      <c r="J93" s="1">
        <f t="shared" si="11"/>
        <v>18656.911759600302</v>
      </c>
      <c r="K93" s="1">
        <f t="shared" si="12"/>
        <v>106.76458110198898</v>
      </c>
      <c r="L93" s="1">
        <f t="shared" si="3"/>
        <v>62.189705865334339</v>
      </c>
      <c r="M93" s="1">
        <f t="shared" si="13"/>
        <v>2.7975100502226056</v>
      </c>
      <c r="N93" s="1">
        <f t="shared" si="4"/>
        <v>373.13823519200605</v>
      </c>
      <c r="O93" s="1">
        <f t="shared" si="14"/>
        <v>8.3579745216039569</v>
      </c>
      <c r="P93" s="1">
        <f t="shared" si="5"/>
        <v>3731.3823519200605</v>
      </c>
      <c r="Q93" s="1">
        <f t="shared" si="15"/>
        <v>26.430236113924689</v>
      </c>
    </row>
    <row r="94" spans="1:17">
      <c r="A94" s="1">
        <v>8.9999999999999995E-15</v>
      </c>
      <c r="B94" s="1">
        <f t="shared" si="16"/>
        <v>5.4368476570720999E-4</v>
      </c>
      <c r="C94" s="1">
        <f t="shared" si="6"/>
        <v>1309.2569655859861</v>
      </c>
      <c r="D94" s="1">
        <f t="shared" si="7"/>
        <v>58.916563451369377</v>
      </c>
      <c r="E94" s="1">
        <f t="shared" si="8"/>
        <v>2.87854909418007</v>
      </c>
      <c r="F94" s="1">
        <f t="shared" ref="F94:F157" si="17">C94*$C$11*1</f>
        <v>353.49938070821628</v>
      </c>
      <c r="G94" s="1">
        <f t="shared" si="9"/>
        <v>9.0036163262548889</v>
      </c>
      <c r="H94" s="1">
        <f t="shared" ref="H94:H157" si="18">C94*$C$11*10</f>
        <v>3534.9938070821627</v>
      </c>
      <c r="I94" s="1">
        <f t="shared" si="10"/>
        <v>28.471934769243127</v>
      </c>
      <c r="J94" s="1">
        <f t="shared" si="11"/>
        <v>17674.969035410813</v>
      </c>
      <c r="K94" s="1">
        <f t="shared" si="12"/>
        <v>102.81190524531166</v>
      </c>
      <c r="L94" s="1">
        <f t="shared" ref="L94:L157" si="19">C94*$C$11/6</f>
        <v>58.916563451369377</v>
      </c>
      <c r="M94" s="1">
        <f t="shared" si="13"/>
        <v>2.6590932294134406</v>
      </c>
      <c r="N94" s="1">
        <f t="shared" ref="N94:N157" si="20">C94*$C$11*1</f>
        <v>353.49938070821628</v>
      </c>
      <c r="O94" s="1">
        <f t="shared" si="14"/>
        <v>7.9573811367279257</v>
      </c>
      <c r="P94" s="1">
        <f t="shared" ref="P94:P157" si="21">C94*$C$11*10</f>
        <v>3534.9938070821627</v>
      </c>
      <c r="Q94" s="1">
        <f t="shared" si="15"/>
        <v>25.163448602119985</v>
      </c>
    </row>
    <row r="95" spans="1:17">
      <c r="A95" s="1">
        <v>8.5000000000000001E-15</v>
      </c>
      <c r="B95" s="1">
        <f t="shared" si="16"/>
        <v>5.1348005650125395E-4</v>
      </c>
      <c r="C95" s="1">
        <f t="shared" ref="C95:C158" si="22">B95*PI()*($C$6/2)^2*$C$7^3*$C$8*$C$9*$C$10*3600</f>
        <v>1236.5204674978759</v>
      </c>
      <c r="D95" s="1">
        <f t="shared" ref="D95:D158" si="23">C95*$C$11/6</f>
        <v>55.643421037404416</v>
      </c>
      <c r="E95" s="1">
        <f t="shared" ref="E95:E158" si="24">D95/SQRT(D95+($C$24+$C$20)*2)</f>
        <v>2.7293131510508672</v>
      </c>
      <c r="F95" s="1">
        <f t="shared" si="17"/>
        <v>333.86052622442651</v>
      </c>
      <c r="G95" s="1">
        <f t="shared" ref="G95:G158" si="25">F95/SQRT(F95+($C$25+$C$21)*2)</f>
        <v>8.5581057240109857</v>
      </c>
      <c r="H95" s="1">
        <f t="shared" si="18"/>
        <v>3338.6052622442648</v>
      </c>
      <c r="I95" s="1">
        <f t="shared" ref="I95:I158" si="26">H95/SQRT(H95+($C$26+$C$22)*2)</f>
        <v>27.063106544399069</v>
      </c>
      <c r="J95" s="1">
        <f t="shared" ref="J95:J158" si="27">C95*$C$11*50</f>
        <v>16693.026311221325</v>
      </c>
      <c r="K95" s="1">
        <f t="shared" ref="K95:K158" si="28">J95/SQRT(J95+($C$26+$C$22)*2)</f>
        <v>98.754514296866731</v>
      </c>
      <c r="L95" s="1">
        <f t="shared" si="19"/>
        <v>55.643421037404416</v>
      </c>
      <c r="M95" s="1">
        <f t="shared" ref="M95:M158" si="29">L95/SQRT(L95+($D$24+$C$20)*2)</f>
        <v>2.5197800810630957</v>
      </c>
      <c r="N95" s="1">
        <f t="shared" si="20"/>
        <v>333.86052622442651</v>
      </c>
      <c r="O95" s="1">
        <f t="shared" ref="O95:O158" si="30">N95/SQRT(N95+($D$25+$C$21)*2)</f>
        <v>7.5529792938396403</v>
      </c>
      <c r="P95" s="1">
        <f t="shared" si="21"/>
        <v>3338.6052622442648</v>
      </c>
      <c r="Q95" s="1">
        <f t="shared" ref="Q95:Q158" si="31">P95/SQRT(P95+($D$26+$C$22)*2)</f>
        <v>23.884617688623432</v>
      </c>
    </row>
    <row r="96" spans="1:17">
      <c r="A96" s="1">
        <v>8.0000000000000006E-15</v>
      </c>
      <c r="B96" s="1">
        <f t="shared" si="16"/>
        <v>4.832753472952978E-4</v>
      </c>
      <c r="C96" s="1">
        <f t="shared" si="22"/>
        <v>1163.7839694097656</v>
      </c>
      <c r="D96" s="1">
        <f t="shared" si="23"/>
        <v>52.370278623439454</v>
      </c>
      <c r="E96" s="1">
        <f t="shared" si="24"/>
        <v>2.5789398108115043</v>
      </c>
      <c r="F96" s="1">
        <f t="shared" si="17"/>
        <v>314.22167174063674</v>
      </c>
      <c r="G96" s="1">
        <f t="shared" si="25"/>
        <v>8.1071670779036307</v>
      </c>
      <c r="H96" s="1">
        <f t="shared" si="18"/>
        <v>3142.2167174063675</v>
      </c>
      <c r="I96" s="1">
        <f t="shared" si="26"/>
        <v>25.637113337707209</v>
      </c>
      <c r="J96" s="1">
        <f t="shared" si="27"/>
        <v>15711.083587031837</v>
      </c>
      <c r="K96" s="1">
        <f t="shared" si="28"/>
        <v>94.58488948393537</v>
      </c>
      <c r="L96" s="1">
        <f t="shared" si="19"/>
        <v>52.370278623439454</v>
      </c>
      <c r="M96" s="1">
        <f t="shared" si="29"/>
        <v>2.3795571577859636</v>
      </c>
      <c r="N96" s="1">
        <f t="shared" si="20"/>
        <v>314.22167174063674</v>
      </c>
      <c r="O96" s="1">
        <f t="shared" si="30"/>
        <v>7.1446837875274829</v>
      </c>
      <c r="P96" s="1">
        <f t="shared" si="21"/>
        <v>3142.2167174063675</v>
      </c>
      <c r="Q96" s="1">
        <f t="shared" si="31"/>
        <v>22.593473930265365</v>
      </c>
    </row>
    <row r="97" spans="1:17">
      <c r="A97" s="1">
        <v>7.4999999999999996E-15</v>
      </c>
      <c r="B97" s="1">
        <f t="shared" si="16"/>
        <v>4.5307063808934159E-4</v>
      </c>
      <c r="C97" s="1">
        <f t="shared" si="22"/>
        <v>1091.0474713216549</v>
      </c>
      <c r="D97" s="1">
        <f t="shared" si="23"/>
        <v>49.097136209474478</v>
      </c>
      <c r="E97" s="1">
        <f t="shared" si="24"/>
        <v>2.4274089070983353</v>
      </c>
      <c r="F97" s="1">
        <f t="shared" si="17"/>
        <v>294.58281725684685</v>
      </c>
      <c r="G97" s="1">
        <f t="shared" si="25"/>
        <v>7.6506428759378124</v>
      </c>
      <c r="H97" s="1">
        <f t="shared" si="18"/>
        <v>2945.8281725684683</v>
      </c>
      <c r="I97" s="1">
        <f t="shared" si="26"/>
        <v>24.193457052504503</v>
      </c>
      <c r="J97" s="1">
        <f t="shared" si="27"/>
        <v>14729.140862842343</v>
      </c>
      <c r="K97" s="1">
        <f t="shared" si="28"/>
        <v>90.294643839238091</v>
      </c>
      <c r="L97" s="1">
        <f t="shared" si="19"/>
        <v>49.097136209474478</v>
      </c>
      <c r="M97" s="1">
        <f t="shared" si="29"/>
        <v>2.2384107095348731</v>
      </c>
      <c r="N97" s="1">
        <f t="shared" si="20"/>
        <v>294.58281725684685</v>
      </c>
      <c r="O97" s="1">
        <f t="shared" si="30"/>
        <v>6.7324065334085592</v>
      </c>
      <c r="P97" s="1">
        <f t="shared" si="21"/>
        <v>2945.8281725684683</v>
      </c>
      <c r="Q97" s="1">
        <f t="shared" si="31"/>
        <v>21.289738779769525</v>
      </c>
    </row>
    <row r="98" spans="1:17">
      <c r="A98" s="1">
        <v>7.0000000000000001E-15</v>
      </c>
      <c r="B98" s="1">
        <f t="shared" si="16"/>
        <v>4.2286592888338554E-4</v>
      </c>
      <c r="C98" s="1">
        <f t="shared" si="22"/>
        <v>1018.3109732335448</v>
      </c>
      <c r="D98" s="1">
        <f t="shared" si="23"/>
        <v>45.823993795509523</v>
      </c>
      <c r="E98" s="1">
        <f t="shared" si="24"/>
        <v>2.2746997360660002</v>
      </c>
      <c r="F98" s="1">
        <f t="shared" si="17"/>
        <v>274.94396277305714</v>
      </c>
      <c r="G98" s="1">
        <f t="shared" si="25"/>
        <v>7.188368664594428</v>
      </c>
      <c r="H98" s="1">
        <f t="shared" si="18"/>
        <v>2749.4396277305714</v>
      </c>
      <c r="I98" s="1">
        <f t="shared" si="26"/>
        <v>22.731617641101362</v>
      </c>
      <c r="J98" s="1">
        <f t="shared" si="27"/>
        <v>13747.198138652857</v>
      </c>
      <c r="K98" s="1">
        <f t="shared" si="28"/>
        <v>85.874382832540732</v>
      </c>
      <c r="L98" s="1">
        <f t="shared" si="19"/>
        <v>45.823993795509523</v>
      </c>
      <c r="M98" s="1">
        <f t="shared" si="29"/>
        <v>2.0963266745780715</v>
      </c>
      <c r="N98" s="1">
        <f t="shared" si="20"/>
        <v>274.94396277305714</v>
      </c>
      <c r="O98" s="1">
        <f t="shared" si="30"/>
        <v>6.3160564386570632</v>
      </c>
      <c r="P98" s="1">
        <f t="shared" si="21"/>
        <v>2749.4396277305714</v>
      </c>
      <c r="Q98" s="1">
        <f t="shared" si="31"/>
        <v>19.973124176327882</v>
      </c>
    </row>
    <row r="99" spans="1:17">
      <c r="A99" s="1">
        <v>6.4999999999999999E-15</v>
      </c>
      <c r="B99" s="1">
        <f t="shared" si="16"/>
        <v>3.9266121967742939E-4</v>
      </c>
      <c r="C99" s="1">
        <f t="shared" si="22"/>
        <v>945.57447514543423</v>
      </c>
      <c r="D99" s="1">
        <f t="shared" si="23"/>
        <v>42.55085138154454</v>
      </c>
      <c r="E99" s="1">
        <f t="shared" si="24"/>
        <v>2.1207910373827454</v>
      </c>
      <c r="F99" s="1">
        <f t="shared" si="17"/>
        <v>255.30510828926725</v>
      </c>
      <c r="G99" s="1">
        <f t="shared" si="25"/>
        <v>6.7201726399547077</v>
      </c>
      <c r="H99" s="1">
        <f t="shared" si="18"/>
        <v>2553.0510828926726</v>
      </c>
      <c r="I99" s="1">
        <f t="shared" si="26"/>
        <v>21.251051811803535</v>
      </c>
      <c r="J99" s="1">
        <f t="shared" si="27"/>
        <v>12765.255414463363</v>
      </c>
      <c r="K99" s="1">
        <f t="shared" si="28"/>
        <v>81.313535989233898</v>
      </c>
      <c r="L99" s="1">
        <f t="shared" si="19"/>
        <v>42.55085138154454</v>
      </c>
      <c r="M99" s="1">
        <f t="shared" si="29"/>
        <v>1.9532906701415027</v>
      </c>
      <c r="N99" s="1">
        <f t="shared" si="20"/>
        <v>255.30510828926725</v>
      </c>
      <c r="O99" s="1">
        <f t="shared" si="30"/>
        <v>5.8955392652573444</v>
      </c>
      <c r="P99" s="1">
        <f t="shared" si="21"/>
        <v>2553.0510828926726</v>
      </c>
      <c r="Q99" s="1">
        <f t="shared" si="31"/>
        <v>18.643332113168803</v>
      </c>
    </row>
    <row r="100" spans="1:17">
      <c r="A100" s="1">
        <v>5.9999999999999997E-15</v>
      </c>
      <c r="B100" s="1">
        <f t="shared" si="16"/>
        <v>3.6245651047147335E-4</v>
      </c>
      <c r="C100" s="1">
        <f t="shared" si="22"/>
        <v>872.83797705732422</v>
      </c>
      <c r="D100" s="1">
        <f t="shared" si="23"/>
        <v>39.277708967579592</v>
      </c>
      <c r="E100" s="1">
        <f t="shared" si="24"/>
        <v>1.9656609743884386</v>
      </c>
      <c r="F100" s="1">
        <f t="shared" si="17"/>
        <v>235.66625380547757</v>
      </c>
      <c r="G100" s="1">
        <f t="shared" si="25"/>
        <v>6.2458752086175604</v>
      </c>
      <c r="H100" s="1">
        <f t="shared" si="18"/>
        <v>2356.6625380547757</v>
      </c>
      <c r="I100" s="1">
        <f t="shared" si="26"/>
        <v>19.751191640410827</v>
      </c>
      <c r="J100" s="1">
        <f t="shared" si="27"/>
        <v>11783.312690273879</v>
      </c>
      <c r="K100" s="1">
        <f t="shared" si="28"/>
        <v>76.600151976253812</v>
      </c>
      <c r="L100" s="1">
        <f t="shared" si="19"/>
        <v>39.277708967579592</v>
      </c>
      <c r="M100" s="1">
        <f t="shared" si="29"/>
        <v>1.8092879827015345</v>
      </c>
      <c r="N100" s="1">
        <f t="shared" si="20"/>
        <v>235.66625380547757</v>
      </c>
      <c r="O100" s="1">
        <f t="shared" si="30"/>
        <v>5.4707574854903012</v>
      </c>
      <c r="P100" s="1">
        <f t="shared" si="21"/>
        <v>2356.6625380547757</v>
      </c>
      <c r="Q100" s="1">
        <f t="shared" si="31"/>
        <v>17.300054180564917</v>
      </c>
    </row>
    <row r="101" spans="1:17">
      <c r="A101" s="1">
        <v>5.5000000000000002E-15</v>
      </c>
      <c r="B101" s="1">
        <f t="shared" si="16"/>
        <v>3.3225180126551725E-4</v>
      </c>
      <c r="C101" s="1">
        <f t="shared" si="22"/>
        <v>800.10147896921376</v>
      </c>
      <c r="D101" s="1">
        <f t="shared" si="23"/>
        <v>36.004566553614623</v>
      </c>
      <c r="E101" s="1">
        <f t="shared" si="24"/>
        <v>1.809287113371012</v>
      </c>
      <c r="F101" s="1">
        <f t="shared" si="17"/>
        <v>216.02739932168774</v>
      </c>
      <c r="G101" s="1">
        <f t="shared" si="25"/>
        <v>5.7652885157171738</v>
      </c>
      <c r="H101" s="1">
        <f t="shared" si="18"/>
        <v>2160.2739932168774</v>
      </c>
      <c r="I101" s="1">
        <f t="shared" si="26"/>
        <v>18.231443077677735</v>
      </c>
      <c r="J101" s="1">
        <f t="shared" si="27"/>
        <v>10801.369966084387</v>
      </c>
      <c r="K101" s="1">
        <f t="shared" si="28"/>
        <v>71.720647273008424</v>
      </c>
      <c r="L101" s="1">
        <f t="shared" si="19"/>
        <v>36.004566553614623</v>
      </c>
      <c r="M101" s="1">
        <f t="shared" si="29"/>
        <v>1.664303557912469</v>
      </c>
      <c r="N101" s="1">
        <f t="shared" si="20"/>
        <v>216.02739932168774</v>
      </c>
      <c r="O101" s="1">
        <f t="shared" si="30"/>
        <v>5.0416101291227022</v>
      </c>
      <c r="P101" s="1">
        <f t="shared" si="21"/>
        <v>2160.2739932168774</v>
      </c>
      <c r="Q101" s="1">
        <f t="shared" si="31"/>
        <v>15.942971082603339</v>
      </c>
    </row>
    <row r="102" spans="1:17">
      <c r="A102" s="1">
        <v>5E-15</v>
      </c>
      <c r="B102" s="1">
        <f t="shared" si="16"/>
        <v>3.020470920595611E-4</v>
      </c>
      <c r="C102" s="1">
        <f t="shared" si="22"/>
        <v>727.36498088110318</v>
      </c>
      <c r="D102" s="1">
        <f t="shared" si="23"/>
        <v>32.731424139649647</v>
      </c>
      <c r="E102" s="1">
        <f t="shared" si="24"/>
        <v>1.6516464019144115</v>
      </c>
      <c r="F102" s="1">
        <f t="shared" si="17"/>
        <v>196.38854483789788</v>
      </c>
      <c r="G102" s="1">
        <f t="shared" si="25"/>
        <v>5.278215937066526</v>
      </c>
      <c r="H102" s="1">
        <f t="shared" si="18"/>
        <v>1963.8854483789787</v>
      </c>
      <c r="I102" s="1">
        <f t="shared" si="26"/>
        <v>16.691184343330182</v>
      </c>
      <c r="J102" s="1">
        <f t="shared" si="27"/>
        <v>9819.4272418948949</v>
      </c>
      <c r="K102" s="1">
        <f t="shared" si="28"/>
        <v>66.659495298822478</v>
      </c>
      <c r="L102" s="1">
        <f t="shared" si="19"/>
        <v>32.731424139649647</v>
      </c>
      <c r="M102" s="1">
        <f t="shared" si="29"/>
        <v>1.5183219901524236</v>
      </c>
      <c r="N102" s="1">
        <f t="shared" si="20"/>
        <v>196.38854483789788</v>
      </c>
      <c r="O102" s="1">
        <f t="shared" si="30"/>
        <v>4.6079926217268445</v>
      </c>
      <c r="P102" s="1">
        <f t="shared" si="21"/>
        <v>1963.8854483789787</v>
      </c>
      <c r="Q102" s="1">
        <f t="shared" si="31"/>
        <v>14.571752125907519</v>
      </c>
    </row>
    <row r="103" spans="1:17">
      <c r="A103" s="1">
        <v>4.4999999999999998E-15</v>
      </c>
      <c r="B103" s="1">
        <f t="shared" si="16"/>
        <v>2.71842382853605E-4</v>
      </c>
      <c r="C103" s="1">
        <f t="shared" si="22"/>
        <v>654.62848279299305</v>
      </c>
      <c r="D103" s="1">
        <f t="shared" si="23"/>
        <v>29.458281725684689</v>
      </c>
      <c r="E103" s="1">
        <f t="shared" si="24"/>
        <v>1.4927151462681369</v>
      </c>
      <c r="F103" s="1">
        <f t="shared" si="17"/>
        <v>176.74969035410814</v>
      </c>
      <c r="G103" s="1">
        <f t="shared" si="25"/>
        <v>4.7844515321361065</v>
      </c>
      <c r="H103" s="1">
        <f t="shared" si="18"/>
        <v>1767.4969035410813</v>
      </c>
      <c r="I103" s="1">
        <f t="shared" si="26"/>
        <v>15.129764196232385</v>
      </c>
      <c r="J103" s="1">
        <f t="shared" si="27"/>
        <v>8837.4845177054067</v>
      </c>
      <c r="K103" s="1">
        <f t="shared" si="28"/>
        <v>61.398838350931022</v>
      </c>
      <c r="L103" s="1">
        <f t="shared" si="19"/>
        <v>29.458281725684689</v>
      </c>
      <c r="M103" s="1">
        <f t="shared" si="29"/>
        <v>1.3713275116702366</v>
      </c>
      <c r="N103" s="1">
        <f t="shared" si="20"/>
        <v>176.74969035410814</v>
      </c>
      <c r="O103" s="1">
        <f t="shared" si="30"/>
        <v>4.1697966135114628</v>
      </c>
      <c r="P103" s="1">
        <f t="shared" si="21"/>
        <v>1767.4969035410813</v>
      </c>
      <c r="Q103" s="1">
        <f t="shared" si="31"/>
        <v>13.186054678353063</v>
      </c>
    </row>
    <row r="104" spans="1:17">
      <c r="A104" s="1">
        <v>4.0000000000000003E-15</v>
      </c>
      <c r="B104" s="1">
        <f t="shared" si="16"/>
        <v>2.416376736476489E-4</v>
      </c>
      <c r="C104" s="1">
        <f t="shared" si="22"/>
        <v>581.89198470488282</v>
      </c>
      <c r="D104" s="1">
        <f t="shared" si="23"/>
        <v>26.185139311719727</v>
      </c>
      <c r="E104" s="1">
        <f t="shared" si="24"/>
        <v>1.332468987685373</v>
      </c>
      <c r="F104" s="1">
        <f t="shared" si="17"/>
        <v>157.11083587031837</v>
      </c>
      <c r="G104" s="1">
        <f t="shared" si="25"/>
        <v>4.2837794542225414</v>
      </c>
      <c r="H104" s="1">
        <f t="shared" si="18"/>
        <v>1571.1083587031837</v>
      </c>
      <c r="I104" s="1">
        <f t="shared" si="26"/>
        <v>13.546500069176235</v>
      </c>
      <c r="J104" s="1">
        <f t="shared" si="27"/>
        <v>7855.5417935159185</v>
      </c>
      <c r="K104" s="1">
        <f t="shared" si="28"/>
        <v>55.917998332350784</v>
      </c>
      <c r="L104" s="1">
        <f t="shared" si="19"/>
        <v>26.185139311719727</v>
      </c>
      <c r="M104" s="1">
        <f t="shared" si="29"/>
        <v>1.2233039813151756</v>
      </c>
      <c r="N104" s="1">
        <f t="shared" si="20"/>
        <v>157.11083587031837</v>
      </c>
      <c r="O104" s="1">
        <f t="shared" si="30"/>
        <v>3.7269097979943595</v>
      </c>
      <c r="P104" s="1">
        <f t="shared" si="21"/>
        <v>1571.1083587031837</v>
      </c>
      <c r="Q104" s="1">
        <f t="shared" si="31"/>
        <v>11.78552359566021</v>
      </c>
    </row>
    <row r="105" spans="1:17">
      <c r="A105" s="1">
        <v>3.5000000000000001E-15</v>
      </c>
      <c r="B105" s="1">
        <f t="shared" si="16"/>
        <v>2.1143296444169277E-4</v>
      </c>
      <c r="C105" s="1">
        <f t="shared" si="22"/>
        <v>509.15548661677241</v>
      </c>
      <c r="D105" s="1">
        <f t="shared" si="23"/>
        <v>22.911996897754761</v>
      </c>
      <c r="E105" s="1">
        <f t="shared" si="24"/>
        <v>1.1708828776733495</v>
      </c>
      <c r="F105" s="1">
        <f t="shared" si="17"/>
        <v>137.47198138652857</v>
      </c>
      <c r="G105" s="1">
        <f t="shared" si="25"/>
        <v>3.7759733137628699</v>
      </c>
      <c r="H105" s="1">
        <f t="shared" si="18"/>
        <v>1374.7198138652857</v>
      </c>
      <c r="I105" s="1">
        <f t="shared" si="26"/>
        <v>11.940676055504291</v>
      </c>
      <c r="J105" s="1">
        <f t="shared" si="27"/>
        <v>6873.5990693264284</v>
      </c>
      <c r="K105" s="1">
        <f t="shared" si="28"/>
        <v>50.192853116486731</v>
      </c>
      <c r="L105" s="1">
        <f t="shared" si="19"/>
        <v>22.911996897754761</v>
      </c>
      <c r="M105" s="1">
        <f t="shared" si="29"/>
        <v>1.0742348728302573</v>
      </c>
      <c r="N105" s="1">
        <f t="shared" si="20"/>
        <v>137.47198138652857</v>
      </c>
      <c r="O105" s="1">
        <f t="shared" si="30"/>
        <v>3.279215719791821</v>
      </c>
      <c r="P105" s="1">
        <f t="shared" si="21"/>
        <v>1374.7198138652857</v>
      </c>
      <c r="Q105" s="1">
        <f t="shared" si="31"/>
        <v>10.369790613570647</v>
      </c>
    </row>
    <row r="106" spans="1:17">
      <c r="A106" s="1">
        <v>2.9999999999999998E-15</v>
      </c>
      <c r="B106" s="1">
        <f t="shared" si="16"/>
        <v>1.8122825523573667E-4</v>
      </c>
      <c r="C106" s="1">
        <f t="shared" si="22"/>
        <v>436.41898852866211</v>
      </c>
      <c r="D106" s="1">
        <f t="shared" si="23"/>
        <v>19.638854483789796</v>
      </c>
      <c r="E106" s="1">
        <f t="shared" si="24"/>
        <v>1.0079310520959488</v>
      </c>
      <c r="F106" s="1">
        <f t="shared" si="17"/>
        <v>117.83312690273878</v>
      </c>
      <c r="G106" s="1">
        <f t="shared" si="25"/>
        <v>3.2607954903009433</v>
      </c>
      <c r="H106" s="1">
        <f t="shared" si="18"/>
        <v>1178.3312690273879</v>
      </c>
      <c r="I106" s="1">
        <f t="shared" si="26"/>
        <v>10.31154073335647</v>
      </c>
      <c r="J106" s="1">
        <f t="shared" si="27"/>
        <v>5891.6563451369393</v>
      </c>
      <c r="K106" s="1">
        <f t="shared" si="28"/>
        <v>44.195032094280535</v>
      </c>
      <c r="L106" s="1">
        <f t="shared" si="19"/>
        <v>19.638854483789796</v>
      </c>
      <c r="M106" s="1">
        <f t="shared" si="29"/>
        <v>0.92410326268892784</v>
      </c>
      <c r="N106" s="1">
        <f t="shared" si="20"/>
        <v>117.83312690273878</v>
      </c>
      <c r="O106" s="1">
        <f t="shared" si="30"/>
        <v>2.8265935707393051</v>
      </c>
      <c r="P106" s="1">
        <f t="shared" si="21"/>
        <v>1178.3312690273879</v>
      </c>
      <c r="Q106" s="1">
        <f t="shared" si="31"/>
        <v>8.9384737031244743</v>
      </c>
    </row>
    <row r="107" spans="1:17">
      <c r="A107" s="1">
        <v>2.5E-15</v>
      </c>
      <c r="B107" s="1">
        <f t="shared" si="16"/>
        <v>1.5102354602978055E-4</v>
      </c>
      <c r="C107" s="1">
        <f t="shared" si="22"/>
        <v>363.68249044055159</v>
      </c>
      <c r="D107" s="1">
        <f t="shared" si="23"/>
        <v>16.365712069824824</v>
      </c>
      <c r="E107" s="1">
        <f t="shared" si="24"/>
        <v>0.84358700406474618</v>
      </c>
      <c r="F107" s="1">
        <f t="shared" si="17"/>
        <v>98.194272418948941</v>
      </c>
      <c r="G107" s="1">
        <f t="shared" si="25"/>
        <v>2.7379963881056204</v>
      </c>
      <c r="H107" s="1">
        <f t="shared" si="18"/>
        <v>981.94272418948935</v>
      </c>
      <c r="I107" s="1">
        <f t="shared" si="26"/>
        <v>8.6583048117281134</v>
      </c>
      <c r="J107" s="1">
        <f t="shared" si="27"/>
        <v>4909.7136209474475</v>
      </c>
      <c r="K107" s="1">
        <f t="shared" si="28"/>
        <v>37.890864723466535</v>
      </c>
      <c r="L107" s="1">
        <f t="shared" si="19"/>
        <v>16.365712069824824</v>
      </c>
      <c r="M107" s="1">
        <f t="shared" si="29"/>
        <v>0.77289181745378444</v>
      </c>
      <c r="N107" s="1">
        <f t="shared" si="20"/>
        <v>98.194272418948941</v>
      </c>
      <c r="O107" s="1">
        <f t="shared" si="30"/>
        <v>2.3689179734914516</v>
      </c>
      <c r="P107" s="1">
        <f t="shared" si="21"/>
        <v>981.94272418948935</v>
      </c>
      <c r="Q107" s="1">
        <f t="shared" si="31"/>
        <v>7.4911763863433656</v>
      </c>
    </row>
    <row r="108" spans="1:17">
      <c r="A108" s="1">
        <v>2.0000000000000002E-15</v>
      </c>
      <c r="B108" s="1">
        <f t="shared" ref="B108:B171" si="32">A108*$C$4/($C$2*$C$3/(1.2*10^-7))</f>
        <v>1.2081883682382445E-4</v>
      </c>
      <c r="C108" s="1">
        <f t="shared" si="22"/>
        <v>290.94599235244141</v>
      </c>
      <c r="D108" s="1">
        <f t="shared" si="23"/>
        <v>13.092569655859863</v>
      </c>
      <c r="E108" s="1">
        <f t="shared" si="24"/>
        <v>0.67782345555049917</v>
      </c>
      <c r="F108" s="1">
        <f t="shared" si="17"/>
        <v>78.555417935159184</v>
      </c>
      <c r="G108" s="1">
        <f t="shared" si="25"/>
        <v>2.2073136298676967</v>
      </c>
      <c r="H108" s="1">
        <f t="shared" si="18"/>
        <v>785.55417935159187</v>
      </c>
      <c r="I108" s="1">
        <f t="shared" si="26"/>
        <v>6.9801385807157921</v>
      </c>
      <c r="J108" s="1">
        <f t="shared" si="27"/>
        <v>3927.7708967579592</v>
      </c>
      <c r="K108" s="1">
        <f t="shared" si="28"/>
        <v>31.239986055137166</v>
      </c>
      <c r="L108" s="1">
        <f t="shared" si="19"/>
        <v>13.092569655859863</v>
      </c>
      <c r="M108" s="1">
        <f t="shared" si="29"/>
        <v>0.62058278063485006</v>
      </c>
      <c r="N108" s="1">
        <f t="shared" si="20"/>
        <v>78.555417935159184</v>
      </c>
      <c r="O108" s="1">
        <f t="shared" si="30"/>
        <v>1.9060587516766312</v>
      </c>
      <c r="P108" s="1">
        <f t="shared" si="21"/>
        <v>785.55417935159187</v>
      </c>
      <c r="Q108" s="1">
        <f t="shared" si="31"/>
        <v>6.0274870093954398</v>
      </c>
    </row>
    <row r="109" spans="1:17">
      <c r="A109" s="1">
        <v>1.4999999999999999E-15</v>
      </c>
      <c r="B109" s="1">
        <f t="shared" si="32"/>
        <v>9.0614127617868337E-5</v>
      </c>
      <c r="C109" s="1">
        <f t="shared" si="22"/>
        <v>218.20949426433106</v>
      </c>
      <c r="D109" s="1">
        <f t="shared" si="23"/>
        <v>9.819427241894898</v>
      </c>
      <c r="E109" s="1">
        <f t="shared" si="24"/>
        <v>0.51061232764265563</v>
      </c>
      <c r="F109" s="1">
        <f t="shared" si="17"/>
        <v>58.916563451369392</v>
      </c>
      <c r="G109" s="1">
        <f t="shared" si="25"/>
        <v>1.6684711822539289</v>
      </c>
      <c r="H109" s="1">
        <f t="shared" si="18"/>
        <v>589.16563451369393</v>
      </c>
      <c r="I109" s="1">
        <f t="shared" si="26"/>
        <v>5.2761691462763238</v>
      </c>
      <c r="J109" s="1">
        <f t="shared" si="27"/>
        <v>2945.8281725684697</v>
      </c>
      <c r="K109" s="1">
        <f t="shared" si="28"/>
        <v>24.193457052504517</v>
      </c>
      <c r="L109" s="1">
        <f t="shared" si="19"/>
        <v>9.819427241894898</v>
      </c>
      <c r="M109" s="1">
        <f t="shared" si="29"/>
        <v>0.46715795902366652</v>
      </c>
      <c r="N109" s="1">
        <f t="shared" si="20"/>
        <v>58.916563451369392</v>
      </c>
      <c r="O109" s="1">
        <f t="shared" si="30"/>
        <v>1.4378806856011692</v>
      </c>
      <c r="P109" s="1">
        <f t="shared" si="21"/>
        <v>589.16563451369393</v>
      </c>
      <c r="Q109" s="1">
        <f t="shared" si="31"/>
        <v>4.5469779700641704</v>
      </c>
    </row>
    <row r="110" spans="1:17">
      <c r="A110" s="1">
        <v>1.0000000000000001E-15</v>
      </c>
      <c r="B110" s="1">
        <f t="shared" si="32"/>
        <v>6.0409418411912224E-5</v>
      </c>
      <c r="C110" s="1">
        <f t="shared" si="22"/>
        <v>145.4729961762207</v>
      </c>
      <c r="D110" s="1">
        <f t="shared" si="23"/>
        <v>6.5462848279299317</v>
      </c>
      <c r="E110" s="1">
        <f t="shared" si="24"/>
        <v>0.34192470937966746</v>
      </c>
      <c r="F110" s="1">
        <f t="shared" si="17"/>
        <v>39.277708967579592</v>
      </c>
      <c r="G110" s="1">
        <f t="shared" si="25"/>
        <v>1.1211784063610204</v>
      </c>
      <c r="H110" s="1">
        <f t="shared" si="18"/>
        <v>392.77708967579593</v>
      </c>
      <c r="I110" s="1">
        <f t="shared" si="26"/>
        <v>3.54547742749864</v>
      </c>
      <c r="J110" s="1">
        <f t="shared" si="27"/>
        <v>1963.8854483789796</v>
      </c>
      <c r="K110" s="1">
        <f t="shared" si="28"/>
        <v>16.691184343330193</v>
      </c>
      <c r="L110" s="1">
        <f t="shared" si="19"/>
        <v>6.5462848279299317</v>
      </c>
      <c r="M110" s="1">
        <f t="shared" si="29"/>
        <v>0.31259870847818133</v>
      </c>
      <c r="N110" s="1">
        <f t="shared" si="20"/>
        <v>39.277708967579592</v>
      </c>
      <c r="O110" s="1">
        <f t="shared" si="30"/>
        <v>0.9642432524104334</v>
      </c>
      <c r="P110" s="1">
        <f t="shared" si="21"/>
        <v>392.77708967579593</v>
      </c>
      <c r="Q110" s="1">
        <f t="shared" si="31"/>
        <v>3.0492048960656137</v>
      </c>
    </row>
    <row r="111" spans="1:17">
      <c r="A111" s="1">
        <v>9.5000000000000005E-16</v>
      </c>
      <c r="B111" s="1">
        <f t="shared" si="32"/>
        <v>5.7388947491316613E-5</v>
      </c>
      <c r="C111" s="1">
        <f t="shared" si="22"/>
        <v>138.19934636740965</v>
      </c>
      <c r="D111" s="1">
        <f t="shared" si="23"/>
        <v>6.2189705865334339</v>
      </c>
      <c r="E111" s="1">
        <f t="shared" si="24"/>
        <v>0.32497360189166891</v>
      </c>
      <c r="F111" s="1">
        <f t="shared" si="17"/>
        <v>37.313823519200604</v>
      </c>
      <c r="G111" s="1">
        <f t="shared" si="25"/>
        <v>1.0659727103914118</v>
      </c>
      <c r="H111" s="1">
        <f t="shared" si="18"/>
        <v>373.13823519200605</v>
      </c>
      <c r="I111" s="1">
        <f t="shared" si="26"/>
        <v>3.3709016884198992</v>
      </c>
      <c r="J111" s="1">
        <f t="shared" si="27"/>
        <v>1865.6911759600303</v>
      </c>
      <c r="K111" s="1">
        <f t="shared" si="28"/>
        <v>15.913161349783046</v>
      </c>
      <c r="L111" s="1">
        <f t="shared" si="19"/>
        <v>6.2189705865334339</v>
      </c>
      <c r="M111" s="1">
        <f t="shared" si="29"/>
        <v>0.29707965821835042</v>
      </c>
      <c r="N111" s="1">
        <f t="shared" si="20"/>
        <v>37.313823519200604</v>
      </c>
      <c r="O111" s="1">
        <f t="shared" si="30"/>
        <v>0.91657366883504299</v>
      </c>
      <c r="P111" s="1">
        <f t="shared" si="21"/>
        <v>373.13823519200605</v>
      </c>
      <c r="Q111" s="1">
        <f t="shared" si="31"/>
        <v>2.8984604368556268</v>
      </c>
    </row>
    <row r="112" spans="1:17">
      <c r="A112" s="1">
        <v>9.0000000000000003E-16</v>
      </c>
      <c r="B112" s="1">
        <f t="shared" si="32"/>
        <v>5.4368476570720995E-5</v>
      </c>
      <c r="C112" s="1">
        <f t="shared" si="22"/>
        <v>130.92569655859859</v>
      </c>
      <c r="D112" s="1">
        <f t="shared" si="23"/>
        <v>5.891656345136937</v>
      </c>
      <c r="E112" s="1">
        <f t="shared" si="24"/>
        <v>0.30800740222323242</v>
      </c>
      <c r="F112" s="1">
        <f t="shared" si="17"/>
        <v>35.349938070821622</v>
      </c>
      <c r="G112" s="1">
        <f t="shared" si="25"/>
        <v>1.0106791469824377</v>
      </c>
      <c r="H112" s="1">
        <f t="shared" si="18"/>
        <v>353.49938070821622</v>
      </c>
      <c r="I112" s="1">
        <f t="shared" si="26"/>
        <v>3.1960480881005968</v>
      </c>
      <c r="J112" s="1">
        <f t="shared" si="27"/>
        <v>1767.4969035410811</v>
      </c>
      <c r="K112" s="1">
        <f t="shared" si="28"/>
        <v>15.129764196232381</v>
      </c>
      <c r="L112" s="1">
        <f t="shared" si="19"/>
        <v>5.891656345136937</v>
      </c>
      <c r="M112" s="1">
        <f t="shared" si="29"/>
        <v>0.28154905359677623</v>
      </c>
      <c r="N112" s="1">
        <f t="shared" si="20"/>
        <v>35.349938070821622</v>
      </c>
      <c r="O112" s="1">
        <f t="shared" si="30"/>
        <v>0.86884788614874475</v>
      </c>
      <c r="P112" s="1">
        <f t="shared" si="21"/>
        <v>353.49938070821622</v>
      </c>
      <c r="Q112" s="1">
        <f t="shared" si="31"/>
        <v>2.747538260452695</v>
      </c>
    </row>
    <row r="113" spans="1:17">
      <c r="A113" s="1">
        <v>8.5000000000000001E-16</v>
      </c>
      <c r="B113" s="1">
        <f t="shared" si="32"/>
        <v>5.1348005650125384E-5</v>
      </c>
      <c r="C113" s="1">
        <f t="shared" si="22"/>
        <v>123.65204674978756</v>
      </c>
      <c r="D113" s="1">
        <f t="shared" si="23"/>
        <v>5.5643421037404401</v>
      </c>
      <c r="E113" s="1">
        <f t="shared" si="24"/>
        <v>0.29102608002268415</v>
      </c>
      <c r="F113" s="1">
        <f t="shared" si="17"/>
        <v>33.386052622442641</v>
      </c>
      <c r="G113" s="1">
        <f t="shared" si="25"/>
        <v>0.95529739924273727</v>
      </c>
      <c r="H113" s="1">
        <f t="shared" si="18"/>
        <v>333.86052622442639</v>
      </c>
      <c r="I113" s="1">
        <f t="shared" si="26"/>
        <v>3.020915624442261</v>
      </c>
      <c r="J113" s="1">
        <f t="shared" si="27"/>
        <v>1669.302631122132</v>
      </c>
      <c r="K113" s="1">
        <f t="shared" si="28"/>
        <v>14.340906568304376</v>
      </c>
      <c r="L113" s="1">
        <f t="shared" si="19"/>
        <v>5.5643421037404401</v>
      </c>
      <c r="M113" s="1">
        <f t="shared" si="29"/>
        <v>0.26600687519461008</v>
      </c>
      <c r="N113" s="1">
        <f t="shared" si="20"/>
        <v>33.386052622442641</v>
      </c>
      <c r="O113" s="1">
        <f t="shared" si="30"/>
        <v>0.82106575450330221</v>
      </c>
      <c r="P113" s="1">
        <f t="shared" si="21"/>
        <v>333.86052622442639</v>
      </c>
      <c r="Q113" s="1">
        <f t="shared" si="31"/>
        <v>2.5964378929950875</v>
      </c>
    </row>
    <row r="114" spans="1:17">
      <c r="A114" s="1">
        <v>7.9999999999999998E-16</v>
      </c>
      <c r="B114" s="1">
        <f t="shared" si="32"/>
        <v>4.832753472952978E-5</v>
      </c>
      <c r="C114" s="1">
        <f t="shared" si="22"/>
        <v>116.37839694097654</v>
      </c>
      <c r="D114" s="1">
        <f t="shared" si="23"/>
        <v>5.237027862343945</v>
      </c>
      <c r="E114" s="1">
        <f t="shared" si="24"/>
        <v>0.27402960484777183</v>
      </c>
      <c r="F114" s="1">
        <f t="shared" si="17"/>
        <v>31.42216717406367</v>
      </c>
      <c r="G114" s="1">
        <f t="shared" si="25"/>
        <v>0.89982714858278179</v>
      </c>
      <c r="H114" s="1">
        <f t="shared" si="18"/>
        <v>314.22167174063668</v>
      </c>
      <c r="I114" s="1">
        <f t="shared" si="26"/>
        <v>2.8455032899763437</v>
      </c>
      <c r="J114" s="1">
        <f t="shared" si="27"/>
        <v>1571.1083587031835</v>
      </c>
      <c r="K114" s="1">
        <f t="shared" si="28"/>
        <v>13.546500069176235</v>
      </c>
      <c r="L114" s="1">
        <f t="shared" si="19"/>
        <v>5.237027862343945</v>
      </c>
      <c r="M114" s="1">
        <f t="shared" si="29"/>
        <v>0.25045310354458689</v>
      </c>
      <c r="N114" s="1">
        <f t="shared" si="20"/>
        <v>31.42216717406367</v>
      </c>
      <c r="O114" s="1">
        <f t="shared" si="30"/>
        <v>0.7732271234572502</v>
      </c>
      <c r="P114" s="1">
        <f t="shared" si="21"/>
        <v>314.22167174063668</v>
      </c>
      <c r="Q114" s="1">
        <f t="shared" si="31"/>
        <v>2.4451588587451196</v>
      </c>
    </row>
    <row r="115" spans="1:17">
      <c r="A115" s="1">
        <v>7.4999999999999996E-16</v>
      </c>
      <c r="B115" s="1">
        <f t="shared" si="32"/>
        <v>4.5307063808934168E-5</v>
      </c>
      <c r="C115" s="1">
        <f t="shared" si="22"/>
        <v>109.10474713216553</v>
      </c>
      <c r="D115" s="1">
        <f t="shared" si="23"/>
        <v>4.909713620947449</v>
      </c>
      <c r="E115" s="1">
        <f t="shared" si="24"/>
        <v>0.25701794616530899</v>
      </c>
      <c r="F115" s="1">
        <f t="shared" si="17"/>
        <v>29.458281725684696</v>
      </c>
      <c r="G115" s="1">
        <f t="shared" si="25"/>
        <v>0.84426807470290277</v>
      </c>
      <c r="H115" s="1">
        <f t="shared" si="18"/>
        <v>294.58281725684697</v>
      </c>
      <c r="I115" s="1">
        <f t="shared" si="26"/>
        <v>2.6698100718263578</v>
      </c>
      <c r="J115" s="1">
        <f t="shared" si="27"/>
        <v>1472.9140862842348</v>
      </c>
      <c r="K115" s="1">
        <f t="shared" si="28"/>
        <v>12.746454152971708</v>
      </c>
      <c r="L115" s="1">
        <f t="shared" si="19"/>
        <v>4.909713620947449</v>
      </c>
      <c r="M115" s="1">
        <f t="shared" si="29"/>
        <v>0.23488771913086601</v>
      </c>
      <c r="N115" s="1">
        <f t="shared" si="20"/>
        <v>29.458281725684696</v>
      </c>
      <c r="O115" s="1">
        <f t="shared" si="30"/>
        <v>0.72533184197280709</v>
      </c>
      <c r="P115" s="1">
        <f t="shared" si="21"/>
        <v>294.58281725684697</v>
      </c>
      <c r="Q115" s="1">
        <f t="shared" si="31"/>
        <v>2.2937006800793895</v>
      </c>
    </row>
    <row r="116" spans="1:17">
      <c r="A116" s="1">
        <v>7.0000000000000003E-16</v>
      </c>
      <c r="B116" s="1">
        <f t="shared" si="32"/>
        <v>4.2286592888338557E-5</v>
      </c>
      <c r="C116" s="1">
        <f t="shared" si="22"/>
        <v>101.83109732335447</v>
      </c>
      <c r="D116" s="1">
        <f t="shared" si="23"/>
        <v>4.5823993795509512</v>
      </c>
      <c r="E116" s="1">
        <f t="shared" si="24"/>
        <v>0.23999107335081851</v>
      </c>
      <c r="F116" s="1">
        <f t="shared" si="17"/>
        <v>27.494396277305707</v>
      </c>
      <c r="G116" s="1">
        <f t="shared" si="25"/>
        <v>0.78861985558121894</v>
      </c>
      <c r="H116" s="1">
        <f t="shared" si="18"/>
        <v>274.94396277305708</v>
      </c>
      <c r="I116" s="1">
        <f t="shared" si="26"/>
        <v>2.4938349516697023</v>
      </c>
      <c r="J116" s="1">
        <f t="shared" si="27"/>
        <v>1374.7198138652855</v>
      </c>
      <c r="K116" s="1">
        <f t="shared" si="28"/>
        <v>11.940676055504287</v>
      </c>
      <c r="L116" s="1">
        <f t="shared" si="19"/>
        <v>4.5823993795509512</v>
      </c>
      <c r="M116" s="1">
        <f t="shared" si="29"/>
        <v>0.21931070238887226</v>
      </c>
      <c r="N116" s="1">
        <f t="shared" si="20"/>
        <v>27.494396277305707</v>
      </c>
      <c r="O116" s="1">
        <f t="shared" si="30"/>
        <v>0.67737975841276832</v>
      </c>
      <c r="P116" s="1">
        <f t="shared" si="21"/>
        <v>274.94396277305708</v>
      </c>
      <c r="Q116" s="1">
        <f t="shared" si="31"/>
        <v>2.1420628774789514</v>
      </c>
    </row>
    <row r="117" spans="1:17">
      <c r="A117" s="1">
        <v>6.5000000000000001E-16</v>
      </c>
      <c r="B117" s="1">
        <f t="shared" si="32"/>
        <v>3.9266121967742946E-5</v>
      </c>
      <c r="C117" s="1">
        <f t="shared" si="22"/>
        <v>94.557447514543426</v>
      </c>
      <c r="D117" s="1">
        <f t="shared" si="23"/>
        <v>4.2550851381544543</v>
      </c>
      <c r="E117" s="1">
        <f t="shared" si="24"/>
        <v>0.22294895568817386</v>
      </c>
      <c r="F117" s="1">
        <f t="shared" si="17"/>
        <v>25.530510828926726</v>
      </c>
      <c r="G117" s="1">
        <f t="shared" si="25"/>
        <v>0.73288216746145729</v>
      </c>
      <c r="H117" s="1">
        <f t="shared" si="18"/>
        <v>255.30510828926725</v>
      </c>
      <c r="I117" s="1">
        <f t="shared" si="26"/>
        <v>2.3175769056991475</v>
      </c>
      <c r="J117" s="1">
        <f t="shared" si="27"/>
        <v>1276.5255414463363</v>
      </c>
      <c r="K117" s="1">
        <f t="shared" si="28"/>
        <v>11.129070722241464</v>
      </c>
      <c r="L117" s="1">
        <f t="shared" si="19"/>
        <v>4.2550851381544543</v>
      </c>
      <c r="M117" s="1">
        <f t="shared" si="29"/>
        <v>0.20372203370513628</v>
      </c>
      <c r="N117" s="1">
        <f t="shared" si="20"/>
        <v>25.530510828926726</v>
      </c>
      <c r="O117" s="1">
        <f t="shared" si="30"/>
        <v>0.62937072053737964</v>
      </c>
      <c r="P117" s="1">
        <f t="shared" si="21"/>
        <v>255.30510828926725</v>
      </c>
      <c r="Q117" s="1">
        <f t="shared" si="31"/>
        <v>1.9902449695194315</v>
      </c>
    </row>
    <row r="118" spans="1:17">
      <c r="A118" s="1">
        <v>5.9999999999999999E-16</v>
      </c>
      <c r="B118" s="1">
        <f t="shared" si="32"/>
        <v>3.6245651047147335E-5</v>
      </c>
      <c r="C118" s="1">
        <f t="shared" si="22"/>
        <v>87.283797705732397</v>
      </c>
      <c r="D118" s="1">
        <f t="shared" si="23"/>
        <v>3.9277708967579579</v>
      </c>
      <c r="E118" s="1">
        <f t="shared" si="24"/>
        <v>0.20589156236923845</v>
      </c>
      <c r="F118" s="1">
        <f t="shared" si="17"/>
        <v>23.566625380547748</v>
      </c>
      <c r="G118" s="1">
        <f t="shared" si="25"/>
        <v>0.67705468484066567</v>
      </c>
      <c r="H118" s="1">
        <f t="shared" si="18"/>
        <v>235.66625380547748</v>
      </c>
      <c r="I118" s="1">
        <f t="shared" si="26"/>
        <v>2.1410349045839796</v>
      </c>
      <c r="J118" s="1">
        <f t="shared" si="27"/>
        <v>1178.3312690273874</v>
      </c>
      <c r="K118" s="1">
        <f t="shared" si="28"/>
        <v>10.311540733356466</v>
      </c>
      <c r="L118" s="1">
        <f t="shared" si="19"/>
        <v>3.9277708967579579</v>
      </c>
      <c r="M118" s="1">
        <f t="shared" si="29"/>
        <v>0.18812169341713347</v>
      </c>
      <c r="N118" s="1">
        <f t="shared" si="20"/>
        <v>23.566625380547748</v>
      </c>
      <c r="O118" s="1">
        <f t="shared" si="30"/>
        <v>0.5813045755011883</v>
      </c>
      <c r="P118" s="1">
        <f t="shared" si="21"/>
        <v>235.66625380547748</v>
      </c>
      <c r="Q118" s="1">
        <f t="shared" si="31"/>
        <v>1.8382464728610708</v>
      </c>
    </row>
    <row r="119" spans="1:17">
      <c r="A119" s="1">
        <v>5.4999999999999996E-16</v>
      </c>
      <c r="B119" s="1">
        <f t="shared" si="32"/>
        <v>3.3225180126551717E-5</v>
      </c>
      <c r="C119" s="1">
        <f t="shared" si="22"/>
        <v>80.010147896921339</v>
      </c>
      <c r="D119" s="1">
        <f t="shared" si="23"/>
        <v>3.6004566553614605</v>
      </c>
      <c r="E119" s="1">
        <f t="shared" si="24"/>
        <v>0.18881886249350371</v>
      </c>
      <c r="F119" s="1">
        <f t="shared" si="17"/>
        <v>21.602739932168763</v>
      </c>
      <c r="G119" s="1">
        <f t="shared" si="25"/>
        <v>0.62113708045681892</v>
      </c>
      <c r="H119" s="1">
        <f t="shared" si="18"/>
        <v>216.02739932168762</v>
      </c>
      <c r="I119" s="1">
        <f t="shared" si="26"/>
        <v>1.9642079134308075</v>
      </c>
      <c r="J119" s="1">
        <f t="shared" si="27"/>
        <v>1080.1369966084383</v>
      </c>
      <c r="K119" s="1">
        <f t="shared" si="28"/>
        <v>9.4879862257264644</v>
      </c>
      <c r="L119" s="1">
        <f t="shared" si="19"/>
        <v>3.6004566553614605</v>
      </c>
      <c r="M119" s="1">
        <f t="shared" si="29"/>
        <v>0.17250966181312319</v>
      </c>
      <c r="N119" s="1">
        <f t="shared" si="20"/>
        <v>21.602739932168763</v>
      </c>
      <c r="O119" s="1">
        <f t="shared" si="30"/>
        <v>0.53318116984987662</v>
      </c>
      <c r="P119" s="1">
        <f t="shared" si="21"/>
        <v>216.02739932168762</v>
      </c>
      <c r="Q119" s="1">
        <f t="shared" si="31"/>
        <v>1.6860669022387069</v>
      </c>
    </row>
    <row r="120" spans="1:17">
      <c r="A120" s="1">
        <v>5.0000000000000004E-16</v>
      </c>
      <c r="B120" s="1">
        <f t="shared" si="32"/>
        <v>3.0204709205956112E-5</v>
      </c>
      <c r="C120" s="1">
        <f t="shared" si="22"/>
        <v>72.736498088110352</v>
      </c>
      <c r="D120" s="1">
        <f t="shared" si="23"/>
        <v>3.2731424139649659</v>
      </c>
      <c r="E120" s="1">
        <f t="shared" si="24"/>
        <v>0.17173082506772525</v>
      </c>
      <c r="F120" s="1">
        <f t="shared" si="17"/>
        <v>19.638854483789796</v>
      </c>
      <c r="G120" s="1">
        <f t="shared" si="25"/>
        <v>0.56512902527631825</v>
      </c>
      <c r="H120" s="1">
        <f t="shared" si="18"/>
        <v>196.38854483789797</v>
      </c>
      <c r="I120" s="1">
        <f t="shared" si="26"/>
        <v>1.7870948917440328</v>
      </c>
      <c r="J120" s="1">
        <f t="shared" si="27"/>
        <v>981.94272418948981</v>
      </c>
      <c r="K120" s="1">
        <f t="shared" si="28"/>
        <v>8.6583048117281187</v>
      </c>
      <c r="L120" s="1">
        <f t="shared" si="19"/>
        <v>3.2731424139649659</v>
      </c>
      <c r="M120" s="1">
        <f t="shared" si="29"/>
        <v>0.15688591913198685</v>
      </c>
      <c r="N120" s="1">
        <f t="shared" si="20"/>
        <v>19.638854483789796</v>
      </c>
      <c r="O120" s="1">
        <f t="shared" si="30"/>
        <v>0.48500034951707349</v>
      </c>
      <c r="P120" s="1">
        <f t="shared" si="21"/>
        <v>196.38854483789797</v>
      </c>
      <c r="Q120" s="1">
        <f t="shared" si="31"/>
        <v>1.5337057704516976</v>
      </c>
    </row>
    <row r="121" spans="1:17">
      <c r="A121" s="1">
        <v>4.5000000000000002E-16</v>
      </c>
      <c r="B121" s="1">
        <f t="shared" si="32"/>
        <v>2.7184238285360498E-5</v>
      </c>
      <c r="C121" s="1">
        <f t="shared" si="22"/>
        <v>65.462848279299294</v>
      </c>
      <c r="D121" s="1">
        <f t="shared" si="23"/>
        <v>2.9458281725684685</v>
      </c>
      <c r="E121" s="1">
        <f t="shared" si="24"/>
        <v>0.15462741900555654</v>
      </c>
      <c r="F121" s="1">
        <f t="shared" si="17"/>
        <v>17.674969035410811</v>
      </c>
      <c r="G121" s="1">
        <f t="shared" si="25"/>
        <v>0.50903018848137604</v>
      </c>
      <c r="H121" s="1">
        <f t="shared" si="18"/>
        <v>176.74969035410811</v>
      </c>
      <c r="I121" s="1">
        <f t="shared" si="26"/>
        <v>1.6096947933859549</v>
      </c>
      <c r="J121" s="1">
        <f t="shared" si="27"/>
        <v>883.74845177054056</v>
      </c>
      <c r="K121" s="1">
        <f t="shared" si="28"/>
        <v>7.8223914946729183</v>
      </c>
      <c r="L121" s="1">
        <f t="shared" si="19"/>
        <v>2.9458281725684685</v>
      </c>
      <c r="M121" s="1">
        <f t="shared" si="29"/>
        <v>0.14125044556306515</v>
      </c>
      <c r="N121" s="1">
        <f t="shared" si="20"/>
        <v>17.674969035410811</v>
      </c>
      <c r="O121" s="1">
        <f t="shared" si="30"/>
        <v>0.43676195982114452</v>
      </c>
      <c r="P121" s="1">
        <f t="shared" si="21"/>
        <v>176.74969035410811</v>
      </c>
      <c r="Q121" s="1">
        <f t="shared" si="31"/>
        <v>1.3811625883537646</v>
      </c>
    </row>
    <row r="122" spans="1:17">
      <c r="A122" s="1">
        <v>3.9999999999999999E-16</v>
      </c>
      <c r="B122" s="1">
        <f t="shared" si="32"/>
        <v>2.416376736476489E-5</v>
      </c>
      <c r="C122" s="1">
        <f t="shared" si="22"/>
        <v>58.189198470488272</v>
      </c>
      <c r="D122" s="1">
        <f t="shared" si="23"/>
        <v>2.6185139311719725</v>
      </c>
      <c r="E122" s="1">
        <f t="shared" si="24"/>
        <v>0.13750861312718241</v>
      </c>
      <c r="F122" s="1">
        <f t="shared" si="17"/>
        <v>15.711083587031835</v>
      </c>
      <c r="G122" s="1">
        <f t="shared" si="25"/>
        <v>0.45284023745729557</v>
      </c>
      <c r="H122" s="1">
        <f t="shared" si="18"/>
        <v>157.11083587031834</v>
      </c>
      <c r="I122" s="1">
        <f t="shared" si="26"/>
        <v>1.43200656653655</v>
      </c>
      <c r="J122" s="1">
        <f t="shared" si="27"/>
        <v>785.55417935159176</v>
      </c>
      <c r="K122" s="1">
        <f t="shared" si="28"/>
        <v>6.9801385807157912</v>
      </c>
      <c r="L122" s="1">
        <f t="shared" si="19"/>
        <v>2.6185139311719725</v>
      </c>
      <c r="M122" s="1">
        <f t="shared" si="29"/>
        <v>0.12560322124599538</v>
      </c>
      <c r="N122" s="1">
        <f t="shared" si="20"/>
        <v>15.711083587031835</v>
      </c>
      <c r="O122" s="1">
        <f t="shared" si="30"/>
        <v>0.38846584546196461</v>
      </c>
      <c r="P122" s="1">
        <f t="shared" si="21"/>
        <v>157.11083587031834</v>
      </c>
      <c r="Q122" s="1">
        <f t="shared" si="31"/>
        <v>1.2284368648427928</v>
      </c>
    </row>
    <row r="123" spans="1:17">
      <c r="A123" s="1">
        <v>3.5000000000000002E-16</v>
      </c>
      <c r="B123" s="1">
        <f t="shared" si="32"/>
        <v>2.1143296444169279E-5</v>
      </c>
      <c r="C123" s="1">
        <f t="shared" si="22"/>
        <v>50.915548661677235</v>
      </c>
      <c r="D123" s="1">
        <f t="shared" si="23"/>
        <v>2.2911996897754756</v>
      </c>
      <c r="E123" s="1">
        <f t="shared" si="24"/>
        <v>0.12037437615894896</v>
      </c>
      <c r="F123" s="1">
        <f t="shared" si="17"/>
        <v>13.747198138652854</v>
      </c>
      <c r="G123" s="1">
        <f t="shared" si="25"/>
        <v>0.39655883777963308</v>
      </c>
      <c r="H123" s="1">
        <f t="shared" si="18"/>
        <v>137.47198138652854</v>
      </c>
      <c r="I123" s="1">
        <f t="shared" si="26"/>
        <v>1.25402915365287</v>
      </c>
      <c r="J123" s="1">
        <f t="shared" si="27"/>
        <v>687.35990693264273</v>
      </c>
      <c r="K123" s="1">
        <f t="shared" si="28"/>
        <v>6.1314355870606283</v>
      </c>
      <c r="L123" s="1">
        <f t="shared" si="19"/>
        <v>2.2911996897754756</v>
      </c>
      <c r="M123" s="1">
        <f t="shared" si="29"/>
        <v>0.10994422627054726</v>
      </c>
      <c r="N123" s="1">
        <f t="shared" si="20"/>
        <v>13.747198138652854</v>
      </c>
      <c r="O123" s="1">
        <f t="shared" si="30"/>
        <v>0.34011185051766529</v>
      </c>
      <c r="P123" s="1">
        <f t="shared" si="21"/>
        <v>137.47198138652854</v>
      </c>
      <c r="Q123" s="1">
        <f t="shared" si="31"/>
        <v>1.0755281068505402</v>
      </c>
    </row>
    <row r="124" spans="1:17">
      <c r="A124" s="1">
        <v>2.9999999999999999E-16</v>
      </c>
      <c r="B124" s="1">
        <f t="shared" si="32"/>
        <v>1.8122825523573667E-5</v>
      </c>
      <c r="C124" s="1">
        <f t="shared" si="22"/>
        <v>43.641898852866198</v>
      </c>
      <c r="D124" s="1">
        <f t="shared" si="23"/>
        <v>1.9638854483789789</v>
      </c>
      <c r="E124" s="1">
        <f t="shared" si="24"/>
        <v>0.10322467673299304</v>
      </c>
      <c r="F124" s="1">
        <f t="shared" si="17"/>
        <v>11.783312690273874</v>
      </c>
      <c r="G124" s="1">
        <f t="shared" si="25"/>
        <v>0.34018565320124999</v>
      </c>
      <c r="H124" s="1">
        <f t="shared" si="18"/>
        <v>117.83312690273874</v>
      </c>
      <c r="I124" s="1">
        <f t="shared" si="26"/>
        <v>1.0757614914281004</v>
      </c>
      <c r="J124" s="1">
        <f t="shared" si="27"/>
        <v>589.1656345136937</v>
      </c>
      <c r="K124" s="1">
        <f t="shared" si="28"/>
        <v>5.2761691462763221</v>
      </c>
      <c r="L124" s="1">
        <f t="shared" si="19"/>
        <v>1.9638854483789789</v>
      </c>
      <c r="M124" s="1">
        <f t="shared" si="29"/>
        <v>9.4273440676458514E-2</v>
      </c>
      <c r="N124" s="1">
        <f t="shared" si="20"/>
        <v>11.783312690273874</v>
      </c>
      <c r="O124" s="1">
        <f t="shared" si="30"/>
        <v>0.2916998184413645</v>
      </c>
      <c r="P124" s="1">
        <f t="shared" si="21"/>
        <v>117.83312690273874</v>
      </c>
      <c r="Q124" s="1">
        <f t="shared" si="31"/>
        <v>0.92243581933229912</v>
      </c>
    </row>
    <row r="125" spans="1:17">
      <c r="A125" s="1">
        <v>2.5000000000000002E-16</v>
      </c>
      <c r="B125" s="1">
        <f t="shared" si="32"/>
        <v>1.5102354602978056E-5</v>
      </c>
      <c r="C125" s="1">
        <f t="shared" si="22"/>
        <v>36.368249044055176</v>
      </c>
      <c r="D125" s="1">
        <f t="shared" si="23"/>
        <v>1.6365712069824829</v>
      </c>
      <c r="E125" s="1">
        <f t="shared" si="24"/>
        <v>8.6059483386869043E-2</v>
      </c>
      <c r="F125" s="1">
        <f t="shared" si="17"/>
        <v>9.819427241894898</v>
      </c>
      <c r="G125" s="1">
        <f t="shared" si="25"/>
        <v>0.28372034563924886</v>
      </c>
      <c r="H125" s="1">
        <f t="shared" si="18"/>
        <v>98.194272418948984</v>
      </c>
      <c r="I125" s="1">
        <f t="shared" si="26"/>
        <v>0.89720251075024782</v>
      </c>
      <c r="J125" s="1">
        <f t="shared" si="27"/>
        <v>490.9713620947449</v>
      </c>
      <c r="K125" s="1">
        <f t="shared" si="28"/>
        <v>4.4142229065257643</v>
      </c>
      <c r="L125" s="1">
        <f t="shared" si="19"/>
        <v>1.6365712069824829</v>
      </c>
      <c r="M125" s="1">
        <f t="shared" si="29"/>
        <v>7.8590844453269873E-2</v>
      </c>
      <c r="N125" s="1">
        <f t="shared" si="20"/>
        <v>9.819427241894898</v>
      </c>
      <c r="O125" s="1">
        <f t="shared" si="30"/>
        <v>0.2432295920578729</v>
      </c>
      <c r="P125" s="1">
        <f t="shared" si="21"/>
        <v>98.194272418948984</v>
      </c>
      <c r="Q125" s="1">
        <f t="shared" si="31"/>
        <v>0.7691595052564798</v>
      </c>
    </row>
    <row r="126" spans="1:17">
      <c r="A126" s="1">
        <v>2E-16</v>
      </c>
      <c r="B126" s="1">
        <f t="shared" si="32"/>
        <v>1.2081883682382445E-5</v>
      </c>
      <c r="C126" s="1">
        <f t="shared" si="22"/>
        <v>29.094599235244136</v>
      </c>
      <c r="D126" s="1">
        <f t="shared" si="23"/>
        <v>1.3092569655859863</v>
      </c>
      <c r="E126" s="1">
        <f t="shared" si="24"/>
        <v>6.887876456317428E-2</v>
      </c>
      <c r="F126" s="1">
        <f t="shared" si="17"/>
        <v>7.8555417935159175</v>
      </c>
      <c r="G126" s="1">
        <f t="shared" si="25"/>
        <v>0.22716257516179442</v>
      </c>
      <c r="H126" s="1">
        <f t="shared" si="18"/>
        <v>78.55541793515917</v>
      </c>
      <c r="I126" s="1">
        <f t="shared" si="26"/>
        <v>0.7183511366604628</v>
      </c>
      <c r="J126" s="1">
        <f t="shared" si="27"/>
        <v>392.77708967579588</v>
      </c>
      <c r="K126" s="1">
        <f t="shared" si="28"/>
        <v>3.5454774274986396</v>
      </c>
      <c r="L126" s="1">
        <f t="shared" si="19"/>
        <v>1.3092569655859863</v>
      </c>
      <c r="M126" s="1">
        <f t="shared" si="29"/>
        <v>6.2896417540158955E-2</v>
      </c>
      <c r="N126" s="1">
        <f t="shared" si="20"/>
        <v>7.8555417935159175</v>
      </c>
      <c r="O126" s="1">
        <f t="shared" si="30"/>
        <v>0.19470101356037961</v>
      </c>
      <c r="P126" s="1">
        <f t="shared" si="21"/>
        <v>78.55541793515917</v>
      </c>
      <c r="Q126" s="1">
        <f t="shared" si="31"/>
        <v>0.61569866559412911</v>
      </c>
    </row>
    <row r="127" spans="1:17">
      <c r="A127" s="1">
        <v>1.5E-16</v>
      </c>
      <c r="B127" s="1">
        <f t="shared" si="32"/>
        <v>9.0614127617868337E-6</v>
      </c>
      <c r="C127" s="1">
        <f t="shared" si="22"/>
        <v>21.820949426433099</v>
      </c>
      <c r="D127" s="1">
        <f t="shared" si="23"/>
        <v>0.98194272418948947</v>
      </c>
      <c r="E127" s="1">
        <f t="shared" si="24"/>
        <v>5.1682488609172503E-2</v>
      </c>
      <c r="F127" s="1">
        <f t="shared" si="17"/>
        <v>5.891656345136937</v>
      </c>
      <c r="G127" s="1">
        <f t="shared" si="25"/>
        <v>0.17051199997481725</v>
      </c>
      <c r="H127" s="1">
        <f t="shared" si="18"/>
        <v>58.91656345136937</v>
      </c>
      <c r="I127" s="1">
        <f t="shared" si="26"/>
        <v>0.53920628831099582</v>
      </c>
      <c r="J127" s="1">
        <f t="shared" si="27"/>
        <v>294.58281725684685</v>
      </c>
      <c r="K127" s="1">
        <f t="shared" si="28"/>
        <v>2.6698100718263569</v>
      </c>
      <c r="L127" s="1">
        <f t="shared" si="19"/>
        <v>0.98194272418948947</v>
      </c>
      <c r="M127" s="1">
        <f t="shared" si="29"/>
        <v>4.7190139825774025E-2</v>
      </c>
      <c r="N127" s="1">
        <f t="shared" si="20"/>
        <v>5.891656345136937</v>
      </c>
      <c r="O127" s="1">
        <f t="shared" si="30"/>
        <v>0.14611392450711655</v>
      </c>
      <c r="P127" s="1">
        <f t="shared" si="21"/>
        <v>58.91656345136937</v>
      </c>
      <c r="Q127" s="1">
        <f t="shared" si="31"/>
        <v>0.46205279930838378</v>
      </c>
    </row>
    <row r="128" spans="1:17">
      <c r="A128" s="1">
        <v>9.9999999999999998E-17</v>
      </c>
      <c r="B128" s="1">
        <f t="shared" si="32"/>
        <v>6.0409418411912224E-6</v>
      </c>
      <c r="C128" s="1">
        <f t="shared" si="22"/>
        <v>14.547299617622068</v>
      </c>
      <c r="D128" s="1">
        <f t="shared" si="23"/>
        <v>0.65462848279299313</v>
      </c>
      <c r="E128" s="1">
        <f t="shared" si="24"/>
        <v>3.4470623776415542E-2</v>
      </c>
      <c r="F128" s="1">
        <f t="shared" si="17"/>
        <v>3.9277708967579588</v>
      </c>
      <c r="G128" s="1">
        <f t="shared" si="25"/>
        <v>0.11376827640859928</v>
      </c>
      <c r="H128" s="1">
        <f t="shared" si="18"/>
        <v>39.277708967579585</v>
      </c>
      <c r="I128" s="1">
        <f t="shared" si="26"/>
        <v>0.35976687892277476</v>
      </c>
      <c r="J128" s="1">
        <f t="shared" si="27"/>
        <v>196.38854483789794</v>
      </c>
      <c r="K128" s="1">
        <f t="shared" si="28"/>
        <v>1.7870948917440326</v>
      </c>
      <c r="L128" s="1">
        <f t="shared" si="19"/>
        <v>0.65462848279299313</v>
      </c>
      <c r="M128" s="1">
        <f t="shared" si="29"/>
        <v>3.1471991148066696E-2</v>
      </c>
      <c r="N128" s="1">
        <f t="shared" si="20"/>
        <v>3.9277708967579588</v>
      </c>
      <c r="O128" s="1">
        <f t="shared" si="30"/>
        <v>9.7468165818000538E-2</v>
      </c>
      <c r="P128" s="1">
        <f t="shared" si="21"/>
        <v>39.277708967579585</v>
      </c>
      <c r="Q128" s="1">
        <f t="shared" si="31"/>
        <v>0.30822140334385029</v>
      </c>
    </row>
    <row r="129" spans="1:17">
      <c r="A129" s="1">
        <v>9.5000000000000003E-17</v>
      </c>
      <c r="B129" s="1">
        <f t="shared" si="32"/>
        <v>5.7388947491316617E-6</v>
      </c>
      <c r="C129" s="1">
        <f t="shared" si="22"/>
        <v>13.819934636740964</v>
      </c>
      <c r="D129" s="1">
        <f t="shared" si="23"/>
        <v>0.62189705865334344</v>
      </c>
      <c r="E129" s="1">
        <f t="shared" si="24"/>
        <v>3.2748578679627952E-2</v>
      </c>
      <c r="F129" s="1">
        <f t="shared" si="17"/>
        <v>3.7313823519200606</v>
      </c>
      <c r="G129" s="1">
        <f t="shared" si="25"/>
        <v>0.10808876760353972</v>
      </c>
      <c r="H129" s="1">
        <f t="shared" si="18"/>
        <v>37.313823519200604</v>
      </c>
      <c r="I129" s="1">
        <f t="shared" si="26"/>
        <v>0.34180669510780531</v>
      </c>
      <c r="J129" s="1">
        <f t="shared" si="27"/>
        <v>186.56911759600303</v>
      </c>
      <c r="K129" s="1">
        <f t="shared" si="28"/>
        <v>1.6984307927540043</v>
      </c>
      <c r="L129" s="1">
        <f t="shared" si="19"/>
        <v>0.62189705865334344</v>
      </c>
      <c r="M129" s="1">
        <f t="shared" si="29"/>
        <v>2.9899522599557599E-2</v>
      </c>
      <c r="N129" s="1">
        <f t="shared" si="20"/>
        <v>3.7313823519200606</v>
      </c>
      <c r="O129" s="1">
        <f t="shared" si="30"/>
        <v>9.260035697540546E-2</v>
      </c>
      <c r="P129" s="1">
        <f t="shared" si="21"/>
        <v>37.313823519200604</v>
      </c>
      <c r="Q129" s="1">
        <f t="shared" si="31"/>
        <v>0.29282804018694181</v>
      </c>
    </row>
    <row r="130" spans="1:17">
      <c r="A130" s="1">
        <v>8.9999999999999996E-17</v>
      </c>
      <c r="B130" s="1">
        <f t="shared" si="32"/>
        <v>5.4368476570721E-6</v>
      </c>
      <c r="C130" s="1">
        <f t="shared" si="22"/>
        <v>13.092569655859862</v>
      </c>
      <c r="D130" s="1">
        <f t="shared" si="23"/>
        <v>0.58916563451369386</v>
      </c>
      <c r="E130" s="1">
        <f t="shared" si="24"/>
        <v>3.1026377343789494E-2</v>
      </c>
      <c r="F130" s="1">
        <f t="shared" si="17"/>
        <v>3.5349938070821629</v>
      </c>
      <c r="G130" s="1">
        <f t="shared" si="25"/>
        <v>0.10240832351406651</v>
      </c>
      <c r="H130" s="1">
        <f t="shared" si="18"/>
        <v>35.349938070821629</v>
      </c>
      <c r="I130" s="1">
        <f t="shared" si="26"/>
        <v>0.32384355366382872</v>
      </c>
      <c r="J130" s="1">
        <f t="shared" si="27"/>
        <v>176.74969035410814</v>
      </c>
      <c r="K130" s="1">
        <f t="shared" si="28"/>
        <v>1.6096947933859551</v>
      </c>
      <c r="L130" s="1">
        <f t="shared" si="19"/>
        <v>0.58916563451369386</v>
      </c>
      <c r="M130" s="1">
        <f t="shared" si="29"/>
        <v>2.8326935119087314E-2</v>
      </c>
      <c r="N130" s="1">
        <f t="shared" si="20"/>
        <v>3.5349938070821629</v>
      </c>
      <c r="O130" s="1">
        <f t="shared" si="30"/>
        <v>8.7731959679690538E-2</v>
      </c>
      <c r="P130" s="1">
        <f t="shared" si="21"/>
        <v>35.349938070821629</v>
      </c>
      <c r="Q130" s="1">
        <f t="shared" si="31"/>
        <v>0.27743281617787841</v>
      </c>
    </row>
    <row r="131" spans="1:17">
      <c r="A131" s="1">
        <v>8.5000000000000001E-17</v>
      </c>
      <c r="B131" s="1">
        <f t="shared" si="32"/>
        <v>5.1348005650125393E-6</v>
      </c>
      <c r="C131" s="1">
        <f t="shared" si="22"/>
        <v>12.365204674978756</v>
      </c>
      <c r="D131" s="1">
        <f t="shared" si="23"/>
        <v>0.55643421037404406</v>
      </c>
      <c r="E131" s="1">
        <f t="shared" si="24"/>
        <v>2.9304019736992992E-2</v>
      </c>
      <c r="F131" s="1">
        <f t="shared" si="17"/>
        <v>3.3386052622442643</v>
      </c>
      <c r="G131" s="1">
        <f t="shared" si="25"/>
        <v>9.6726943793387143E-2</v>
      </c>
      <c r="H131" s="1">
        <f t="shared" si="18"/>
        <v>33.386052622442641</v>
      </c>
      <c r="I131" s="1">
        <f t="shared" si="26"/>
        <v>0.30587745349419065</v>
      </c>
      <c r="J131" s="1">
        <f t="shared" si="27"/>
        <v>166.93026311221323</v>
      </c>
      <c r="K131" s="1">
        <f t="shared" si="28"/>
        <v>1.5208867619844937</v>
      </c>
      <c r="L131" s="1">
        <f t="shared" si="19"/>
        <v>0.55643421037404406</v>
      </c>
      <c r="M131" s="1">
        <f t="shared" si="29"/>
        <v>2.6754228686409785E-2</v>
      </c>
      <c r="N131" s="1">
        <f t="shared" si="20"/>
        <v>3.3386052622442643</v>
      </c>
      <c r="O131" s="1">
        <f t="shared" si="30"/>
        <v>8.2862973770715498E-2</v>
      </c>
      <c r="P131" s="1">
        <f t="shared" si="21"/>
        <v>33.386052622442641</v>
      </c>
      <c r="Q131" s="1">
        <f t="shared" si="31"/>
        <v>0.26203573081025194</v>
      </c>
    </row>
    <row r="132" spans="1:17">
      <c r="A132" s="1">
        <v>8.0000000000000006E-17</v>
      </c>
      <c r="B132" s="1">
        <f t="shared" si="32"/>
        <v>4.8327534729529785E-6</v>
      </c>
      <c r="C132" s="1">
        <f t="shared" si="22"/>
        <v>11.637839694097655</v>
      </c>
      <c r="D132" s="1">
        <f t="shared" si="23"/>
        <v>0.52370278623439448</v>
      </c>
      <c r="E132" s="1">
        <f t="shared" si="24"/>
        <v>2.7581505827321665E-2</v>
      </c>
      <c r="F132" s="1">
        <f t="shared" si="17"/>
        <v>3.1422167174063671</v>
      </c>
      <c r="G132" s="1">
        <f t="shared" si="25"/>
        <v>9.1044628094518645E-2</v>
      </c>
      <c r="H132" s="1">
        <f t="shared" si="18"/>
        <v>31.42216717406367</v>
      </c>
      <c r="I132" s="1">
        <f t="shared" si="26"/>
        <v>0.28790839350163472</v>
      </c>
      <c r="J132" s="1">
        <f t="shared" si="27"/>
        <v>157.11083587031837</v>
      </c>
      <c r="K132" s="1">
        <f t="shared" si="28"/>
        <v>1.4320065665365502</v>
      </c>
      <c r="L132" s="1">
        <f t="shared" si="19"/>
        <v>0.52370278623439448</v>
      </c>
      <c r="M132" s="1">
        <f t="shared" si="29"/>
        <v>2.5181403281273884E-2</v>
      </c>
      <c r="N132" s="1">
        <f t="shared" si="20"/>
        <v>3.1422167174063671</v>
      </c>
      <c r="O132" s="1">
        <f t="shared" si="30"/>
        <v>7.7993399088275475E-2</v>
      </c>
      <c r="P132" s="1">
        <f t="shared" si="21"/>
        <v>31.42216717406367</v>
      </c>
      <c r="Q132" s="1">
        <f t="shared" si="31"/>
        <v>0.24663678357745042</v>
      </c>
    </row>
    <row r="133" spans="1:17">
      <c r="A133" s="1">
        <v>7.4999999999999998E-17</v>
      </c>
      <c r="B133" s="1">
        <f t="shared" si="32"/>
        <v>4.5307063808934168E-6</v>
      </c>
      <c r="C133" s="1">
        <f t="shared" si="22"/>
        <v>10.91047471321655</v>
      </c>
      <c r="D133" s="1">
        <f t="shared" si="23"/>
        <v>0.49097136209474473</v>
      </c>
      <c r="E133" s="1">
        <f t="shared" si="24"/>
        <v>2.5858835582849009E-2</v>
      </c>
      <c r="F133" s="1">
        <f t="shared" si="17"/>
        <v>2.9458281725684685</v>
      </c>
      <c r="G133" s="1">
        <f t="shared" si="25"/>
        <v>8.5361376070287168E-2</v>
      </c>
      <c r="H133" s="1">
        <f t="shared" si="18"/>
        <v>29.458281725684685</v>
      </c>
      <c r="I133" s="1">
        <f t="shared" si="26"/>
        <v>0.26993637258830083</v>
      </c>
      <c r="J133" s="1">
        <f t="shared" si="27"/>
        <v>147.29140862842343</v>
      </c>
      <c r="K133" s="1">
        <f t="shared" si="28"/>
        <v>1.3430540746700974</v>
      </c>
      <c r="L133" s="1">
        <f t="shared" si="19"/>
        <v>0.49097136209474473</v>
      </c>
      <c r="M133" s="1">
        <f t="shared" si="29"/>
        <v>2.3608458883423323E-2</v>
      </c>
      <c r="N133" s="1">
        <f t="shared" si="20"/>
        <v>2.9458281725684685</v>
      </c>
      <c r="O133" s="1">
        <f t="shared" si="30"/>
        <v>7.3123235472100992E-2</v>
      </c>
      <c r="P133" s="1">
        <f t="shared" si="21"/>
        <v>29.458281725684685</v>
      </c>
      <c r="Q133" s="1">
        <f t="shared" si="31"/>
        <v>0.23123597397265697</v>
      </c>
    </row>
    <row r="134" spans="1:17">
      <c r="A134" s="1">
        <v>7.0000000000000003E-17</v>
      </c>
      <c r="B134" s="1">
        <f t="shared" si="32"/>
        <v>4.2286592888338561E-6</v>
      </c>
      <c r="C134" s="1">
        <f t="shared" si="22"/>
        <v>10.183109732335447</v>
      </c>
      <c r="D134" s="1">
        <f t="shared" si="23"/>
        <v>0.45823993795509516</v>
      </c>
      <c r="E134" s="1">
        <f t="shared" si="24"/>
        <v>2.4136008971638916E-2</v>
      </c>
      <c r="F134" s="1">
        <f t="shared" si="17"/>
        <v>2.7494396277305708</v>
      </c>
      <c r="G134" s="1">
        <f t="shared" si="25"/>
        <v>7.9677187373328254E-2</v>
      </c>
      <c r="H134" s="1">
        <f t="shared" si="18"/>
        <v>27.494396277305707</v>
      </c>
      <c r="I134" s="1">
        <f t="shared" si="26"/>
        <v>0.25196138965572601</v>
      </c>
      <c r="J134" s="1">
        <f t="shared" si="27"/>
        <v>137.47198138652854</v>
      </c>
      <c r="K134" s="1">
        <f t="shared" si="28"/>
        <v>1.25402915365287</v>
      </c>
      <c r="L134" s="1">
        <f t="shared" si="19"/>
        <v>0.45823993795509516</v>
      </c>
      <c r="M134" s="1">
        <f t="shared" si="29"/>
        <v>2.2035395472596763E-2</v>
      </c>
      <c r="N134" s="1">
        <f t="shared" si="20"/>
        <v>2.7494396277305708</v>
      </c>
      <c r="O134" s="1">
        <f t="shared" si="30"/>
        <v>6.8252482761857955E-2</v>
      </c>
      <c r="P134" s="1">
        <f t="shared" si="21"/>
        <v>27.494396277305707</v>
      </c>
      <c r="Q134" s="1">
        <f t="shared" si="31"/>
        <v>0.21583330148885083</v>
      </c>
    </row>
    <row r="135" spans="1:17">
      <c r="A135" s="1">
        <v>6.4999999999999996E-17</v>
      </c>
      <c r="B135" s="1">
        <f t="shared" si="32"/>
        <v>3.9266121967742944E-6</v>
      </c>
      <c r="C135" s="1">
        <f t="shared" si="22"/>
        <v>9.4557447514543433</v>
      </c>
      <c r="D135" s="1">
        <f t="shared" si="23"/>
        <v>0.42550851381544547</v>
      </c>
      <c r="E135" s="1">
        <f t="shared" si="24"/>
        <v>2.2413025961745572E-2</v>
      </c>
      <c r="F135" s="1">
        <f t="shared" si="17"/>
        <v>2.5530510828926727</v>
      </c>
      <c r="G135" s="1">
        <f t="shared" si="25"/>
        <v>7.3992061656086308E-2</v>
      </c>
      <c r="H135" s="1">
        <f t="shared" si="18"/>
        <v>25.530510828926726</v>
      </c>
      <c r="I135" s="1">
        <f t="shared" si="26"/>
        <v>0.23398344360484305</v>
      </c>
      <c r="J135" s="1">
        <f t="shared" si="27"/>
        <v>127.65255414463364</v>
      </c>
      <c r="K135" s="1">
        <f t="shared" si="28"/>
        <v>1.1649316703910755</v>
      </c>
      <c r="L135" s="1">
        <f t="shared" si="19"/>
        <v>0.42550851381544547</v>
      </c>
      <c r="M135" s="1">
        <f t="shared" si="29"/>
        <v>2.0462213028527701E-2</v>
      </c>
      <c r="N135" s="1">
        <f t="shared" si="20"/>
        <v>2.5530510828926727</v>
      </c>
      <c r="O135" s="1">
        <f t="shared" si="30"/>
        <v>6.3381140797147545E-2</v>
      </c>
      <c r="P135" s="1">
        <f t="shared" si="21"/>
        <v>25.530510828926726</v>
      </c>
      <c r="Q135" s="1">
        <f t="shared" si="31"/>
        <v>0.20042876561880635</v>
      </c>
    </row>
    <row r="136" spans="1:17">
      <c r="A136" s="1">
        <v>6.0000000000000001E-17</v>
      </c>
      <c r="B136" s="1">
        <f t="shared" si="32"/>
        <v>3.6245651047147332E-6</v>
      </c>
      <c r="C136" s="1">
        <f t="shared" si="22"/>
        <v>8.7283797705732393</v>
      </c>
      <c r="D136" s="1">
        <f t="shared" si="23"/>
        <v>0.39277708967579583</v>
      </c>
      <c r="E136" s="1">
        <f t="shared" si="24"/>
        <v>2.0689886521213504E-2</v>
      </c>
      <c r="F136" s="1">
        <f t="shared" si="17"/>
        <v>2.356662538054775</v>
      </c>
      <c r="G136" s="1">
        <f t="shared" si="25"/>
        <v>6.8305998570814708E-2</v>
      </c>
      <c r="H136" s="1">
        <f t="shared" si="18"/>
        <v>23.566625380547748</v>
      </c>
      <c r="I136" s="1">
        <f t="shared" si="26"/>
        <v>0.21600253333598057</v>
      </c>
      <c r="J136" s="1">
        <f t="shared" si="27"/>
        <v>117.83312690273875</v>
      </c>
      <c r="K136" s="1">
        <f t="shared" si="28"/>
        <v>1.0757614914281004</v>
      </c>
      <c r="L136" s="1">
        <f t="shared" si="19"/>
        <v>0.39277708967579583</v>
      </c>
      <c r="M136" s="1">
        <f t="shared" si="29"/>
        <v>1.8888911530944547E-2</v>
      </c>
      <c r="N136" s="1">
        <f t="shared" si="20"/>
        <v>2.356662538054775</v>
      </c>
      <c r="O136" s="1">
        <f t="shared" si="30"/>
        <v>5.8509209417506272E-2</v>
      </c>
      <c r="P136" s="1">
        <f t="shared" si="21"/>
        <v>23.566625380547748</v>
      </c>
      <c r="Q136" s="1">
        <f t="shared" si="31"/>
        <v>0.18502236585509341</v>
      </c>
    </row>
    <row r="137" spans="1:17">
      <c r="A137" s="1">
        <v>5.5E-17</v>
      </c>
      <c r="B137" s="1">
        <f t="shared" si="32"/>
        <v>3.322518012655172E-6</v>
      </c>
      <c r="C137" s="1">
        <f t="shared" si="22"/>
        <v>8.0010147896921353</v>
      </c>
      <c r="D137" s="1">
        <f t="shared" si="23"/>
        <v>0.36004566553614614</v>
      </c>
      <c r="E137" s="1">
        <f t="shared" si="24"/>
        <v>1.896659061807757E-2</v>
      </c>
      <c r="F137" s="1">
        <f t="shared" si="17"/>
        <v>2.1602739932168769</v>
      </c>
      <c r="G137" s="1">
        <f t="shared" si="25"/>
        <v>6.2618997769575552E-2</v>
      </c>
      <c r="H137" s="1">
        <f t="shared" si="18"/>
        <v>21.602739932168767</v>
      </c>
      <c r="I137" s="1">
        <f t="shared" si="26"/>
        <v>0.19801865774886232</v>
      </c>
      <c r="J137" s="1">
        <f t="shared" si="27"/>
        <v>108.01369966084384</v>
      </c>
      <c r="K137" s="1">
        <f t="shared" si="28"/>
        <v>0.98651848294321076</v>
      </c>
      <c r="L137" s="1">
        <f t="shared" si="19"/>
        <v>0.36004566553614614</v>
      </c>
      <c r="M137" s="1">
        <f t="shared" si="29"/>
        <v>1.7315490959570596E-2</v>
      </c>
      <c r="N137" s="1">
        <f t="shared" si="20"/>
        <v>2.1602739932168769</v>
      </c>
      <c r="O137" s="1">
        <f t="shared" si="30"/>
        <v>5.3636688462405852E-2</v>
      </c>
      <c r="P137" s="1">
        <f t="shared" si="21"/>
        <v>21.602739932168767</v>
      </c>
      <c r="Q137" s="1">
        <f t="shared" si="31"/>
        <v>0.16961410169007707</v>
      </c>
    </row>
    <row r="138" spans="1:17">
      <c r="A138" s="1">
        <v>4.9999999999999999E-17</v>
      </c>
      <c r="B138" s="1">
        <f t="shared" si="32"/>
        <v>3.0204709205956112E-6</v>
      </c>
      <c r="C138" s="1">
        <f t="shared" si="22"/>
        <v>7.273649808811034</v>
      </c>
      <c r="D138" s="1">
        <f t="shared" si="23"/>
        <v>0.32731424139649656</v>
      </c>
      <c r="E138" s="1">
        <f t="shared" si="24"/>
        <v>1.7243138220362955E-2</v>
      </c>
      <c r="F138" s="1">
        <f t="shared" si="17"/>
        <v>1.9638854483789794</v>
      </c>
      <c r="G138" s="1">
        <f t="shared" si="25"/>
        <v>5.69310589042396E-2</v>
      </c>
      <c r="H138" s="1">
        <f t="shared" si="18"/>
        <v>19.638854483789792</v>
      </c>
      <c r="I138" s="1">
        <f t="shared" si="26"/>
        <v>0.18003181574260696</v>
      </c>
      <c r="J138" s="1">
        <f t="shared" si="27"/>
        <v>98.19427241894897</v>
      </c>
      <c r="K138" s="1">
        <f t="shared" si="28"/>
        <v>0.89720251075024771</v>
      </c>
      <c r="L138" s="1">
        <f t="shared" si="19"/>
        <v>0.32731424139649656</v>
      </c>
      <c r="M138" s="1">
        <f t="shared" si="29"/>
        <v>1.5741951294124017E-2</v>
      </c>
      <c r="N138" s="1">
        <f t="shared" si="20"/>
        <v>1.9638854483789794</v>
      </c>
      <c r="O138" s="1">
        <f t="shared" si="30"/>
        <v>4.8763577771253272E-2</v>
      </c>
      <c r="P138" s="1">
        <f t="shared" si="21"/>
        <v>19.638854483789792</v>
      </c>
      <c r="Q138" s="1">
        <f t="shared" si="31"/>
        <v>0.15420397261591759</v>
      </c>
    </row>
    <row r="139" spans="1:17">
      <c r="A139" s="1">
        <v>4.4999999999999998E-17</v>
      </c>
      <c r="B139" s="1">
        <f t="shared" si="32"/>
        <v>2.71842382853605E-6</v>
      </c>
      <c r="C139" s="1">
        <f t="shared" si="22"/>
        <v>6.5462848279299308</v>
      </c>
      <c r="D139" s="1">
        <f t="shared" si="23"/>
        <v>0.29458281725684693</v>
      </c>
      <c r="E139" s="1">
        <f t="shared" si="24"/>
        <v>1.5519529296085134E-2</v>
      </c>
      <c r="F139" s="1">
        <f t="shared" si="17"/>
        <v>1.7674969035410815</v>
      </c>
      <c r="G139" s="1">
        <f t="shared" si="25"/>
        <v>5.1242181626486021E-2</v>
      </c>
      <c r="H139" s="1">
        <f t="shared" si="18"/>
        <v>17.674969035410815</v>
      </c>
      <c r="I139" s="1">
        <f t="shared" si="26"/>
        <v>0.16204200621572737</v>
      </c>
      <c r="J139" s="1">
        <f t="shared" si="27"/>
        <v>88.37484517705407</v>
      </c>
      <c r="K139" s="1">
        <f t="shared" si="28"/>
        <v>0.80781344029631474</v>
      </c>
      <c r="L139" s="1">
        <f t="shared" si="19"/>
        <v>0.29458281725684693</v>
      </c>
      <c r="M139" s="1">
        <f t="shared" si="29"/>
        <v>1.4168292514317869E-2</v>
      </c>
      <c r="N139" s="1">
        <f t="shared" si="20"/>
        <v>1.7674969035410815</v>
      </c>
      <c r="O139" s="1">
        <f t="shared" si="30"/>
        <v>4.3889877183390651E-2</v>
      </c>
      <c r="P139" s="1">
        <f t="shared" si="21"/>
        <v>17.674969035410815</v>
      </c>
      <c r="Q139" s="1">
        <f t="shared" si="31"/>
        <v>0.13879197812457014</v>
      </c>
    </row>
    <row r="140" spans="1:17">
      <c r="A140" s="1">
        <v>4.0000000000000003E-17</v>
      </c>
      <c r="B140" s="1">
        <f t="shared" si="32"/>
        <v>2.4163767364764892E-6</v>
      </c>
      <c r="C140" s="1">
        <f t="shared" si="22"/>
        <v>5.8189198470488277</v>
      </c>
      <c r="D140" s="1">
        <f t="shared" si="23"/>
        <v>0.26185139311719724</v>
      </c>
      <c r="E140" s="1">
        <f t="shared" si="24"/>
        <v>1.3795763813249927E-2</v>
      </c>
      <c r="F140" s="1">
        <f t="shared" si="17"/>
        <v>1.5711083587031835</v>
      </c>
      <c r="G140" s="1">
        <f t="shared" si="25"/>
        <v>4.5552365587802401E-2</v>
      </c>
      <c r="H140" s="1">
        <f t="shared" si="18"/>
        <v>15.711083587031835</v>
      </c>
      <c r="I140" s="1">
        <f t="shared" si="26"/>
        <v>0.14404922806613038</v>
      </c>
      <c r="J140" s="1">
        <f t="shared" si="27"/>
        <v>78.555417935159184</v>
      </c>
      <c r="K140" s="1">
        <f t="shared" si="28"/>
        <v>0.71835113666046302</v>
      </c>
      <c r="L140" s="1">
        <f t="shared" si="19"/>
        <v>0.26185139311719724</v>
      </c>
      <c r="M140" s="1">
        <f t="shared" si="29"/>
        <v>1.2594514599860081E-2</v>
      </c>
      <c r="N140" s="1">
        <f t="shared" si="20"/>
        <v>1.5711083587031835</v>
      </c>
      <c r="O140" s="1">
        <f t="shared" si="30"/>
        <v>3.9015586538095288E-2</v>
      </c>
      <c r="P140" s="1">
        <f t="shared" si="21"/>
        <v>15.711083587031835</v>
      </c>
      <c r="Q140" s="1">
        <f t="shared" si="31"/>
        <v>0.1233781177077849</v>
      </c>
    </row>
    <row r="141" spans="1:17">
      <c r="A141" s="1">
        <v>3.5000000000000002E-17</v>
      </c>
      <c r="B141" s="1">
        <f t="shared" si="32"/>
        <v>2.114329644416928E-6</v>
      </c>
      <c r="C141" s="1">
        <f t="shared" si="22"/>
        <v>5.0915548661677237</v>
      </c>
      <c r="D141" s="1">
        <f t="shared" si="23"/>
        <v>0.22911996897754758</v>
      </c>
      <c r="E141" s="1">
        <f t="shared" si="24"/>
        <v>1.2071841739853454E-2</v>
      </c>
      <c r="F141" s="1">
        <f t="shared" si="17"/>
        <v>1.3747198138652854</v>
      </c>
      <c r="G141" s="1">
        <f t="shared" si="25"/>
        <v>3.9861610439484461E-2</v>
      </c>
      <c r="H141" s="1">
        <f t="shared" si="18"/>
        <v>13.747198138652854</v>
      </c>
      <c r="I141" s="1">
        <f t="shared" si="26"/>
        <v>0.12605348019111637</v>
      </c>
      <c r="J141" s="1">
        <f t="shared" si="27"/>
        <v>68.73599069326427</v>
      </c>
      <c r="K141" s="1">
        <f t="shared" si="28"/>
        <v>0.62881546455236659</v>
      </c>
      <c r="L141" s="1">
        <f t="shared" si="19"/>
        <v>0.22911996897754758</v>
      </c>
      <c r="M141" s="1">
        <f t="shared" si="29"/>
        <v>1.1020617530453469E-2</v>
      </c>
      <c r="N141" s="1">
        <f t="shared" si="20"/>
        <v>1.3747198138652854</v>
      </c>
      <c r="O141" s="1">
        <f t="shared" si="30"/>
        <v>3.414070567457958E-2</v>
      </c>
      <c r="P141" s="1">
        <f t="shared" si="21"/>
        <v>13.747198138652854</v>
      </c>
      <c r="Q141" s="1">
        <f t="shared" si="31"/>
        <v>0.10796239085710682</v>
      </c>
    </row>
    <row r="142" spans="1:17">
      <c r="A142" s="1">
        <v>3.0000000000000001E-17</v>
      </c>
      <c r="B142" s="1">
        <f t="shared" si="32"/>
        <v>1.8122825523573666E-6</v>
      </c>
      <c r="C142" s="1">
        <f t="shared" si="22"/>
        <v>4.3641898852866197</v>
      </c>
      <c r="D142" s="1">
        <f t="shared" si="23"/>
        <v>0.19638854483789792</v>
      </c>
      <c r="E142" s="1">
        <f t="shared" si="24"/>
        <v>1.0347763043882137E-2</v>
      </c>
      <c r="F142" s="1">
        <f t="shared" si="17"/>
        <v>1.1783312690273875</v>
      </c>
      <c r="G142" s="1">
        <f t="shared" si="25"/>
        <v>3.4169915832636046E-2</v>
      </c>
      <c r="H142" s="1">
        <f t="shared" si="18"/>
        <v>11.783312690273874</v>
      </c>
      <c r="I142" s="1">
        <f t="shared" si="26"/>
        <v>0.10805476148737876</v>
      </c>
      <c r="J142" s="1">
        <f t="shared" si="27"/>
        <v>58.916563451369377</v>
      </c>
      <c r="K142" s="1">
        <f t="shared" si="28"/>
        <v>0.53920628831099593</v>
      </c>
      <c r="L142" s="1">
        <f t="shared" si="19"/>
        <v>0.19638854483789792</v>
      </c>
      <c r="M142" s="1">
        <f t="shared" si="29"/>
        <v>9.4466012857957211E-3</v>
      </c>
      <c r="N142" s="1">
        <f t="shared" si="20"/>
        <v>1.1783312690273875</v>
      </c>
      <c r="O142" s="1">
        <f t="shared" si="30"/>
        <v>2.926523443199102E-2</v>
      </c>
      <c r="P142" s="1">
        <f t="shared" si="21"/>
        <v>11.783312690273874</v>
      </c>
      <c r="Q142" s="1">
        <f t="shared" si="31"/>
        <v>9.2544797063875639E-2</v>
      </c>
    </row>
    <row r="143" spans="1:17">
      <c r="A143" s="1">
        <v>2.4999999999999999E-17</v>
      </c>
      <c r="B143" s="1">
        <f t="shared" si="32"/>
        <v>1.5102354602978056E-6</v>
      </c>
      <c r="C143" s="1">
        <f t="shared" si="22"/>
        <v>3.636824904405517</v>
      </c>
      <c r="D143" s="1">
        <f t="shared" si="23"/>
        <v>0.16365712069824828</v>
      </c>
      <c r="E143" s="1">
        <f t="shared" si="24"/>
        <v>8.6235276933127065E-3</v>
      </c>
      <c r="F143" s="1">
        <f t="shared" si="17"/>
        <v>0.98194272418948969</v>
      </c>
      <c r="G143" s="1">
        <f t="shared" si="25"/>
        <v>2.8477281418168882E-2</v>
      </c>
      <c r="H143" s="1">
        <f t="shared" si="18"/>
        <v>9.8194272418948962</v>
      </c>
      <c r="I143" s="1">
        <f t="shared" si="26"/>
        <v>9.0053070851003544E-2</v>
      </c>
      <c r="J143" s="1">
        <f t="shared" si="27"/>
        <v>49.097136209474485</v>
      </c>
      <c r="K143" s="1">
        <f t="shared" si="28"/>
        <v>0.44952347190328157</v>
      </c>
      <c r="L143" s="1">
        <f t="shared" si="19"/>
        <v>0.16365712069824828</v>
      </c>
      <c r="M143" s="1">
        <f t="shared" si="29"/>
        <v>7.8724658455794055E-3</v>
      </c>
      <c r="N143" s="1">
        <f t="shared" si="20"/>
        <v>0.98194272418948969</v>
      </c>
      <c r="O143" s="1">
        <f t="shared" si="30"/>
        <v>2.4389172649412129E-2</v>
      </c>
      <c r="P143" s="1">
        <f t="shared" si="21"/>
        <v>9.8194272418948962</v>
      </c>
      <c r="Q143" s="1">
        <f t="shared" si="31"/>
        <v>7.7125335819225607E-2</v>
      </c>
    </row>
    <row r="144" spans="1:17">
      <c r="A144" s="1">
        <v>2.0000000000000001E-17</v>
      </c>
      <c r="B144" s="1">
        <f t="shared" si="32"/>
        <v>1.2081883682382446E-6</v>
      </c>
      <c r="C144" s="1">
        <f t="shared" si="22"/>
        <v>2.9094599235244138</v>
      </c>
      <c r="D144" s="1">
        <f t="shared" si="23"/>
        <v>0.13092569655859862</v>
      </c>
      <c r="E144" s="1">
        <f t="shared" si="24"/>
        <v>6.8991356561121852E-3</v>
      </c>
      <c r="F144" s="1">
        <f t="shared" si="17"/>
        <v>0.78555417935159177</v>
      </c>
      <c r="G144" s="1">
        <f t="shared" si="25"/>
        <v>2.2783706846802494E-2</v>
      </c>
      <c r="H144" s="1">
        <f t="shared" si="18"/>
        <v>7.8555417935159175</v>
      </c>
      <c r="I144" s="1">
        <f t="shared" si="26"/>
        <v>7.2048407177468868E-2</v>
      </c>
      <c r="J144" s="1">
        <f t="shared" si="27"/>
        <v>39.277708967579592</v>
      </c>
      <c r="K144" s="1">
        <f t="shared" si="28"/>
        <v>0.35976687892277481</v>
      </c>
      <c r="L144" s="1">
        <f t="shared" si="19"/>
        <v>0.13092569655859862</v>
      </c>
      <c r="M144" s="1">
        <f t="shared" si="29"/>
        <v>6.2982111894919531E-3</v>
      </c>
      <c r="N144" s="1">
        <f t="shared" si="20"/>
        <v>0.78555417935159177</v>
      </c>
      <c r="O144" s="1">
        <f t="shared" si="30"/>
        <v>1.9512520165860445E-2</v>
      </c>
      <c r="P144" s="1">
        <f t="shared" si="21"/>
        <v>7.8555417935159175</v>
      </c>
      <c r="Q144" s="1">
        <f t="shared" si="31"/>
        <v>6.170400661408549E-2</v>
      </c>
    </row>
    <row r="145" spans="1:17">
      <c r="A145" s="1">
        <v>1.5E-17</v>
      </c>
      <c r="B145" s="1">
        <f t="shared" si="32"/>
        <v>9.061412761786833E-7</v>
      </c>
      <c r="C145" s="1">
        <f t="shared" si="22"/>
        <v>2.1820949426433098</v>
      </c>
      <c r="D145" s="1">
        <f t="shared" si="23"/>
        <v>9.8194272418948958E-2</v>
      </c>
      <c r="E145" s="1">
        <f t="shared" si="24"/>
        <v>5.1745869002378991E-3</v>
      </c>
      <c r="F145" s="1">
        <f t="shared" si="17"/>
        <v>0.58916563451369375</v>
      </c>
      <c r="G145" s="1">
        <f t="shared" si="25"/>
        <v>1.7089191769064059E-2</v>
      </c>
      <c r="H145" s="1">
        <f t="shared" si="18"/>
        <v>5.891656345136937</v>
      </c>
      <c r="I145" s="1">
        <f t="shared" si="26"/>
        <v>5.4040769361644606E-2</v>
      </c>
      <c r="J145" s="1">
        <f t="shared" si="27"/>
        <v>29.458281725684689</v>
      </c>
      <c r="K145" s="1">
        <f t="shared" si="28"/>
        <v>0.26993637258830083</v>
      </c>
      <c r="L145" s="1">
        <f t="shared" si="19"/>
        <v>9.8194272418948958E-2</v>
      </c>
      <c r="M145" s="1">
        <f t="shared" si="29"/>
        <v>4.7238372972156746E-3</v>
      </c>
      <c r="N145" s="1">
        <f t="shared" si="20"/>
        <v>0.58916563451369375</v>
      </c>
      <c r="O145" s="1">
        <f t="shared" si="30"/>
        <v>1.4635276820288482E-2</v>
      </c>
      <c r="P145" s="1">
        <f t="shared" si="21"/>
        <v>5.891656345136937</v>
      </c>
      <c r="Q145" s="1">
        <f t="shared" si="31"/>
        <v>4.6280808939178374E-2</v>
      </c>
    </row>
    <row r="146" spans="1:17">
      <c r="A146" s="1">
        <v>1.0000000000000001E-17</v>
      </c>
      <c r="B146" s="1">
        <f t="shared" si="32"/>
        <v>6.0409418411912231E-7</v>
      </c>
      <c r="C146" s="1">
        <f t="shared" si="22"/>
        <v>1.4547299617622069</v>
      </c>
      <c r="D146" s="1">
        <f t="shared" si="23"/>
        <v>6.546284827929931E-2</v>
      </c>
      <c r="E146" s="1">
        <f t="shared" si="24"/>
        <v>3.4498813936374583E-3</v>
      </c>
      <c r="F146" s="1">
        <f t="shared" si="17"/>
        <v>0.39277708967579589</v>
      </c>
      <c r="G146" s="1">
        <f t="shared" si="25"/>
        <v>1.1393735835288259E-2</v>
      </c>
      <c r="H146" s="1">
        <f t="shared" si="18"/>
        <v>3.9277708967579588</v>
      </c>
      <c r="I146" s="1">
        <f t="shared" si="26"/>
        <v>3.6030156297791972E-2</v>
      </c>
      <c r="J146" s="1">
        <f t="shared" si="27"/>
        <v>19.638854483789796</v>
      </c>
      <c r="K146" s="1">
        <f t="shared" si="28"/>
        <v>0.18003181574260702</v>
      </c>
      <c r="L146" s="1">
        <f t="shared" si="19"/>
        <v>6.546284827929931E-2</v>
      </c>
      <c r="M146" s="1">
        <f t="shared" si="29"/>
        <v>3.1493441484277485E-3</v>
      </c>
      <c r="N146" s="1">
        <f t="shared" si="20"/>
        <v>0.39277708967579589</v>
      </c>
      <c r="O146" s="1">
        <f t="shared" si="30"/>
        <v>9.7574424515837008E-3</v>
      </c>
      <c r="P146" s="1">
        <f t="shared" si="21"/>
        <v>3.9277708967579588</v>
      </c>
      <c r="Q146" s="1">
        <f t="shared" si="31"/>
        <v>3.0855742285021717E-2</v>
      </c>
    </row>
    <row r="147" spans="1:17">
      <c r="A147" s="1">
        <v>9.5000000000000003E-18</v>
      </c>
      <c r="B147" s="1">
        <f t="shared" si="32"/>
        <v>5.7388947491316617E-7</v>
      </c>
      <c r="C147" s="1">
        <f t="shared" si="22"/>
        <v>1.3819934636740963</v>
      </c>
      <c r="D147" s="1">
        <f t="shared" si="23"/>
        <v>6.2189705865334337E-2</v>
      </c>
      <c r="E147" s="1">
        <f t="shared" si="24"/>
        <v>3.2774022204531696E-3</v>
      </c>
      <c r="F147" s="1">
        <f t="shared" si="17"/>
        <v>0.37313823519200601</v>
      </c>
      <c r="G147" s="1">
        <f t="shared" si="25"/>
        <v>1.0824138481360759E-2</v>
      </c>
      <c r="H147" s="1">
        <f t="shared" si="18"/>
        <v>3.7313823519200602</v>
      </c>
      <c r="I147" s="1">
        <f t="shared" si="26"/>
        <v>3.4228931310176021E-2</v>
      </c>
      <c r="J147" s="1">
        <f t="shared" si="27"/>
        <v>18.656911759600302</v>
      </c>
      <c r="K147" s="1">
        <f t="shared" si="28"/>
        <v>0.17103728198811177</v>
      </c>
      <c r="L147" s="1">
        <f t="shared" si="19"/>
        <v>6.2189705865334337E-2</v>
      </c>
      <c r="M147" s="1">
        <f t="shared" si="29"/>
        <v>2.9918882736582335E-3</v>
      </c>
      <c r="N147" s="1">
        <f t="shared" si="20"/>
        <v>0.37313823519200601</v>
      </c>
      <c r="O147" s="1">
        <f t="shared" si="30"/>
        <v>9.2696265022361394E-3</v>
      </c>
      <c r="P147" s="1">
        <f t="shared" si="21"/>
        <v>3.7313823519200602</v>
      </c>
      <c r="Q147" s="1">
        <f t="shared" si="31"/>
        <v>2.9313132806126099E-2</v>
      </c>
    </row>
    <row r="148" spans="1:17">
      <c r="A148" s="1">
        <v>8.9999999999999999E-18</v>
      </c>
      <c r="B148" s="1">
        <f t="shared" si="32"/>
        <v>5.4368476570721002E-7</v>
      </c>
      <c r="C148" s="1">
        <f t="shared" si="22"/>
        <v>1.3092569655859863</v>
      </c>
      <c r="D148" s="1">
        <f t="shared" si="23"/>
        <v>5.8916563451369384E-2</v>
      </c>
      <c r="E148" s="1">
        <f t="shared" si="24"/>
        <v>3.1049214794089384E-3</v>
      </c>
      <c r="F148" s="1">
        <f t="shared" si="17"/>
        <v>0.35349938070821629</v>
      </c>
      <c r="G148" s="1">
        <f t="shared" si="25"/>
        <v>1.0254531715024507E-2</v>
      </c>
      <c r="H148" s="1">
        <f t="shared" si="18"/>
        <v>3.5349938070821629</v>
      </c>
      <c r="I148" s="1">
        <f t="shared" si="26"/>
        <v>3.2427676557910137E-2</v>
      </c>
      <c r="J148" s="1">
        <f t="shared" si="27"/>
        <v>17.674969035410815</v>
      </c>
      <c r="K148" s="1">
        <f t="shared" si="28"/>
        <v>0.16204200621572737</v>
      </c>
      <c r="L148" s="1">
        <f t="shared" si="19"/>
        <v>5.8916563451369384E-2</v>
      </c>
      <c r="M148" s="1">
        <f t="shared" si="29"/>
        <v>2.8344312060999965E-3</v>
      </c>
      <c r="N148" s="1">
        <f t="shared" si="20"/>
        <v>0.35349938070821629</v>
      </c>
      <c r="O148" s="1">
        <f t="shared" si="30"/>
        <v>8.7818046408843203E-3</v>
      </c>
      <c r="P148" s="1">
        <f t="shared" si="21"/>
        <v>3.5349938070821629</v>
      </c>
      <c r="Q148" s="1">
        <f t="shared" si="31"/>
        <v>2.7770504631831477E-2</v>
      </c>
    </row>
    <row r="149" spans="1:17">
      <c r="A149" s="1">
        <v>8.4999999999999995E-18</v>
      </c>
      <c r="B149" s="1">
        <f t="shared" si="32"/>
        <v>5.1348005650125388E-7</v>
      </c>
      <c r="C149" s="1">
        <f t="shared" si="22"/>
        <v>1.2365204674978756</v>
      </c>
      <c r="D149" s="1">
        <f t="shared" si="23"/>
        <v>5.5643421037404404E-2</v>
      </c>
      <c r="E149" s="1">
        <f t="shared" si="24"/>
        <v>2.9324391704726965E-3</v>
      </c>
      <c r="F149" s="1">
        <f t="shared" si="17"/>
        <v>0.33386052622442641</v>
      </c>
      <c r="G149" s="1">
        <f t="shared" si="25"/>
        <v>9.6849155359295096E-3</v>
      </c>
      <c r="H149" s="1">
        <f t="shared" si="18"/>
        <v>3.3386052622442639</v>
      </c>
      <c r="I149" s="1">
        <f t="shared" si="26"/>
        <v>3.0626392039887554E-2</v>
      </c>
      <c r="J149" s="1">
        <f t="shared" si="27"/>
        <v>16.69302631122132</v>
      </c>
      <c r="K149" s="1">
        <f t="shared" si="28"/>
        <v>0.15304598828767302</v>
      </c>
      <c r="L149" s="1">
        <f t="shared" si="19"/>
        <v>5.5643421037404404E-2</v>
      </c>
      <c r="M149" s="1">
        <f t="shared" si="29"/>
        <v>2.6769729457327041E-3</v>
      </c>
      <c r="N149" s="1">
        <f t="shared" si="20"/>
        <v>0.33386052622442641</v>
      </c>
      <c r="O149" s="1">
        <f t="shared" si="30"/>
        <v>8.2939768673670096E-3</v>
      </c>
      <c r="P149" s="1">
        <f t="shared" si="21"/>
        <v>3.3386052622442639</v>
      </c>
      <c r="Q149" s="1">
        <f t="shared" si="31"/>
        <v>2.6227857761628011E-2</v>
      </c>
    </row>
    <row r="150" spans="1:17">
      <c r="A150" s="1">
        <v>8.0000000000000006E-18</v>
      </c>
      <c r="B150" s="1">
        <f t="shared" si="32"/>
        <v>4.8327534729529785E-7</v>
      </c>
      <c r="C150" s="1">
        <f t="shared" si="22"/>
        <v>1.1637839694097658</v>
      </c>
      <c r="D150" s="1">
        <f t="shared" si="23"/>
        <v>5.2370278623439466E-2</v>
      </c>
      <c r="E150" s="1">
        <f t="shared" si="24"/>
        <v>2.7599552936123767E-3</v>
      </c>
      <c r="F150" s="1">
        <f t="shared" si="17"/>
        <v>0.31422167174063681</v>
      </c>
      <c r="G150" s="1">
        <f t="shared" si="25"/>
        <v>9.115289943725775E-3</v>
      </c>
      <c r="H150" s="1">
        <f t="shared" si="18"/>
        <v>3.142216717406368</v>
      </c>
      <c r="I150" s="1">
        <f t="shared" si="26"/>
        <v>2.8825077755001503E-2</v>
      </c>
      <c r="J150" s="1">
        <f t="shared" si="27"/>
        <v>15.71108358703184</v>
      </c>
      <c r="K150" s="1">
        <f t="shared" si="28"/>
        <v>0.14404922806613044</v>
      </c>
      <c r="L150" s="1">
        <f t="shared" si="19"/>
        <v>5.2370278623439466E-2</v>
      </c>
      <c r="M150" s="1">
        <f t="shared" si="29"/>
        <v>2.5195134925360286E-3</v>
      </c>
      <c r="N150" s="1">
        <f t="shared" si="20"/>
        <v>0.31422167174063681</v>
      </c>
      <c r="O150" s="1">
        <f t="shared" si="30"/>
        <v>7.8061431815229969E-3</v>
      </c>
      <c r="P150" s="1">
        <f t="shared" si="21"/>
        <v>3.142216717406368</v>
      </c>
      <c r="Q150" s="1">
        <f t="shared" si="31"/>
        <v>2.4685192195005892E-2</v>
      </c>
    </row>
    <row r="151" spans="1:17">
      <c r="A151" s="1">
        <v>7.5000000000000002E-18</v>
      </c>
      <c r="B151" s="1">
        <f t="shared" si="32"/>
        <v>4.5307063808934165E-7</v>
      </c>
      <c r="C151" s="1">
        <f t="shared" si="22"/>
        <v>1.0910474713216549</v>
      </c>
      <c r="D151" s="1">
        <f t="shared" si="23"/>
        <v>4.9097136209474479E-2</v>
      </c>
      <c r="E151" s="1">
        <f t="shared" si="24"/>
        <v>2.587469848795904E-3</v>
      </c>
      <c r="F151" s="1">
        <f t="shared" si="17"/>
        <v>0.29458281725684687</v>
      </c>
      <c r="G151" s="1">
        <f t="shared" si="25"/>
        <v>8.5456549380632657E-3</v>
      </c>
      <c r="H151" s="1">
        <f t="shared" si="18"/>
        <v>2.9458281725684685</v>
      </c>
      <c r="I151" s="1">
        <f t="shared" si="26"/>
        <v>2.7023733702145059E-2</v>
      </c>
      <c r="J151" s="1">
        <f t="shared" si="27"/>
        <v>14.729140862842344</v>
      </c>
      <c r="K151" s="1">
        <f t="shared" si="28"/>
        <v>0.13505172541324292</v>
      </c>
      <c r="L151" s="1">
        <f t="shared" si="19"/>
        <v>4.9097136209474479E-2</v>
      </c>
      <c r="M151" s="1">
        <f t="shared" si="29"/>
        <v>2.3620528464896322E-3</v>
      </c>
      <c r="N151" s="1">
        <f t="shared" si="20"/>
        <v>0.29458281725684687</v>
      </c>
      <c r="O151" s="1">
        <f t="shared" si="30"/>
        <v>7.3183035831910319E-3</v>
      </c>
      <c r="P151" s="1">
        <f t="shared" si="21"/>
        <v>2.9458281725684685</v>
      </c>
      <c r="Q151" s="1">
        <f t="shared" si="31"/>
        <v>2.3142507931455201E-2</v>
      </c>
    </row>
    <row r="152" spans="1:17">
      <c r="A152" s="1">
        <v>6.9999999999999997E-18</v>
      </c>
      <c r="B152" s="1">
        <f t="shared" si="32"/>
        <v>4.2286592888338551E-7</v>
      </c>
      <c r="C152" s="1">
        <f t="shared" si="22"/>
        <v>1.0183109732335449</v>
      </c>
      <c r="D152" s="1">
        <f t="shared" si="23"/>
        <v>4.5823993795509527E-2</v>
      </c>
      <c r="E152" s="1">
        <f t="shared" si="24"/>
        <v>2.4149828359912116E-3</v>
      </c>
      <c r="F152" s="1">
        <f t="shared" si="17"/>
        <v>0.27494396277305716</v>
      </c>
      <c r="G152" s="1">
        <f t="shared" si="25"/>
        <v>7.9760105185919562E-3</v>
      </c>
      <c r="H152" s="1">
        <f t="shared" si="18"/>
        <v>2.7494396277305717</v>
      </c>
      <c r="I152" s="1">
        <f t="shared" si="26"/>
        <v>2.5222359880211355E-2</v>
      </c>
      <c r="J152" s="1">
        <f t="shared" si="27"/>
        <v>13.747198138652857</v>
      </c>
      <c r="K152" s="1">
        <f t="shared" si="28"/>
        <v>0.1260534801911164</v>
      </c>
      <c r="L152" s="1">
        <f t="shared" si="19"/>
        <v>4.5823993795509527E-2</v>
      </c>
      <c r="M152" s="1">
        <f t="shared" si="29"/>
        <v>2.204591007573187E-3</v>
      </c>
      <c r="N152" s="1">
        <f t="shared" si="20"/>
        <v>0.27494396277305716</v>
      </c>
      <c r="O152" s="1">
        <f t="shared" si="30"/>
        <v>6.8304580722098893E-3</v>
      </c>
      <c r="P152" s="1">
        <f t="shared" si="21"/>
        <v>2.7494396277305717</v>
      </c>
      <c r="Q152" s="1">
        <f t="shared" si="31"/>
        <v>2.1599804970466107E-2</v>
      </c>
    </row>
    <row r="153" spans="1:17">
      <c r="A153" s="1">
        <v>6.5000000000000001E-18</v>
      </c>
      <c r="B153" s="1">
        <f t="shared" si="32"/>
        <v>3.9266121967742942E-7</v>
      </c>
      <c r="C153" s="1">
        <f t="shared" si="22"/>
        <v>0.94557447514543413</v>
      </c>
      <c r="D153" s="1">
        <f t="shared" si="23"/>
        <v>4.255085138154454E-2</v>
      </c>
      <c r="E153" s="1">
        <f t="shared" si="24"/>
        <v>2.2424942551662243E-3</v>
      </c>
      <c r="F153" s="1">
        <f t="shared" si="17"/>
        <v>0.25530510828926722</v>
      </c>
      <c r="G153" s="1">
        <f t="shared" si="25"/>
        <v>7.4063566849617733E-3</v>
      </c>
      <c r="H153" s="1">
        <f t="shared" si="18"/>
        <v>2.5530510828926722</v>
      </c>
      <c r="I153" s="1">
        <f t="shared" si="26"/>
        <v>2.3420956288093351E-2</v>
      </c>
      <c r="J153" s="1">
        <f t="shared" si="27"/>
        <v>12.765255414463361</v>
      </c>
      <c r="K153" s="1">
        <f t="shared" si="28"/>
        <v>0.11705449226181837</v>
      </c>
      <c r="L153" s="1">
        <f t="shared" si="19"/>
        <v>4.255085138154454E-2</v>
      </c>
      <c r="M153" s="1">
        <f t="shared" si="29"/>
        <v>2.0471279757663559E-3</v>
      </c>
      <c r="N153" s="1">
        <f t="shared" si="20"/>
        <v>0.25530510828926722</v>
      </c>
      <c r="O153" s="1">
        <f t="shared" si="30"/>
        <v>6.3426066484183119E-3</v>
      </c>
      <c r="P153" s="1">
        <f t="shared" si="21"/>
        <v>2.5530510828926722</v>
      </c>
      <c r="Q153" s="1">
        <f t="shared" si="31"/>
        <v>2.0057083311528667E-2</v>
      </c>
    </row>
    <row r="154" spans="1:17">
      <c r="A154" s="1">
        <v>5.9999999999999997E-18</v>
      </c>
      <c r="B154" s="1">
        <f t="shared" si="32"/>
        <v>3.6245651047147333E-7</v>
      </c>
      <c r="C154" s="1">
        <f t="shared" si="22"/>
        <v>0.87283797705732391</v>
      </c>
      <c r="D154" s="1">
        <f t="shared" si="23"/>
        <v>3.927770896757958E-2</v>
      </c>
      <c r="E154" s="1">
        <f t="shared" si="24"/>
        <v>2.0700041062888708E-3</v>
      </c>
      <c r="F154" s="1">
        <f t="shared" si="17"/>
        <v>0.23566625380547748</v>
      </c>
      <c r="G154" s="1">
        <f t="shared" si="25"/>
        <v>6.8366934368226497E-3</v>
      </c>
      <c r="H154" s="1">
        <f t="shared" si="18"/>
        <v>2.356662538054775</v>
      </c>
      <c r="I154" s="1">
        <f t="shared" si="26"/>
        <v>2.1619522924684047E-2</v>
      </c>
      <c r="J154" s="1">
        <f t="shared" si="27"/>
        <v>11.783312690273874</v>
      </c>
      <c r="K154" s="1">
        <f t="shared" si="28"/>
        <v>0.10805476148737876</v>
      </c>
      <c r="L154" s="1">
        <f t="shared" si="19"/>
        <v>3.927770896757958E-2</v>
      </c>
      <c r="M154" s="1">
        <f t="shared" si="29"/>
        <v>1.889663751048808E-3</v>
      </c>
      <c r="N154" s="1">
        <f t="shared" si="20"/>
        <v>0.23566625380547748</v>
      </c>
      <c r="O154" s="1">
        <f t="shared" si="30"/>
        <v>5.8547493116550588E-3</v>
      </c>
      <c r="P154" s="1">
        <f t="shared" si="21"/>
        <v>2.356662538054775</v>
      </c>
      <c r="Q154" s="1">
        <f t="shared" si="31"/>
        <v>1.8514342954132988E-2</v>
      </c>
    </row>
    <row r="155" spans="1:17">
      <c r="A155" s="1">
        <v>5.5E-18</v>
      </c>
      <c r="B155" s="1">
        <f t="shared" si="32"/>
        <v>3.3225180126551724E-7</v>
      </c>
      <c r="C155" s="1">
        <f t="shared" si="22"/>
        <v>0.8001014789692138</v>
      </c>
      <c r="D155" s="1">
        <f t="shared" si="23"/>
        <v>3.6004566553614621E-2</v>
      </c>
      <c r="E155" s="1">
        <f t="shared" si="24"/>
        <v>1.8975123893270761E-3</v>
      </c>
      <c r="F155" s="1">
        <f t="shared" si="17"/>
        <v>0.21602739932168774</v>
      </c>
      <c r="G155" s="1">
        <f t="shared" si="25"/>
        <v>6.2670207738244801E-3</v>
      </c>
      <c r="H155" s="1">
        <f t="shared" si="18"/>
        <v>2.1602739932168773</v>
      </c>
      <c r="I155" s="1">
        <f t="shared" si="26"/>
        <v>1.9818059788876304E-2</v>
      </c>
      <c r="J155" s="1">
        <f t="shared" si="27"/>
        <v>10.801369966084387</v>
      </c>
      <c r="K155" s="1">
        <f t="shared" si="28"/>
        <v>9.9054287729789234E-2</v>
      </c>
      <c r="L155" s="1">
        <f t="shared" si="19"/>
        <v>3.6004566553614621E-2</v>
      </c>
      <c r="M155" s="1">
        <f t="shared" si="29"/>
        <v>1.7321983334002077E-3</v>
      </c>
      <c r="N155" s="1">
        <f t="shared" si="20"/>
        <v>0.21602739932168774</v>
      </c>
      <c r="O155" s="1">
        <f t="shared" si="30"/>
        <v>5.3668860617588632E-3</v>
      </c>
      <c r="P155" s="1">
        <f t="shared" si="21"/>
        <v>2.1602739932168773</v>
      </c>
      <c r="Q155" s="1">
        <f t="shared" si="31"/>
        <v>1.6971583897769104E-2</v>
      </c>
    </row>
    <row r="156" spans="1:17">
      <c r="A156" s="1">
        <v>5.0000000000000004E-18</v>
      </c>
      <c r="B156" s="1">
        <f t="shared" si="32"/>
        <v>3.0204709205956115E-7</v>
      </c>
      <c r="C156" s="1">
        <f t="shared" si="22"/>
        <v>0.72736498088110346</v>
      </c>
      <c r="D156" s="1">
        <f t="shared" si="23"/>
        <v>3.2731424139649655E-2</v>
      </c>
      <c r="E156" s="1">
        <f t="shared" si="24"/>
        <v>1.7250191042487647E-3</v>
      </c>
      <c r="F156" s="1">
        <f t="shared" si="17"/>
        <v>0.19638854483789794</v>
      </c>
      <c r="G156" s="1">
        <f t="shared" si="25"/>
        <v>5.6973386956171461E-3</v>
      </c>
      <c r="H156" s="1">
        <f t="shared" si="18"/>
        <v>1.9638854483789794</v>
      </c>
      <c r="I156" s="1">
        <f t="shared" si="26"/>
        <v>1.8016566879562955E-2</v>
      </c>
      <c r="J156" s="1">
        <f t="shared" si="27"/>
        <v>9.819427241894898</v>
      </c>
      <c r="K156" s="1">
        <f t="shared" si="28"/>
        <v>9.0053070851003558E-2</v>
      </c>
      <c r="L156" s="1">
        <f t="shared" si="19"/>
        <v>3.2731424139649655E-2</v>
      </c>
      <c r="M156" s="1">
        <f t="shared" si="29"/>
        <v>1.5747317228002199E-3</v>
      </c>
      <c r="N156" s="1">
        <f t="shared" si="20"/>
        <v>0.19638854483789794</v>
      </c>
      <c r="O156" s="1">
        <f t="shared" si="30"/>
        <v>4.87901689856846E-3</v>
      </c>
      <c r="P156" s="1">
        <f t="shared" si="21"/>
        <v>1.9638854483789794</v>
      </c>
      <c r="Q156" s="1">
        <f t="shared" si="31"/>
        <v>1.5428806141927053E-2</v>
      </c>
    </row>
    <row r="157" spans="1:17">
      <c r="A157" s="1">
        <v>4.4999999999999999E-18</v>
      </c>
      <c r="B157" s="1">
        <f t="shared" si="32"/>
        <v>2.7184238285360501E-7</v>
      </c>
      <c r="C157" s="1">
        <f t="shared" si="22"/>
        <v>0.65462848279299313</v>
      </c>
      <c r="D157" s="1">
        <f t="shared" si="23"/>
        <v>2.9458281725684692E-2</v>
      </c>
      <c r="E157" s="1">
        <f t="shared" si="24"/>
        <v>1.5525242510218606E-3</v>
      </c>
      <c r="F157" s="1">
        <f t="shared" si="17"/>
        <v>0.17674969035410815</v>
      </c>
      <c r="G157" s="1">
        <f t="shared" si="25"/>
        <v>5.1276472018505102E-3</v>
      </c>
      <c r="H157" s="1">
        <f t="shared" si="18"/>
        <v>1.7674969035410815</v>
      </c>
      <c r="I157" s="1">
        <f t="shared" si="26"/>
        <v>1.6215044195636769E-2</v>
      </c>
      <c r="J157" s="1">
        <f t="shared" si="27"/>
        <v>8.8374845177054073</v>
      </c>
      <c r="K157" s="1">
        <f t="shared" si="28"/>
        <v>8.1051110712937524E-2</v>
      </c>
      <c r="L157" s="1">
        <f t="shared" si="19"/>
        <v>2.9458281725684692E-2</v>
      </c>
      <c r="M157" s="1">
        <f t="shared" si="29"/>
        <v>1.4172639192285097E-3</v>
      </c>
      <c r="N157" s="1">
        <f t="shared" si="20"/>
        <v>0.17674969035410815</v>
      </c>
      <c r="O157" s="1">
        <f t="shared" si="30"/>
        <v>4.3911418219225789E-3</v>
      </c>
      <c r="P157" s="1">
        <f t="shared" si="21"/>
        <v>1.7674969035410815</v>
      </c>
      <c r="Q157" s="1">
        <f t="shared" si="31"/>
        <v>1.3886009686096847E-2</v>
      </c>
    </row>
    <row r="158" spans="1:17">
      <c r="A158" s="1">
        <v>4.0000000000000003E-18</v>
      </c>
      <c r="B158" s="1">
        <f t="shared" si="32"/>
        <v>2.4163767364764892E-7</v>
      </c>
      <c r="C158" s="1">
        <f t="shared" si="22"/>
        <v>0.5818919847048829</v>
      </c>
      <c r="D158" s="1">
        <f t="shared" si="23"/>
        <v>2.6185139311719733E-2</v>
      </c>
      <c r="E158" s="1">
        <f t="shared" si="24"/>
        <v>1.3800278296142868E-3</v>
      </c>
      <c r="F158" s="1">
        <f t="shared" ref="F158:F200" si="33">C158*$C$11*1</f>
        <v>0.1571108358703184</v>
      </c>
      <c r="G158" s="1">
        <f t="shared" si="25"/>
        <v>4.5579462921744186E-3</v>
      </c>
      <c r="H158" s="1">
        <f t="shared" ref="H158:H200" si="34">C158*$C$11*10</f>
        <v>1.571108358703184</v>
      </c>
      <c r="I158" s="1">
        <f t="shared" si="26"/>
        <v>1.4413491735990458E-2</v>
      </c>
      <c r="J158" s="1">
        <f t="shared" si="27"/>
        <v>7.8555417935159202</v>
      </c>
      <c r="K158" s="1">
        <f t="shared" si="28"/>
        <v>7.2048407177468896E-2</v>
      </c>
      <c r="L158" s="1">
        <f t="shared" ref="L158:L200" si="35">C158*$C$11/6</f>
        <v>2.6185139311719733E-2</v>
      </c>
      <c r="M158" s="1">
        <f t="shared" si="29"/>
        <v>1.2597949226647409E-3</v>
      </c>
      <c r="N158" s="1">
        <f t="shared" ref="N158:N200" si="36">C158*$C$11*1</f>
        <v>0.1571108358703184</v>
      </c>
      <c r="O158" s="1">
        <f t="shared" si="30"/>
        <v>3.9032608316599418E-3</v>
      </c>
      <c r="P158" s="1">
        <f t="shared" ref="P158:P200" si="37">C158*$C$11*10</f>
        <v>1.571108358703184</v>
      </c>
      <c r="Q158" s="1">
        <f t="shared" si="31"/>
        <v>1.2343194529768483E-2</v>
      </c>
    </row>
    <row r="159" spans="1:17">
      <c r="A159" s="1">
        <v>3.4999999999999999E-18</v>
      </c>
      <c r="B159" s="1">
        <f t="shared" si="32"/>
        <v>2.1143296444169275E-7</v>
      </c>
      <c r="C159" s="1">
        <f t="shared" ref="C159:C200" si="38">B159*PI()*($C$6/2)^2*$C$7^3*$C$8*$C$9*$C$10*3600</f>
        <v>0.50915548661677246</v>
      </c>
      <c r="D159" s="1">
        <f t="shared" ref="D159:D200" si="39">C159*$C$11/6</f>
        <v>2.2911996897754763E-2</v>
      </c>
      <c r="E159" s="1">
        <f t="shared" ref="E159:E200" si="40">D159/SQRT(D159+($C$24+$C$20)*2)</f>
        <v>1.2075298399939649E-3</v>
      </c>
      <c r="F159" s="1">
        <f t="shared" si="33"/>
        <v>0.13747198138652858</v>
      </c>
      <c r="G159" s="1">
        <f t="shared" ref="G159:G200" si="41">F159/SQRT(F159+($C$25+$C$21)*2)</f>
        <v>3.9882359662386895E-3</v>
      </c>
      <c r="H159" s="1">
        <f t="shared" si="34"/>
        <v>1.3747198138652859</v>
      </c>
      <c r="I159" s="1">
        <f t="shared" ref="I159:I200" si="42">H159/SQRT(H159+($C$26+$C$22)*2)</f>
        <v>1.2611909499516662E-2</v>
      </c>
      <c r="J159" s="1">
        <f t="shared" ref="J159:J200" si="43">C159*$C$11*50</f>
        <v>6.8735990693264286</v>
      </c>
      <c r="K159" s="1">
        <f t="shared" ref="K159:K200" si="44">J159/SQRT(J159+($C$26+$C$22)*2)</f>
        <v>6.3044960106437356E-2</v>
      </c>
      <c r="L159" s="1">
        <f t="shared" si="35"/>
        <v>2.2911996897754763E-2</v>
      </c>
      <c r="M159" s="1">
        <f t="shared" ref="M159:M200" si="45">L159/SQRT(L159+($D$24+$C$20)*2)</f>
        <v>1.1023247330885766E-3</v>
      </c>
      <c r="N159" s="1">
        <f t="shared" si="36"/>
        <v>0.13747198138652858</v>
      </c>
      <c r="O159" s="1">
        <f t="shared" ref="O159:O200" si="46">N159/SQRT(N159+($D$25+$C$21)*2)</f>
        <v>3.4153739276192611E-3</v>
      </c>
      <c r="P159" s="1">
        <f t="shared" si="37"/>
        <v>1.3747198138652859</v>
      </c>
      <c r="Q159" s="1">
        <f t="shared" ref="Q159:Q200" si="47">P159/SQRT(P159+($D$26+$C$22)*2)</f>
        <v>1.0800360672431925E-2</v>
      </c>
    </row>
    <row r="160" spans="1:17">
      <c r="A160" s="1">
        <v>2.9999999999999998E-18</v>
      </c>
      <c r="B160" s="1">
        <f t="shared" si="32"/>
        <v>1.8122825523573667E-7</v>
      </c>
      <c r="C160" s="1">
        <f t="shared" si="38"/>
        <v>0.43641898852866196</v>
      </c>
      <c r="D160" s="1">
        <f t="shared" si="39"/>
        <v>1.963885448378979E-2</v>
      </c>
      <c r="E160" s="1">
        <f t="shared" si="40"/>
        <v>1.0350302821288155E-3</v>
      </c>
      <c r="F160" s="1">
        <f t="shared" si="33"/>
        <v>0.11783312690273874</v>
      </c>
      <c r="G160" s="1">
        <f t="shared" si="41"/>
        <v>3.4185162236931312E-3</v>
      </c>
      <c r="H160" s="1">
        <f t="shared" si="34"/>
        <v>1.1783312690273875</v>
      </c>
      <c r="I160" s="1">
        <f t="shared" si="42"/>
        <v>1.0810297485107961E-2</v>
      </c>
      <c r="J160" s="1">
        <f t="shared" si="43"/>
        <v>5.891656345136937</v>
      </c>
      <c r="K160" s="1">
        <f t="shared" si="44"/>
        <v>5.4040769361644606E-2</v>
      </c>
      <c r="L160" s="1">
        <f t="shared" si="35"/>
        <v>1.963885448378979E-2</v>
      </c>
      <c r="M160" s="1">
        <f t="shared" si="45"/>
        <v>9.4485335047968016E-4</v>
      </c>
      <c r="N160" s="1">
        <f t="shared" si="36"/>
        <v>0.11783312690273874</v>
      </c>
      <c r="O160" s="1">
        <f t="shared" si="46"/>
        <v>2.9274811096392456E-3</v>
      </c>
      <c r="P160" s="1">
        <f t="shared" si="37"/>
        <v>1.1783312690273875</v>
      </c>
      <c r="Q160" s="1">
        <f t="shared" si="47"/>
        <v>9.2575081135771245E-3</v>
      </c>
    </row>
    <row r="161" spans="1:17">
      <c r="A161" s="1">
        <v>2.5000000000000002E-18</v>
      </c>
      <c r="B161" s="1">
        <f t="shared" si="32"/>
        <v>1.5102354602978058E-7</v>
      </c>
      <c r="C161" s="1">
        <f t="shared" si="38"/>
        <v>0.36368249044055173</v>
      </c>
      <c r="D161" s="1">
        <f t="shared" si="39"/>
        <v>1.6365712069824827E-2</v>
      </c>
      <c r="E161" s="1">
        <f t="shared" si="40"/>
        <v>8.6252915598675932E-4</v>
      </c>
      <c r="F161" s="1">
        <f t="shared" si="33"/>
        <v>9.8194272418948972E-2</v>
      </c>
      <c r="G161" s="1">
        <f t="shared" si="41"/>
        <v>2.8487870641875314E-3</v>
      </c>
      <c r="H161" s="1">
        <f t="shared" si="34"/>
        <v>0.98194272418948969</v>
      </c>
      <c r="I161" s="1">
        <f t="shared" si="42"/>
        <v>9.0086556916568923E-3</v>
      </c>
      <c r="J161" s="1">
        <f t="shared" si="43"/>
        <v>4.909713620947449</v>
      </c>
      <c r="K161" s="1">
        <f t="shared" si="44"/>
        <v>4.5035834804854312E-2</v>
      </c>
      <c r="L161" s="1">
        <f t="shared" si="35"/>
        <v>1.6365712069824827E-2</v>
      </c>
      <c r="M161" s="1">
        <f t="shared" si="45"/>
        <v>7.8738077481771494E-4</v>
      </c>
      <c r="N161" s="1">
        <f t="shared" si="36"/>
        <v>9.8194272418948972E-2</v>
      </c>
      <c r="O161" s="1">
        <f t="shared" si="46"/>
        <v>2.4395823775586003E-3</v>
      </c>
      <c r="P161" s="1">
        <f t="shared" si="37"/>
        <v>0.98194272418948969</v>
      </c>
      <c r="Q161" s="1">
        <f t="shared" si="47"/>
        <v>7.7146368526940226E-3</v>
      </c>
    </row>
    <row r="162" spans="1:17">
      <c r="A162" s="1">
        <v>2.0000000000000001E-18</v>
      </c>
      <c r="B162" s="1">
        <f t="shared" si="32"/>
        <v>1.2081883682382446E-7</v>
      </c>
      <c r="C162" s="1">
        <f t="shared" si="38"/>
        <v>0.29094599235244145</v>
      </c>
      <c r="D162" s="1">
        <f t="shared" si="39"/>
        <v>1.3092569655859866E-2</v>
      </c>
      <c r="E162" s="1">
        <f t="shared" si="40"/>
        <v>6.9002646153571508E-4</v>
      </c>
      <c r="F162" s="1">
        <f t="shared" si="33"/>
        <v>7.8555417935159202E-2</v>
      </c>
      <c r="G162" s="1">
        <f t="shared" si="41"/>
        <v>2.2790484873716527E-3</v>
      </c>
      <c r="H162" s="1">
        <f t="shared" si="34"/>
        <v>0.785554179351592</v>
      </c>
      <c r="I162" s="1">
        <f t="shared" si="42"/>
        <v>7.2069841180559127E-3</v>
      </c>
      <c r="J162" s="1">
        <f t="shared" si="43"/>
        <v>3.9277708967579601</v>
      </c>
      <c r="K162" s="1">
        <f t="shared" si="44"/>
        <v>3.6030156297791979E-2</v>
      </c>
      <c r="L162" s="1">
        <f t="shared" si="35"/>
        <v>1.3092569655859866E-2</v>
      </c>
      <c r="M162" s="1">
        <f t="shared" si="45"/>
        <v>6.2990700608234239E-4</v>
      </c>
      <c r="N162" s="1">
        <f t="shared" si="36"/>
        <v>7.8555417935159202E-2</v>
      </c>
      <c r="O162" s="1">
        <f t="shared" si="46"/>
        <v>1.9516777312160183E-3</v>
      </c>
      <c r="P162" s="1">
        <f t="shared" si="37"/>
        <v>0.785554179351592</v>
      </c>
      <c r="Q162" s="1">
        <f t="shared" si="47"/>
        <v>6.1717468892725207E-3</v>
      </c>
    </row>
    <row r="163" spans="1:17">
      <c r="A163" s="1">
        <v>1.4999999999999999E-18</v>
      </c>
      <c r="B163" s="1">
        <f t="shared" si="32"/>
        <v>9.0614127617868333E-8</v>
      </c>
      <c r="C163" s="1">
        <f t="shared" si="38"/>
        <v>0.21820949426433098</v>
      </c>
      <c r="D163" s="1">
        <f t="shared" si="39"/>
        <v>9.8194272418948951E-3</v>
      </c>
      <c r="E163" s="1">
        <f t="shared" si="40"/>
        <v>5.1752219874360021E-4</v>
      </c>
      <c r="F163" s="1">
        <f t="shared" si="33"/>
        <v>5.8916563451369371E-2</v>
      </c>
      <c r="G163" s="1">
        <f t="shared" si="41"/>
        <v>1.7093004928952409E-3</v>
      </c>
      <c r="H163" s="1">
        <f t="shared" si="34"/>
        <v>0.58916563451369375</v>
      </c>
      <c r="I163" s="1">
        <f t="shared" si="42"/>
        <v>5.4052827631974202E-3</v>
      </c>
      <c r="J163" s="1">
        <f t="shared" si="43"/>
        <v>2.9458281725684685</v>
      </c>
      <c r="K163" s="1">
        <f t="shared" si="44"/>
        <v>2.7023733702145059E-2</v>
      </c>
      <c r="L163" s="1">
        <f t="shared" si="35"/>
        <v>9.8194272418948951E-3</v>
      </c>
      <c r="M163" s="1">
        <f t="shared" si="45"/>
        <v>4.7243204425322343E-4</v>
      </c>
      <c r="N163" s="1">
        <f t="shared" si="36"/>
        <v>5.8916563451369371E-2</v>
      </c>
      <c r="O163" s="1">
        <f t="shared" si="46"/>
        <v>1.4637671704501869E-3</v>
      </c>
      <c r="P163" s="1">
        <f t="shared" si="37"/>
        <v>0.58916563451369375</v>
      </c>
      <c r="Q163" s="1">
        <f t="shared" si="47"/>
        <v>4.628838222802507E-3</v>
      </c>
    </row>
    <row r="164" spans="1:17">
      <c r="A164" s="1">
        <v>9.9999999999999892E-19</v>
      </c>
      <c r="B164" s="1">
        <f t="shared" si="32"/>
        <v>6.0409418411912151E-8</v>
      </c>
      <c r="C164" s="1">
        <f t="shared" si="38"/>
        <v>0.1454729961762205</v>
      </c>
      <c r="D164" s="1">
        <f t="shared" si="39"/>
        <v>6.5462848279299228E-3</v>
      </c>
      <c r="E164" s="1">
        <f t="shared" si="40"/>
        <v>3.4501636757833189E-4</v>
      </c>
      <c r="F164" s="1">
        <f t="shared" si="33"/>
        <v>3.9277708967579539E-2</v>
      </c>
      <c r="G164" s="1">
        <f t="shared" si="41"/>
        <v>1.1395430804080257E-3</v>
      </c>
      <c r="H164" s="1">
        <f t="shared" si="34"/>
        <v>0.39277708967579539</v>
      </c>
      <c r="I164" s="1">
        <f t="shared" si="42"/>
        <v>3.6035516259737585E-3</v>
      </c>
      <c r="J164" s="1">
        <f t="shared" si="43"/>
        <v>1.9638854483789769</v>
      </c>
      <c r="K164" s="1">
        <f t="shared" si="44"/>
        <v>1.8016566879562931E-2</v>
      </c>
      <c r="L164" s="1">
        <f t="shared" si="35"/>
        <v>6.5462848279299228E-3</v>
      </c>
      <c r="M164" s="1">
        <f t="shared" si="45"/>
        <v>3.1495588931001962E-4</v>
      </c>
      <c r="N164" s="1">
        <f t="shared" si="36"/>
        <v>3.9277708967579539E-2</v>
      </c>
      <c r="O164" s="1">
        <f t="shared" si="46"/>
        <v>9.7585069509979012E-4</v>
      </c>
      <c r="P164" s="1">
        <f t="shared" si="37"/>
        <v>0.39277708967579539</v>
      </c>
      <c r="Q164" s="1">
        <f t="shared" si="47"/>
        <v>3.0859108527738514E-3</v>
      </c>
    </row>
    <row r="165" spans="1:17">
      <c r="A165" s="1">
        <v>9.4999999999999995E-19</v>
      </c>
      <c r="B165" s="1">
        <f t="shared" si="32"/>
        <v>5.7388947491316609E-8</v>
      </c>
      <c r="C165" s="1">
        <f t="shared" si="38"/>
        <v>0.13819934636740963</v>
      </c>
      <c r="D165" s="1">
        <f t="shared" si="39"/>
        <v>6.2189705865334337E-3</v>
      </c>
      <c r="E165" s="1">
        <f t="shared" si="40"/>
        <v>3.2776569820004687E-4</v>
      </c>
      <c r="F165" s="1">
        <f t="shared" si="33"/>
        <v>3.7313823519200602E-2</v>
      </c>
      <c r="G165" s="1">
        <f t="shared" si="41"/>
        <v>1.0825668211552251E-3</v>
      </c>
      <c r="H165" s="1">
        <f t="shared" si="34"/>
        <v>0.37313823519200601</v>
      </c>
      <c r="I165" s="1">
        <f t="shared" si="42"/>
        <v>3.4233768741786653E-3</v>
      </c>
      <c r="J165" s="1">
        <f t="shared" si="43"/>
        <v>1.8656911759600301</v>
      </c>
      <c r="K165" s="1">
        <f t="shared" si="44"/>
        <v>1.7115809259495667E-2</v>
      </c>
      <c r="L165" s="1">
        <f t="shared" si="35"/>
        <v>6.2189705865334337E-3</v>
      </c>
      <c r="M165" s="1">
        <f t="shared" si="45"/>
        <v>2.9920820819364193E-4</v>
      </c>
      <c r="N165" s="1">
        <f t="shared" si="36"/>
        <v>3.7313823519200602E-2</v>
      </c>
      <c r="O165" s="1">
        <f t="shared" si="46"/>
        <v>9.2705872225638971E-4</v>
      </c>
      <c r="P165" s="1">
        <f t="shared" si="37"/>
        <v>0.37313823519200601</v>
      </c>
      <c r="Q165" s="1">
        <f t="shared" si="47"/>
        <v>2.9316170870556232E-3</v>
      </c>
    </row>
    <row r="166" spans="1:17">
      <c r="A166" s="1">
        <v>9.0000000000000003E-19</v>
      </c>
      <c r="B166" s="1">
        <f t="shared" si="32"/>
        <v>5.4368476570721E-8</v>
      </c>
      <c r="C166" s="1">
        <f t="shared" si="38"/>
        <v>0.13092569655859862</v>
      </c>
      <c r="D166" s="1">
        <f t="shared" si="39"/>
        <v>5.8916563451369384E-3</v>
      </c>
      <c r="E166" s="1">
        <f t="shared" si="40"/>
        <v>3.1051501313767701E-4</v>
      </c>
      <c r="F166" s="1">
        <f t="shared" si="33"/>
        <v>3.5349938070821631E-2</v>
      </c>
      <c r="G166" s="1">
        <f t="shared" si="41"/>
        <v>1.0255904677184623E-3</v>
      </c>
      <c r="H166" s="1">
        <f t="shared" si="34"/>
        <v>0.35349938070821629</v>
      </c>
      <c r="I166" s="1">
        <f t="shared" si="42"/>
        <v>3.2432018245477329E-3</v>
      </c>
      <c r="J166" s="1">
        <f t="shared" si="43"/>
        <v>1.7674969035410815</v>
      </c>
      <c r="K166" s="1">
        <f t="shared" si="44"/>
        <v>1.6215044195636769E-2</v>
      </c>
      <c r="L166" s="1">
        <f t="shared" si="35"/>
        <v>5.8916563451369384E-3</v>
      </c>
      <c r="M166" s="1">
        <f t="shared" si="45"/>
        <v>2.8346051514589933E-4</v>
      </c>
      <c r="N166" s="1">
        <f t="shared" si="36"/>
        <v>3.5349938070821631E-2</v>
      </c>
      <c r="O166" s="1">
        <f t="shared" si="46"/>
        <v>8.7826669026536814E-4</v>
      </c>
      <c r="P166" s="1">
        <f t="shared" si="37"/>
        <v>0.35349938070821629</v>
      </c>
      <c r="Q166" s="1">
        <f t="shared" si="47"/>
        <v>2.7773231342961948E-3</v>
      </c>
    </row>
    <row r="167" spans="1:17">
      <c r="A167" s="1">
        <v>8.5E-19</v>
      </c>
      <c r="B167" s="1">
        <f t="shared" si="32"/>
        <v>5.1348005650125391E-8</v>
      </c>
      <c r="C167" s="1">
        <f t="shared" si="38"/>
        <v>0.12365204674978759</v>
      </c>
      <c r="D167" s="1">
        <f t="shared" si="39"/>
        <v>5.5643421037404424E-3</v>
      </c>
      <c r="E167" s="1">
        <f t="shared" si="40"/>
        <v>2.9326431239119061E-4</v>
      </c>
      <c r="F167" s="1">
        <f t="shared" si="33"/>
        <v>3.3386052622442652E-2</v>
      </c>
      <c r="G167" s="1">
        <f t="shared" si="41"/>
        <v>9.6861402009738797E-4</v>
      </c>
      <c r="H167" s="1">
        <f t="shared" si="34"/>
        <v>0.33386052622442652</v>
      </c>
      <c r="I167" s="1">
        <f t="shared" si="42"/>
        <v>3.0630264770798552E-3</v>
      </c>
      <c r="J167" s="1">
        <f t="shared" si="43"/>
        <v>1.6693026311221326</v>
      </c>
      <c r="K167" s="1">
        <f t="shared" si="44"/>
        <v>1.5314271687847837E-2</v>
      </c>
      <c r="L167" s="1">
        <f t="shared" si="35"/>
        <v>5.5643421037404424E-3</v>
      </c>
      <c r="M167" s="1">
        <f t="shared" si="45"/>
        <v>2.6771281016677175E-4</v>
      </c>
      <c r="N167" s="1">
        <f t="shared" si="36"/>
        <v>3.3386052622442652E-2</v>
      </c>
      <c r="O167" s="1">
        <f t="shared" si="46"/>
        <v>8.2947459912656462E-4</v>
      </c>
      <c r="P167" s="1">
        <f t="shared" si="37"/>
        <v>0.33386052622442652</v>
      </c>
      <c r="Q167" s="1">
        <f t="shared" si="47"/>
        <v>2.6230289944950574E-3</v>
      </c>
    </row>
    <row r="168" spans="1:17">
      <c r="A168" s="1">
        <v>7.9999999999999998E-19</v>
      </c>
      <c r="B168" s="1">
        <f t="shared" si="32"/>
        <v>4.8327534729529775E-8</v>
      </c>
      <c r="C168" s="1">
        <f t="shared" si="38"/>
        <v>0.11637839694097654</v>
      </c>
      <c r="D168" s="1">
        <f t="shared" si="39"/>
        <v>5.2370278623439445E-3</v>
      </c>
      <c r="E168" s="1">
        <f t="shared" si="40"/>
        <v>2.7601359596055551E-4</v>
      </c>
      <c r="F168" s="1">
        <f t="shared" si="33"/>
        <v>3.1422167174063667E-2</v>
      </c>
      <c r="G168" s="1">
        <f t="shared" si="41"/>
        <v>9.1163747829165137E-4</v>
      </c>
      <c r="H168" s="1">
        <f t="shared" si="34"/>
        <v>0.31422167174063664</v>
      </c>
      <c r="I168" s="1">
        <f t="shared" si="42"/>
        <v>2.8828508317739246E-3</v>
      </c>
      <c r="J168" s="1">
        <f t="shared" si="43"/>
        <v>1.5711083587031833</v>
      </c>
      <c r="K168" s="1">
        <f t="shared" si="44"/>
        <v>1.4413491735990453E-2</v>
      </c>
      <c r="L168" s="1">
        <f t="shared" si="35"/>
        <v>5.2370278623439445E-3</v>
      </c>
      <c r="M168" s="1">
        <f t="shared" si="45"/>
        <v>2.5196509325623888E-4</v>
      </c>
      <c r="N168" s="1">
        <f t="shared" si="36"/>
        <v>3.1422167174063667E-2</v>
      </c>
      <c r="O168" s="1">
        <f t="shared" si="46"/>
        <v>7.8068244883981828E-4</v>
      </c>
      <c r="P168" s="1">
        <f t="shared" si="37"/>
        <v>0.31422167174063664</v>
      </c>
      <c r="Q168" s="1">
        <f t="shared" si="47"/>
        <v>2.4687346676517011E-3</v>
      </c>
    </row>
    <row r="169" spans="1:17">
      <c r="A169" s="1">
        <v>7.4999999999999996E-19</v>
      </c>
      <c r="B169" s="1">
        <f t="shared" si="32"/>
        <v>4.5307063808934167E-8</v>
      </c>
      <c r="C169" s="1">
        <f t="shared" si="38"/>
        <v>0.10910474713216549</v>
      </c>
      <c r="D169" s="1">
        <f t="shared" si="39"/>
        <v>4.9097136209474476E-3</v>
      </c>
      <c r="E169" s="1">
        <f t="shared" si="40"/>
        <v>2.5876286384573968E-4</v>
      </c>
      <c r="F169" s="1">
        <f t="shared" si="33"/>
        <v>2.9458281725684685E-2</v>
      </c>
      <c r="G169" s="1">
        <f t="shared" si="41"/>
        <v>8.5466084230090267E-4</v>
      </c>
      <c r="H169" s="1">
        <f t="shared" si="34"/>
        <v>0.29458281725684687</v>
      </c>
      <c r="I169" s="1">
        <f t="shared" si="42"/>
        <v>2.7026748886288354E-3</v>
      </c>
      <c r="J169" s="1">
        <f t="shared" si="43"/>
        <v>1.4729140862842343</v>
      </c>
      <c r="K169" s="1">
        <f t="shared" si="44"/>
        <v>1.35127043399262E-2</v>
      </c>
      <c r="L169" s="1">
        <f t="shared" si="35"/>
        <v>4.9097136209474476E-3</v>
      </c>
      <c r="M169" s="1">
        <f t="shared" si="45"/>
        <v>2.3621736441428037E-4</v>
      </c>
      <c r="N169" s="1">
        <f t="shared" si="36"/>
        <v>2.9458281725684685E-2</v>
      </c>
      <c r="O169" s="1">
        <f t="shared" si="46"/>
        <v>7.3189023940496776E-4</v>
      </c>
      <c r="P169" s="1">
        <f t="shared" si="37"/>
        <v>0.29458281725684687</v>
      </c>
      <c r="Q169" s="1">
        <f t="shared" si="47"/>
        <v>2.3144401537656166E-3</v>
      </c>
    </row>
    <row r="170" spans="1:17">
      <c r="A170" s="1">
        <v>7.0000000000000003E-19</v>
      </c>
      <c r="B170" s="1">
        <f t="shared" si="32"/>
        <v>4.2286592888338551E-8</v>
      </c>
      <c r="C170" s="1">
        <f t="shared" si="38"/>
        <v>0.10183109732335446</v>
      </c>
      <c r="D170" s="1">
        <f t="shared" si="39"/>
        <v>4.5823993795509515E-3</v>
      </c>
      <c r="E170" s="1">
        <f t="shared" si="40"/>
        <v>2.4151211604671115E-4</v>
      </c>
      <c r="F170" s="1">
        <f t="shared" si="33"/>
        <v>2.7494396277305707E-2</v>
      </c>
      <c r="G170" s="1">
        <f t="shared" si="41"/>
        <v>7.9768411212479177E-4</v>
      </c>
      <c r="H170" s="1">
        <f t="shared" si="34"/>
        <v>0.27494396277305705</v>
      </c>
      <c r="I170" s="1">
        <f t="shared" si="42"/>
        <v>2.5224986476434772E-3</v>
      </c>
      <c r="J170" s="1">
        <f t="shared" si="43"/>
        <v>1.3747198138652854</v>
      </c>
      <c r="K170" s="1">
        <f t="shared" si="44"/>
        <v>1.2611909499516656E-2</v>
      </c>
      <c r="L170" s="1">
        <f t="shared" si="35"/>
        <v>4.5823993795509515E-3</v>
      </c>
      <c r="M170" s="1">
        <f t="shared" si="45"/>
        <v>2.2046962364087599E-4</v>
      </c>
      <c r="N170" s="1">
        <f t="shared" si="36"/>
        <v>2.7494396277305707E-2</v>
      </c>
      <c r="O170" s="1">
        <f t="shared" si="46"/>
        <v>6.8309797082185175E-4</v>
      </c>
      <c r="P170" s="1">
        <f t="shared" si="37"/>
        <v>0.27494396277305705</v>
      </c>
      <c r="Q170" s="1">
        <f t="shared" si="47"/>
        <v>2.1601454528362932E-3</v>
      </c>
    </row>
    <row r="171" spans="1:17">
      <c r="A171" s="1">
        <v>6.5000000000000001E-19</v>
      </c>
      <c r="B171" s="1">
        <f t="shared" si="32"/>
        <v>3.9266121967742942E-8</v>
      </c>
      <c r="C171" s="1">
        <f t="shared" si="38"/>
        <v>9.4557447514543438E-2</v>
      </c>
      <c r="D171" s="1">
        <f t="shared" si="39"/>
        <v>4.2550851381544545E-3</v>
      </c>
      <c r="E171" s="1">
        <f t="shared" si="40"/>
        <v>2.2426135256343769E-4</v>
      </c>
      <c r="F171" s="1">
        <f t="shared" si="33"/>
        <v>2.5530510828926729E-2</v>
      </c>
      <c r="G171" s="1">
        <f t="shared" si="41"/>
        <v>7.4070728776296814E-4</v>
      </c>
      <c r="H171" s="1">
        <f t="shared" si="34"/>
        <v>0.25530510828926728</v>
      </c>
      <c r="I171" s="1">
        <f t="shared" si="42"/>
        <v>2.3423221088167451E-3</v>
      </c>
      <c r="J171" s="1">
        <f t="shared" si="43"/>
        <v>1.2765255414463363</v>
      </c>
      <c r="K171" s="1">
        <f t="shared" si="44"/>
        <v>1.1711107214623385E-2</v>
      </c>
      <c r="L171" s="1">
        <f t="shared" si="35"/>
        <v>4.2550851381544545E-3</v>
      </c>
      <c r="M171" s="1">
        <f t="shared" si="45"/>
        <v>2.047218709360053E-4</v>
      </c>
      <c r="N171" s="1">
        <f t="shared" si="36"/>
        <v>2.5530510828926729E-2</v>
      </c>
      <c r="O171" s="1">
        <f t="shared" si="46"/>
        <v>6.3430564309030892E-4</v>
      </c>
      <c r="P171" s="1">
        <f t="shared" si="37"/>
        <v>0.25530510828926728</v>
      </c>
      <c r="Q171" s="1">
        <f t="shared" si="47"/>
        <v>2.0058505648632213E-3</v>
      </c>
    </row>
    <row r="172" spans="1:17">
      <c r="A172" s="1">
        <v>6.0000000000000104E-19</v>
      </c>
      <c r="B172" s="1">
        <f t="shared" ref="B172:B200" si="48">A172*$C$4/($C$2*$C$3/(1.2*10^-7))</f>
        <v>3.6245651047147399E-8</v>
      </c>
      <c r="C172" s="1">
        <f t="shared" si="38"/>
        <v>8.7283797705732566E-2</v>
      </c>
      <c r="D172" s="1">
        <f t="shared" si="39"/>
        <v>3.9277708967579662E-3</v>
      </c>
      <c r="E172" s="1">
        <f t="shared" si="40"/>
        <v>2.0701057339588769E-4</v>
      </c>
      <c r="F172" s="1">
        <f t="shared" si="33"/>
        <v>2.3566625380547795E-2</v>
      </c>
      <c r="G172" s="1">
        <f t="shared" si="41"/>
        <v>6.8373036921508246E-4</v>
      </c>
      <c r="H172" s="1">
        <f t="shared" si="34"/>
        <v>0.23566625380547795</v>
      </c>
      <c r="I172" s="1">
        <f t="shared" si="42"/>
        <v>2.1621452721475331E-3</v>
      </c>
      <c r="J172" s="1">
        <f t="shared" si="43"/>
        <v>1.1783312690273897</v>
      </c>
      <c r="K172" s="1">
        <f t="shared" si="44"/>
        <v>1.0810297485107982E-2</v>
      </c>
      <c r="L172" s="1">
        <f t="shared" si="35"/>
        <v>3.9277708967579662E-3</v>
      </c>
      <c r="M172" s="1">
        <f t="shared" si="45"/>
        <v>1.889741062996484E-4</v>
      </c>
      <c r="N172" s="1">
        <f t="shared" si="36"/>
        <v>2.3566625380547795E-2</v>
      </c>
      <c r="O172" s="1">
        <f t="shared" si="46"/>
        <v>5.8551325621017912E-4</v>
      </c>
      <c r="P172" s="1">
        <f t="shared" si="37"/>
        <v>0.23566625380547795</v>
      </c>
      <c r="Q172" s="1">
        <f t="shared" si="47"/>
        <v>1.8515554898458938E-3</v>
      </c>
    </row>
    <row r="173" spans="1:17">
      <c r="A173" s="1">
        <v>5.5000000000000102E-19</v>
      </c>
      <c r="B173" s="1">
        <f t="shared" si="48"/>
        <v>3.3225180126551784E-8</v>
      </c>
      <c r="C173" s="1">
        <f t="shared" si="38"/>
        <v>8.0010147896921513E-2</v>
      </c>
      <c r="D173" s="1">
        <f t="shared" si="39"/>
        <v>3.6004566553614684E-3</v>
      </c>
      <c r="E173" s="1">
        <f t="shared" si="40"/>
        <v>1.8975977854402817E-4</v>
      </c>
      <c r="F173" s="1">
        <f t="shared" si="33"/>
        <v>2.160273993216881E-2</v>
      </c>
      <c r="G173" s="1">
        <f t="shared" si="41"/>
        <v>6.2675335648078214E-4</v>
      </c>
      <c r="H173" s="1">
        <f t="shared" si="34"/>
        <v>0.2160273993216881</v>
      </c>
      <c r="I173" s="1">
        <f t="shared" si="42"/>
        <v>1.9819681376347254E-3</v>
      </c>
      <c r="J173" s="1">
        <f t="shared" si="43"/>
        <v>1.0801369966084404</v>
      </c>
      <c r="K173" s="1">
        <f t="shared" si="44"/>
        <v>9.9094803108319609E-3</v>
      </c>
      <c r="L173" s="1">
        <f t="shared" si="35"/>
        <v>3.6004566553614684E-3</v>
      </c>
      <c r="M173" s="1">
        <f t="shared" si="45"/>
        <v>1.7322632973178407E-4</v>
      </c>
      <c r="N173" s="1">
        <f t="shared" si="36"/>
        <v>2.160273993216881E-2</v>
      </c>
      <c r="O173" s="1">
        <f t="shared" si="46"/>
        <v>5.3672081018129832E-4</v>
      </c>
      <c r="P173" s="1">
        <f t="shared" si="37"/>
        <v>0.2160273993216881</v>
      </c>
      <c r="Q173" s="1">
        <f t="shared" si="47"/>
        <v>1.6972602277837928E-3</v>
      </c>
    </row>
    <row r="174" spans="1:17">
      <c r="A174" s="1">
        <v>5.00000000000001E-19</v>
      </c>
      <c r="B174" s="1">
        <f t="shared" si="48"/>
        <v>3.0204709205956168E-8</v>
      </c>
      <c r="C174" s="1">
        <f t="shared" si="38"/>
        <v>7.2736498088110474E-2</v>
      </c>
      <c r="D174" s="1">
        <f t="shared" si="39"/>
        <v>3.2731424139649714E-3</v>
      </c>
      <c r="E174" s="1">
        <f t="shared" si="40"/>
        <v>1.7250896800782755E-4</v>
      </c>
      <c r="F174" s="1">
        <f t="shared" si="33"/>
        <v>1.9638854483789828E-2</v>
      </c>
      <c r="G174" s="1">
        <f t="shared" si="41"/>
        <v>5.6977624955971797E-4</v>
      </c>
      <c r="H174" s="1">
        <f t="shared" si="34"/>
        <v>0.19638854483789828</v>
      </c>
      <c r="I174" s="1">
        <f t="shared" si="42"/>
        <v>1.8017907052772194E-3</v>
      </c>
      <c r="J174" s="1">
        <f t="shared" si="43"/>
        <v>0.98194272418949147</v>
      </c>
      <c r="K174" s="1">
        <f t="shared" si="44"/>
        <v>9.0086556916569079E-3</v>
      </c>
      <c r="L174" s="1">
        <f t="shared" si="35"/>
        <v>3.2731424139649714E-3</v>
      </c>
      <c r="M174" s="1">
        <f t="shared" si="45"/>
        <v>1.5747854123239249E-4</v>
      </c>
      <c r="N174" s="1">
        <f t="shared" si="36"/>
        <v>1.9638854483789828E-2</v>
      </c>
      <c r="O174" s="1">
        <f t="shared" si="46"/>
        <v>4.8792830500350682E-4</v>
      </c>
      <c r="P174" s="1">
        <f t="shared" si="37"/>
        <v>0.19638854483789828</v>
      </c>
      <c r="Q174" s="1">
        <f t="shared" si="47"/>
        <v>1.5429647786764128E-3</v>
      </c>
    </row>
    <row r="175" spans="1:17">
      <c r="A175" s="1">
        <v>4.5000000000000098E-19</v>
      </c>
      <c r="B175" s="1">
        <f t="shared" si="48"/>
        <v>2.7184238285360559E-8</v>
      </c>
      <c r="C175" s="1">
        <f t="shared" si="38"/>
        <v>6.5462848279299463E-2</v>
      </c>
      <c r="D175" s="1">
        <f t="shared" si="39"/>
        <v>2.9458281725684762E-3</v>
      </c>
      <c r="E175" s="1">
        <f t="shared" si="40"/>
        <v>1.5525814178725378E-4</v>
      </c>
      <c r="F175" s="1">
        <f t="shared" si="33"/>
        <v>1.7674969035410857E-2</v>
      </c>
      <c r="G175" s="1">
        <f t="shared" si="41"/>
        <v>5.1279904845154007E-4</v>
      </c>
      <c r="H175" s="1">
        <f t="shared" si="34"/>
        <v>0.17674969035410856</v>
      </c>
      <c r="I175" s="1">
        <f t="shared" si="42"/>
        <v>1.6216129750739074E-3</v>
      </c>
      <c r="J175" s="1">
        <f t="shared" si="43"/>
        <v>0.88374845177054284</v>
      </c>
      <c r="K175" s="1">
        <f t="shared" si="44"/>
        <v>8.107823627444383E-3</v>
      </c>
      <c r="L175" s="1">
        <f t="shared" si="35"/>
        <v>2.9458281725684762E-3</v>
      </c>
      <c r="M175" s="1">
        <f t="shared" si="45"/>
        <v>1.4173074080145332E-4</v>
      </c>
      <c r="N175" s="1">
        <f t="shared" si="36"/>
        <v>1.7674969035410857E-2</v>
      </c>
      <c r="O175" s="1">
        <f t="shared" si="46"/>
        <v>4.3913574067664328E-4</v>
      </c>
      <c r="P175" s="1">
        <f t="shared" si="37"/>
        <v>0.17674969035410856</v>
      </c>
      <c r="Q175" s="1">
        <f t="shared" si="47"/>
        <v>1.3886691425232438E-3</v>
      </c>
    </row>
    <row r="176" spans="1:17">
      <c r="A176" s="1">
        <v>4.00000000000001E-19</v>
      </c>
      <c r="B176" s="1">
        <f t="shared" si="48"/>
        <v>2.4163767364764951E-8</v>
      </c>
      <c r="C176" s="1">
        <f t="shared" si="38"/>
        <v>5.818919847048841E-2</v>
      </c>
      <c r="D176" s="1">
        <f t="shared" si="39"/>
        <v>2.6185139311719788E-3</v>
      </c>
      <c r="E176" s="1">
        <f t="shared" si="40"/>
        <v>1.3800729988227463E-4</v>
      </c>
      <c r="F176" s="1">
        <f t="shared" si="33"/>
        <v>1.5711083587031872E-2</v>
      </c>
      <c r="G176" s="1">
        <f t="shared" si="41"/>
        <v>4.5582175315589748E-4</v>
      </c>
      <c r="H176" s="1">
        <f t="shared" si="34"/>
        <v>0.15711083587031871</v>
      </c>
      <c r="I176" s="1">
        <f t="shared" si="42"/>
        <v>1.4414349470236799E-3</v>
      </c>
      <c r="J176" s="1">
        <f t="shared" si="43"/>
        <v>0.78555417935159355</v>
      </c>
      <c r="K176" s="1">
        <f t="shared" si="44"/>
        <v>7.2069841180559275E-3</v>
      </c>
      <c r="L176" s="1">
        <f t="shared" si="35"/>
        <v>2.6185139311719788E-3</v>
      </c>
      <c r="M176" s="1">
        <f t="shared" si="45"/>
        <v>1.259829284389461E-4</v>
      </c>
      <c r="N176" s="1">
        <f t="shared" si="36"/>
        <v>1.5711083587031872E-2</v>
      </c>
      <c r="O176" s="1">
        <f t="shared" si="46"/>
        <v>3.9034311720054595E-4</v>
      </c>
      <c r="P176" s="1">
        <f t="shared" si="37"/>
        <v>0.15711083587031871</v>
      </c>
      <c r="Q176" s="1">
        <f t="shared" si="47"/>
        <v>1.234373319323774E-3</v>
      </c>
    </row>
    <row r="177" spans="1:17">
      <c r="A177" s="1">
        <v>3.5000000000000098E-19</v>
      </c>
      <c r="B177" s="1">
        <f t="shared" si="48"/>
        <v>2.1143296444169335E-8</v>
      </c>
      <c r="C177" s="1">
        <f t="shared" si="38"/>
        <v>5.0915548661677364E-2</v>
      </c>
      <c r="D177" s="1">
        <f t="shared" si="39"/>
        <v>2.2911996897754818E-3</v>
      </c>
      <c r="E177" s="1">
        <f t="shared" si="40"/>
        <v>1.2075644229285809E-4</v>
      </c>
      <c r="F177" s="1">
        <f t="shared" si="33"/>
        <v>1.374719813865289E-2</v>
      </c>
      <c r="G177" s="1">
        <f t="shared" si="41"/>
        <v>3.9884436367244023E-4</v>
      </c>
      <c r="H177" s="1">
        <f t="shared" si="34"/>
        <v>0.13747198138652889</v>
      </c>
      <c r="I177" s="1">
        <f t="shared" si="42"/>
        <v>1.2612566211254305E-3</v>
      </c>
      <c r="J177" s="1">
        <f t="shared" si="43"/>
        <v>0.68735990693264448</v>
      </c>
      <c r="K177" s="1">
        <f t="shared" si="44"/>
        <v>6.3061371633530983E-3</v>
      </c>
      <c r="L177" s="1">
        <f t="shared" si="35"/>
        <v>2.2911996897754818E-3</v>
      </c>
      <c r="M177" s="1">
        <f t="shared" si="45"/>
        <v>1.1023510414485058E-4</v>
      </c>
      <c r="N177" s="1">
        <f t="shared" si="36"/>
        <v>1.374719813865289E-2</v>
      </c>
      <c r="O177" s="1">
        <f t="shared" si="46"/>
        <v>3.4155043457505382E-4</v>
      </c>
      <c r="P177" s="1">
        <f t="shared" si="37"/>
        <v>0.13747198138652889</v>
      </c>
      <c r="Q177" s="1">
        <f t="shared" si="47"/>
        <v>1.0800773090774943E-3</v>
      </c>
    </row>
    <row r="178" spans="1:17">
      <c r="A178" s="1">
        <v>3.00000000000001E-19</v>
      </c>
      <c r="B178" s="1">
        <f t="shared" si="48"/>
        <v>1.8122825523573726E-8</v>
      </c>
      <c r="C178" s="1">
        <f t="shared" si="38"/>
        <v>4.3641898852866345E-2</v>
      </c>
      <c r="D178" s="1">
        <f t="shared" si="39"/>
        <v>1.9638854483789857E-3</v>
      </c>
      <c r="E178" s="1">
        <f t="shared" si="40"/>
        <v>1.0350556901897212E-4</v>
      </c>
      <c r="F178" s="1">
        <f t="shared" si="33"/>
        <v>1.1783312690273913E-2</v>
      </c>
      <c r="G178" s="1">
        <f t="shared" si="41"/>
        <v>3.4186688000081812E-4</v>
      </c>
      <c r="H178" s="1">
        <f t="shared" si="34"/>
        <v>0.11783312690273913</v>
      </c>
      <c r="I178" s="1">
        <f t="shared" si="42"/>
        <v>1.0810779973780512E-3</v>
      </c>
      <c r="J178" s="1">
        <f t="shared" si="43"/>
        <v>0.58916563451369564</v>
      </c>
      <c r="K178" s="1">
        <f t="shared" si="44"/>
        <v>5.4052827631974375E-3</v>
      </c>
      <c r="L178" s="1">
        <f t="shared" si="35"/>
        <v>1.9638854483789857E-3</v>
      </c>
      <c r="M178" s="1">
        <f t="shared" si="45"/>
        <v>9.44872679191464E-5</v>
      </c>
      <c r="N178" s="1">
        <f t="shared" si="36"/>
        <v>1.1783312690273913E-2</v>
      </c>
      <c r="O178" s="1">
        <f t="shared" si="46"/>
        <v>2.9275769280000567E-4</v>
      </c>
      <c r="P178" s="1">
        <f t="shared" si="37"/>
        <v>0.11783312690273913</v>
      </c>
      <c r="Q178" s="1">
        <f t="shared" si="47"/>
        <v>9.2578111178389516E-4</v>
      </c>
    </row>
    <row r="179" spans="1:17">
      <c r="A179" s="1">
        <v>2.5000000000000098E-19</v>
      </c>
      <c r="B179" s="1">
        <f t="shared" si="48"/>
        <v>1.5102354602978114E-8</v>
      </c>
      <c r="C179" s="1">
        <f t="shared" si="38"/>
        <v>3.6368249044055313E-2</v>
      </c>
      <c r="D179" s="1">
        <f t="shared" si="39"/>
        <v>1.6365712069824892E-3</v>
      </c>
      <c r="E179" s="1">
        <f t="shared" si="40"/>
        <v>8.6254680060584565E-5</v>
      </c>
      <c r="F179" s="1">
        <f t="shared" si="33"/>
        <v>9.819427241894935E-3</v>
      </c>
      <c r="G179" s="1">
        <f t="shared" si="41"/>
        <v>2.8488930214068067E-4</v>
      </c>
      <c r="H179" s="1">
        <f t="shared" si="34"/>
        <v>9.8194272418949347E-2</v>
      </c>
      <c r="I179" s="1">
        <f t="shared" si="42"/>
        <v>9.0089907578043405E-4</v>
      </c>
      <c r="J179" s="1">
        <f t="shared" si="43"/>
        <v>0.49097136209474673</v>
      </c>
      <c r="K179" s="1">
        <f t="shared" si="44"/>
        <v>4.5044209174504865E-3</v>
      </c>
      <c r="L179" s="1">
        <f t="shared" si="35"/>
        <v>1.6365712069824892E-3</v>
      </c>
      <c r="M179" s="1">
        <f t="shared" si="45"/>
        <v>7.8739419761813232E-5</v>
      </c>
      <c r="N179" s="1">
        <f t="shared" si="36"/>
        <v>9.819427241894935E-3</v>
      </c>
      <c r="O179" s="1">
        <f t="shared" si="46"/>
        <v>2.4396489187523989E-4</v>
      </c>
      <c r="P179" s="1">
        <f t="shared" si="37"/>
        <v>9.8194272418949347E-2</v>
      </c>
      <c r="Q179" s="1">
        <f t="shared" si="47"/>
        <v>7.7148472744246522E-4</v>
      </c>
    </row>
    <row r="180" spans="1:17">
      <c r="A180" s="1">
        <v>2.0000000000000101E-19</v>
      </c>
      <c r="B180" s="1">
        <f t="shared" si="48"/>
        <v>1.2081883682382503E-8</v>
      </c>
      <c r="C180" s="1">
        <f t="shared" si="38"/>
        <v>2.9094599235244278E-2</v>
      </c>
      <c r="D180" s="1">
        <f t="shared" si="39"/>
        <v>1.3092569655859924E-3</v>
      </c>
      <c r="E180" s="1">
        <f t="shared" si="40"/>
        <v>6.900377541766335E-5</v>
      </c>
      <c r="F180" s="1">
        <f t="shared" si="33"/>
        <v>7.8555417935159549E-3</v>
      </c>
      <c r="G180" s="1">
        <f t="shared" si="41"/>
        <v>2.2791163009167742E-4</v>
      </c>
      <c r="H180" s="1">
        <f t="shared" si="34"/>
        <v>7.8555417935159549E-2</v>
      </c>
      <c r="I180" s="1">
        <f t="shared" si="42"/>
        <v>7.2071985633147078E-4</v>
      </c>
      <c r="J180" s="1">
        <f t="shared" si="43"/>
        <v>0.39277708967579772</v>
      </c>
      <c r="K180" s="1">
        <f t="shared" si="44"/>
        <v>3.6035516259737802E-3</v>
      </c>
      <c r="L180" s="1">
        <f t="shared" si="35"/>
        <v>1.3092569655859924E-3</v>
      </c>
      <c r="M180" s="1">
        <f t="shared" si="45"/>
        <v>6.2991559672830684E-5</v>
      </c>
      <c r="N180" s="1">
        <f t="shared" si="36"/>
        <v>7.8555417935159549E-3</v>
      </c>
      <c r="O180" s="1">
        <f t="shared" si="46"/>
        <v>1.9517203180059516E-4</v>
      </c>
      <c r="P180" s="1">
        <f t="shared" si="37"/>
        <v>7.8555417935159549E-2</v>
      </c>
      <c r="Q180" s="1">
        <f t="shared" si="47"/>
        <v>6.1718815605269471E-4</v>
      </c>
    </row>
    <row r="181" spans="1:17">
      <c r="A181" s="1">
        <v>1.5000000000000101E-19</v>
      </c>
      <c r="B181" s="1">
        <f t="shared" si="48"/>
        <v>9.0614127617868945E-9</v>
      </c>
      <c r="C181" s="1">
        <f t="shared" si="38"/>
        <v>2.1820949426433249E-2</v>
      </c>
      <c r="D181" s="1">
        <f t="shared" si="39"/>
        <v>9.8194272418949632E-4</v>
      </c>
      <c r="E181" s="1">
        <f t="shared" si="40"/>
        <v>5.1752855090176443E-5</v>
      </c>
      <c r="F181" s="1">
        <f t="shared" si="33"/>
        <v>5.8916563451369775E-3</v>
      </c>
      <c r="G181" s="1">
        <f t="shared" si="41"/>
        <v>1.7093386385345823E-4</v>
      </c>
      <c r="H181" s="1">
        <f t="shared" si="34"/>
        <v>5.8916563451369773E-2</v>
      </c>
      <c r="I181" s="1">
        <f t="shared" si="42"/>
        <v>5.4054033903005419E-4</v>
      </c>
      <c r="J181" s="1">
        <f t="shared" si="43"/>
        <v>0.29458281725684887</v>
      </c>
      <c r="K181" s="1">
        <f t="shared" si="44"/>
        <v>2.7026748886288536E-3</v>
      </c>
      <c r="L181" s="1">
        <f t="shared" si="35"/>
        <v>9.8194272418949632E-4</v>
      </c>
      <c r="M181" s="1">
        <f t="shared" si="45"/>
        <v>4.7243687652178494E-5</v>
      </c>
      <c r="N181" s="1">
        <f t="shared" si="36"/>
        <v>5.8916563451369775E-3</v>
      </c>
      <c r="O181" s="1">
        <f t="shared" si="46"/>
        <v>1.4637911257591035E-4</v>
      </c>
      <c r="P181" s="1">
        <f t="shared" si="37"/>
        <v>5.8916563451369773E-2</v>
      </c>
      <c r="Q181" s="1">
        <f t="shared" si="47"/>
        <v>4.628913976140735E-4</v>
      </c>
    </row>
    <row r="182" spans="1:17">
      <c r="A182" s="1">
        <v>1.00000000000001E-19</v>
      </c>
      <c r="B182" s="1">
        <f t="shared" si="48"/>
        <v>6.0409418411912823E-9</v>
      </c>
      <c r="C182" s="1">
        <f t="shared" si="38"/>
        <v>1.4547299617622212E-2</v>
      </c>
      <c r="D182" s="1">
        <f t="shared" si="39"/>
        <v>6.5462848279299957E-4</v>
      </c>
      <c r="E182" s="1">
        <f t="shared" si="40"/>
        <v>3.4501919078091668E-5</v>
      </c>
      <c r="F182" s="1">
        <f t="shared" si="33"/>
        <v>3.9277708967579974E-3</v>
      </c>
      <c r="G182" s="1">
        <f t="shared" si="41"/>
        <v>1.1395600342567263E-4</v>
      </c>
      <c r="H182" s="1">
        <f t="shared" si="34"/>
        <v>3.9277708967579976E-2</v>
      </c>
      <c r="I182" s="1">
        <f t="shared" si="42"/>
        <v>3.6036052387507591E-4</v>
      </c>
      <c r="J182" s="1">
        <f t="shared" si="43"/>
        <v>0.19638854483789986</v>
      </c>
      <c r="K182" s="1">
        <f t="shared" si="44"/>
        <v>1.8017907052772339E-3</v>
      </c>
      <c r="L182" s="1">
        <f t="shared" si="35"/>
        <v>6.5462848279299957E-4</v>
      </c>
      <c r="M182" s="1">
        <f t="shared" si="45"/>
        <v>3.1495803699836245E-5</v>
      </c>
      <c r="N182" s="1">
        <f t="shared" si="36"/>
        <v>3.9277708967579974E-3</v>
      </c>
      <c r="O182" s="1">
        <f t="shared" si="46"/>
        <v>9.7586134201023867E-5</v>
      </c>
      <c r="P182" s="1">
        <f t="shared" si="37"/>
        <v>3.9277708967579976E-2</v>
      </c>
      <c r="Q182" s="1">
        <f t="shared" si="47"/>
        <v>3.0859445212609127E-4</v>
      </c>
    </row>
    <row r="183" spans="1:17">
      <c r="A183" s="1">
        <v>9.5E-20</v>
      </c>
      <c r="B183" s="1">
        <f t="shared" si="48"/>
        <v>5.7388947491316602E-9</v>
      </c>
      <c r="C183" s="1">
        <f t="shared" si="38"/>
        <v>1.3819934636740961E-2</v>
      </c>
      <c r="D183" s="1">
        <f t="shared" si="39"/>
        <v>6.218970586533433E-4</v>
      </c>
      <c r="E183" s="1">
        <f t="shared" si="40"/>
        <v>3.2776824614228733E-5</v>
      </c>
      <c r="F183" s="1">
        <f t="shared" si="33"/>
        <v>3.7313823519200596E-3</v>
      </c>
      <c r="G183" s="1">
        <f t="shared" si="41"/>
        <v>1.082582122024533E-4</v>
      </c>
      <c r="H183" s="1">
        <f t="shared" si="34"/>
        <v>3.7313823519200595E-2</v>
      </c>
      <c r="I183" s="1">
        <f t="shared" si="42"/>
        <v>3.4234252597758585E-4</v>
      </c>
      <c r="J183" s="1">
        <f t="shared" si="43"/>
        <v>0.18656911759600298</v>
      </c>
      <c r="K183" s="1">
        <f t="shared" si="44"/>
        <v>1.7117018774063543E-3</v>
      </c>
      <c r="L183" s="1">
        <f t="shared" si="35"/>
        <v>6.218970586533433E-4</v>
      </c>
      <c r="M183" s="1">
        <f t="shared" si="45"/>
        <v>2.9921014648357963E-5</v>
      </c>
      <c r="N183" s="1">
        <f t="shared" si="36"/>
        <v>3.7313823519200596E-3</v>
      </c>
      <c r="O183" s="1">
        <f t="shared" si="46"/>
        <v>9.2706833110266934E-5</v>
      </c>
      <c r="P183" s="1">
        <f t="shared" si="37"/>
        <v>3.7313823519200595E-2</v>
      </c>
      <c r="Q183" s="1">
        <f t="shared" si="47"/>
        <v>2.9316474728955538E-4</v>
      </c>
    </row>
    <row r="184" spans="1:17">
      <c r="A184" s="1">
        <v>9.0000000000000003E-20</v>
      </c>
      <c r="B184" s="1">
        <f t="shared" si="48"/>
        <v>5.4368476570721001E-9</v>
      </c>
      <c r="C184" s="1">
        <f t="shared" si="38"/>
        <v>1.3092569655859861E-2</v>
      </c>
      <c r="D184" s="1">
        <f t="shared" si="39"/>
        <v>5.8916563451369387E-4</v>
      </c>
      <c r="E184" s="1">
        <f t="shared" si="40"/>
        <v>3.105172999351982E-5</v>
      </c>
      <c r="F184" s="1">
        <f t="shared" si="33"/>
        <v>3.534993807082163E-3</v>
      </c>
      <c r="G184" s="1">
        <f t="shared" si="41"/>
        <v>1.0256042003733562E-4</v>
      </c>
      <c r="H184" s="1">
        <f t="shared" si="34"/>
        <v>3.5349938070821631E-2</v>
      </c>
      <c r="I184" s="1">
        <f t="shared" si="42"/>
        <v>3.2432452510155189E-4</v>
      </c>
      <c r="J184" s="1">
        <f t="shared" si="43"/>
        <v>0.17674969035410815</v>
      </c>
      <c r="K184" s="1">
        <f t="shared" si="44"/>
        <v>1.6216129750739037E-3</v>
      </c>
      <c r="L184" s="1">
        <f t="shared" si="35"/>
        <v>5.8916563451369387E-4</v>
      </c>
      <c r="M184" s="1">
        <f t="shared" si="45"/>
        <v>2.8346225477562893E-5</v>
      </c>
      <c r="N184" s="1">
        <f t="shared" si="36"/>
        <v>3.534993807082163E-3</v>
      </c>
      <c r="O184" s="1">
        <f t="shared" si="46"/>
        <v>8.7827531428007243E-5</v>
      </c>
      <c r="P184" s="1">
        <f t="shared" si="37"/>
        <v>3.5349938070821631E-2</v>
      </c>
      <c r="Q184" s="1">
        <f t="shared" si="47"/>
        <v>2.7773504058252354E-4</v>
      </c>
    </row>
    <row r="185" spans="1:17">
      <c r="A185" s="1">
        <v>8.5000000000000005E-20</v>
      </c>
      <c r="B185" s="1">
        <f t="shared" si="48"/>
        <v>5.1348005650125393E-9</v>
      </c>
      <c r="C185" s="1">
        <f t="shared" si="38"/>
        <v>1.2365204674978755E-2</v>
      </c>
      <c r="D185" s="1">
        <f t="shared" si="39"/>
        <v>5.56434210374044E-4</v>
      </c>
      <c r="E185" s="1">
        <f t="shared" si="40"/>
        <v>2.9326635215964522E-5</v>
      </c>
      <c r="F185" s="1">
        <f t="shared" si="33"/>
        <v>3.3386052622442638E-3</v>
      </c>
      <c r="G185" s="1">
        <f t="shared" si="41"/>
        <v>9.6862626930317998E-5</v>
      </c>
      <c r="H185" s="1">
        <f t="shared" si="34"/>
        <v>3.3386052622442638E-2</v>
      </c>
      <c r="I185" s="1">
        <f t="shared" si="42"/>
        <v>3.0630652124696866E-4</v>
      </c>
      <c r="J185" s="1">
        <f t="shared" si="43"/>
        <v>0.16693026311221318</v>
      </c>
      <c r="K185" s="1">
        <f t="shared" si="44"/>
        <v>1.5315239982797231E-3</v>
      </c>
      <c r="L185" s="1">
        <f t="shared" si="35"/>
        <v>5.56434210374044E-4</v>
      </c>
      <c r="M185" s="1">
        <f t="shared" si="45"/>
        <v>2.6771436187450652E-5</v>
      </c>
      <c r="N185" s="1">
        <f t="shared" si="36"/>
        <v>3.3386052622442638E-3</v>
      </c>
      <c r="O185" s="1">
        <f t="shared" si="46"/>
        <v>8.294822915424352E-5</v>
      </c>
      <c r="P185" s="1">
        <f t="shared" si="37"/>
        <v>3.3386052622442638E-2</v>
      </c>
      <c r="Q185" s="1">
        <f t="shared" si="47"/>
        <v>2.6230533200499175E-4</v>
      </c>
    </row>
    <row r="186" spans="1:17">
      <c r="A186" s="1">
        <v>7.9999999999999996E-20</v>
      </c>
      <c r="B186" s="1">
        <f t="shared" si="48"/>
        <v>4.8327534729529775E-9</v>
      </c>
      <c r="C186" s="1">
        <f t="shared" si="38"/>
        <v>1.1637839694097653E-2</v>
      </c>
      <c r="D186" s="1">
        <f t="shared" si="39"/>
        <v>5.2370278623439445E-4</v>
      </c>
      <c r="E186" s="1">
        <f t="shared" si="40"/>
        <v>2.7601540281562848E-5</v>
      </c>
      <c r="F186" s="1">
        <f t="shared" si="33"/>
        <v>3.1422167174063667E-3</v>
      </c>
      <c r="G186" s="1">
        <f t="shared" si="41"/>
        <v>9.1164832881400238E-5</v>
      </c>
      <c r="H186" s="1">
        <f t="shared" si="34"/>
        <v>3.1422167174063667E-2</v>
      </c>
      <c r="I186" s="1">
        <f t="shared" si="42"/>
        <v>2.8828851441383568E-4</v>
      </c>
      <c r="J186" s="1">
        <f t="shared" si="43"/>
        <v>0.15711083587031832</v>
      </c>
      <c r="K186" s="1">
        <f t="shared" si="44"/>
        <v>1.4414349470236764E-3</v>
      </c>
      <c r="L186" s="1">
        <f t="shared" si="35"/>
        <v>5.2370278623439445E-4</v>
      </c>
      <c r="M186" s="1">
        <f t="shared" si="45"/>
        <v>2.5196646778021268E-5</v>
      </c>
      <c r="N186" s="1">
        <f t="shared" si="36"/>
        <v>3.1422167174063667E-3</v>
      </c>
      <c r="O186" s="1">
        <f t="shared" si="46"/>
        <v>7.8068926288975751E-5</v>
      </c>
      <c r="P186" s="1">
        <f t="shared" si="37"/>
        <v>3.1422167174063667E-2</v>
      </c>
      <c r="Q186" s="1">
        <f t="shared" si="47"/>
        <v>2.468756215569599E-4</v>
      </c>
    </row>
    <row r="187" spans="1:17">
      <c r="A187" s="1">
        <v>7.4999999999999998E-20</v>
      </c>
      <c r="B187" s="1">
        <f t="shared" si="48"/>
        <v>4.5307063808934158E-9</v>
      </c>
      <c r="C187" s="1">
        <f t="shared" si="38"/>
        <v>1.091047471321655E-2</v>
      </c>
      <c r="D187" s="1">
        <f t="shared" si="39"/>
        <v>4.909713620947448E-4</v>
      </c>
      <c r="E187" s="1">
        <f t="shared" si="40"/>
        <v>2.5876445190314739E-5</v>
      </c>
      <c r="F187" s="1">
        <f t="shared" si="33"/>
        <v>2.9458281725684688E-3</v>
      </c>
      <c r="G187" s="1">
        <f t="shared" si="41"/>
        <v>8.546703789058188E-5</v>
      </c>
      <c r="H187" s="1">
        <f t="shared" si="34"/>
        <v>2.9458281725684689E-2</v>
      </c>
      <c r="I187" s="1">
        <f t="shared" si="42"/>
        <v>2.7027050460215148E-4</v>
      </c>
      <c r="J187" s="1">
        <f t="shared" si="43"/>
        <v>0.14729140862842344</v>
      </c>
      <c r="K187" s="1">
        <f t="shared" si="44"/>
        <v>1.3513458213056239E-3</v>
      </c>
      <c r="L187" s="1">
        <f t="shared" si="35"/>
        <v>4.909713620947448E-4</v>
      </c>
      <c r="M187" s="1">
        <f t="shared" si="45"/>
        <v>2.3621857249274689E-5</v>
      </c>
      <c r="N187" s="1">
        <f t="shared" si="36"/>
        <v>2.9458281725684688E-3</v>
      </c>
      <c r="O187" s="1">
        <f t="shared" si="46"/>
        <v>7.3189622832203679E-5</v>
      </c>
      <c r="P187" s="1">
        <f t="shared" si="37"/>
        <v>2.9458281725684689E-2</v>
      </c>
      <c r="Q187" s="1">
        <f t="shared" si="47"/>
        <v>2.3144590923842724E-4</v>
      </c>
    </row>
    <row r="188" spans="1:17">
      <c r="A188" s="1">
        <v>7.0000000000000001E-20</v>
      </c>
      <c r="B188" s="1">
        <f t="shared" si="48"/>
        <v>4.2286592888338558E-9</v>
      </c>
      <c r="C188" s="1">
        <f t="shared" si="38"/>
        <v>1.0183109732335445E-2</v>
      </c>
      <c r="D188" s="1">
        <f t="shared" si="39"/>
        <v>4.5823993795509509E-4</v>
      </c>
      <c r="E188" s="1">
        <f t="shared" si="40"/>
        <v>2.4151349942220166E-5</v>
      </c>
      <c r="F188" s="1">
        <f t="shared" si="33"/>
        <v>2.7494396277305704E-3</v>
      </c>
      <c r="G188" s="1">
        <f t="shared" si="41"/>
        <v>7.9769241957862588E-5</v>
      </c>
      <c r="H188" s="1">
        <f t="shared" si="34"/>
        <v>2.7494396277305704E-2</v>
      </c>
      <c r="I188" s="1">
        <f t="shared" si="42"/>
        <v>2.5225249181191499E-4</v>
      </c>
      <c r="J188" s="1">
        <f t="shared" si="43"/>
        <v>0.13747198138652852</v>
      </c>
      <c r="K188" s="1">
        <f t="shared" si="44"/>
        <v>1.261256621125427E-3</v>
      </c>
      <c r="L188" s="1">
        <f t="shared" si="35"/>
        <v>4.5823993795509509E-4</v>
      </c>
      <c r="M188" s="1">
        <f t="shared" si="45"/>
        <v>2.2047067601210905E-5</v>
      </c>
      <c r="N188" s="1">
        <f t="shared" si="36"/>
        <v>2.7494396277305704E-3</v>
      </c>
      <c r="O188" s="1">
        <f t="shared" si="46"/>
        <v>6.8310318783927168E-5</v>
      </c>
      <c r="P188" s="1">
        <f t="shared" si="37"/>
        <v>2.7494396277305704E-2</v>
      </c>
      <c r="Q188" s="1">
        <f t="shared" si="47"/>
        <v>2.1601619504939328E-4</v>
      </c>
    </row>
    <row r="189" spans="1:17">
      <c r="A189" s="1">
        <v>6.5000000000000003E-20</v>
      </c>
      <c r="B189" s="1">
        <f t="shared" si="48"/>
        <v>3.9266121967742949E-9</v>
      </c>
      <c r="C189" s="1">
        <f t="shared" si="38"/>
        <v>9.4557447514543435E-3</v>
      </c>
      <c r="D189" s="1">
        <f t="shared" si="39"/>
        <v>4.2550851381544549E-4</v>
      </c>
      <c r="E189" s="1">
        <f t="shared" si="40"/>
        <v>2.2426254537279107E-5</v>
      </c>
      <c r="F189" s="1">
        <f t="shared" si="33"/>
        <v>2.553051082892673E-3</v>
      </c>
      <c r="G189" s="1">
        <f t="shared" si="41"/>
        <v>7.4071445083242048E-5</v>
      </c>
      <c r="H189" s="1">
        <f t="shared" si="34"/>
        <v>2.5530510828926729E-2</v>
      </c>
      <c r="I189" s="1">
        <f t="shared" si="42"/>
        <v>2.3423447604312521E-4</v>
      </c>
      <c r="J189" s="1">
        <f t="shared" si="43"/>
        <v>0.12765255414463364</v>
      </c>
      <c r="K189" s="1">
        <f t="shared" si="44"/>
        <v>1.1711673464829479E-3</v>
      </c>
      <c r="L189" s="1">
        <f t="shared" si="35"/>
        <v>4.2550851381544549E-4</v>
      </c>
      <c r="M189" s="1">
        <f t="shared" si="45"/>
        <v>2.0472277833829897E-5</v>
      </c>
      <c r="N189" s="1">
        <f t="shared" si="36"/>
        <v>2.553051082892673E-3</v>
      </c>
      <c r="O189" s="1">
        <f t="shared" si="46"/>
        <v>6.3431014144146069E-5</v>
      </c>
      <c r="P189" s="1">
        <f t="shared" si="37"/>
        <v>2.5530510828926729E-2</v>
      </c>
      <c r="Q189" s="1">
        <f t="shared" si="47"/>
        <v>2.0058647898985762E-4</v>
      </c>
    </row>
    <row r="190" spans="1:17">
      <c r="A190" s="1">
        <v>6.0000000000000006E-20</v>
      </c>
      <c r="B190" s="1">
        <f t="shared" si="48"/>
        <v>3.6245651047147336E-9</v>
      </c>
      <c r="C190" s="1">
        <f t="shared" si="38"/>
        <v>8.7283797705732403E-3</v>
      </c>
      <c r="D190" s="1">
        <f t="shared" si="39"/>
        <v>3.9277708967579584E-4</v>
      </c>
      <c r="E190" s="1">
        <f t="shared" si="40"/>
        <v>2.0701158975491527E-5</v>
      </c>
      <c r="F190" s="1">
        <f t="shared" si="33"/>
        <v>2.356662538054775E-3</v>
      </c>
      <c r="G190" s="1">
        <f t="shared" si="41"/>
        <v>6.8373647266719868E-5</v>
      </c>
      <c r="H190" s="1">
        <f t="shared" si="34"/>
        <v>2.356662538054775E-2</v>
      </c>
      <c r="I190" s="1">
        <f t="shared" si="42"/>
        <v>2.16216457295781E-4</v>
      </c>
      <c r="J190" s="1">
        <f t="shared" si="43"/>
        <v>0.11783312690273876</v>
      </c>
      <c r="K190" s="1">
        <f t="shared" si="44"/>
        <v>1.0810779973780477E-3</v>
      </c>
      <c r="L190" s="1">
        <f t="shared" si="35"/>
        <v>3.9277708967579584E-4</v>
      </c>
      <c r="M190" s="1">
        <f t="shared" si="45"/>
        <v>1.8897487947131646E-5</v>
      </c>
      <c r="N190" s="1">
        <f t="shared" si="36"/>
        <v>2.356662538054775E-3</v>
      </c>
      <c r="O190" s="1">
        <f t="shared" si="46"/>
        <v>5.8551708912860207E-5</v>
      </c>
      <c r="P190" s="1">
        <f t="shared" si="37"/>
        <v>2.356662538054775E-2</v>
      </c>
      <c r="Q190" s="1">
        <f t="shared" si="47"/>
        <v>1.8515676105981962E-4</v>
      </c>
    </row>
    <row r="191" spans="1:17">
      <c r="A191" s="1">
        <v>5.4999999999999996E-20</v>
      </c>
      <c r="B191" s="1">
        <f t="shared" si="48"/>
        <v>3.3225180126551719E-9</v>
      </c>
      <c r="C191" s="1">
        <f t="shared" si="38"/>
        <v>8.0010147896921353E-3</v>
      </c>
      <c r="D191" s="1">
        <f t="shared" si="39"/>
        <v>3.6004566553614613E-4</v>
      </c>
      <c r="E191" s="1">
        <f t="shared" si="40"/>
        <v>1.8976063256857386E-5</v>
      </c>
      <c r="F191" s="1">
        <f t="shared" si="33"/>
        <v>2.1602739932168767E-3</v>
      </c>
      <c r="G191" s="1">
        <f t="shared" si="41"/>
        <v>6.2675848508295708E-5</v>
      </c>
      <c r="H191" s="1">
        <f t="shared" si="34"/>
        <v>2.1602739932168769E-2</v>
      </c>
      <c r="I191" s="1">
        <f t="shared" si="42"/>
        <v>1.9819843556988118E-4</v>
      </c>
      <c r="J191" s="1">
        <f t="shared" si="43"/>
        <v>0.10801369966084383</v>
      </c>
      <c r="K191" s="1">
        <f t="shared" si="44"/>
        <v>9.9098857381058796E-4</v>
      </c>
      <c r="L191" s="1">
        <f t="shared" si="35"/>
        <v>3.6004566553614613E-4</v>
      </c>
      <c r="M191" s="1">
        <f t="shared" si="45"/>
        <v>1.732269794111612E-5</v>
      </c>
      <c r="N191" s="1">
        <f t="shared" si="36"/>
        <v>2.1602739932168767E-3</v>
      </c>
      <c r="O191" s="1">
        <f t="shared" si="46"/>
        <v>5.3672403090069424E-5</v>
      </c>
      <c r="P191" s="1">
        <f t="shared" si="37"/>
        <v>2.1602739932168769E-2</v>
      </c>
      <c r="Q191" s="1">
        <f t="shared" si="47"/>
        <v>1.6972704125927881E-4</v>
      </c>
    </row>
    <row r="192" spans="1:17">
      <c r="A192" s="1">
        <v>4.9999999999999999E-20</v>
      </c>
      <c r="B192" s="1">
        <f t="shared" si="48"/>
        <v>3.020470920595611E-9</v>
      </c>
      <c r="C192" s="1">
        <f t="shared" si="38"/>
        <v>7.2736498088110339E-3</v>
      </c>
      <c r="D192" s="1">
        <f t="shared" si="39"/>
        <v>3.2731424139649653E-4</v>
      </c>
      <c r="E192" s="1">
        <f t="shared" si="40"/>
        <v>1.725096738137666E-5</v>
      </c>
      <c r="F192" s="1">
        <f t="shared" si="33"/>
        <v>1.9638854483789792E-3</v>
      </c>
      <c r="G192" s="1">
        <f t="shared" si="41"/>
        <v>5.6978048807969272E-5</v>
      </c>
      <c r="H192" s="1">
        <f t="shared" si="34"/>
        <v>1.963885448378979E-2</v>
      </c>
      <c r="I192" s="1">
        <f t="shared" si="42"/>
        <v>1.8018041086542474E-4</v>
      </c>
      <c r="J192" s="1">
        <f t="shared" si="43"/>
        <v>9.8194272418948958E-2</v>
      </c>
      <c r="K192" s="1">
        <f t="shared" si="44"/>
        <v>9.0089907578043047E-4</v>
      </c>
      <c r="L192" s="1">
        <f t="shared" si="35"/>
        <v>3.2731424139649653E-4</v>
      </c>
      <c r="M192" s="1">
        <f t="shared" si="45"/>
        <v>1.5747907815783315E-5</v>
      </c>
      <c r="N192" s="1">
        <f t="shared" si="36"/>
        <v>1.9638854483789792E-3</v>
      </c>
      <c r="O192" s="1">
        <f t="shared" si="46"/>
        <v>4.8793096675773566E-5</v>
      </c>
      <c r="P192" s="1">
        <f t="shared" si="37"/>
        <v>1.963885448378979E-2</v>
      </c>
      <c r="Q192" s="1">
        <f t="shared" si="47"/>
        <v>1.5429731958823475E-4</v>
      </c>
    </row>
    <row r="193" spans="1:17">
      <c r="A193" s="1">
        <v>4.5000000000000001E-20</v>
      </c>
      <c r="B193" s="1">
        <f t="shared" si="48"/>
        <v>2.7184238285360501E-9</v>
      </c>
      <c r="C193" s="1">
        <f t="shared" si="38"/>
        <v>6.5462848279299306E-3</v>
      </c>
      <c r="D193" s="1">
        <f t="shared" si="39"/>
        <v>2.9458281725684693E-4</v>
      </c>
      <c r="E193" s="1">
        <f t="shared" si="40"/>
        <v>1.5525871349049315E-5</v>
      </c>
      <c r="F193" s="1">
        <f t="shared" si="33"/>
        <v>1.7674969035410815E-3</v>
      </c>
      <c r="G193" s="1">
        <f t="shared" si="41"/>
        <v>5.1280248165740138E-5</v>
      </c>
      <c r="H193" s="1">
        <f t="shared" si="34"/>
        <v>1.7674969035410815E-2</v>
      </c>
      <c r="I193" s="1">
        <f t="shared" si="42"/>
        <v>1.6216238318241056E-4</v>
      </c>
      <c r="J193" s="1">
        <f t="shared" si="43"/>
        <v>8.8374845177054073E-2</v>
      </c>
      <c r="K193" s="1">
        <f t="shared" si="44"/>
        <v>8.1080950328743637E-4</v>
      </c>
      <c r="L193" s="1">
        <f t="shared" si="35"/>
        <v>2.9458281725684693E-4</v>
      </c>
      <c r="M193" s="1">
        <f t="shared" si="45"/>
        <v>1.4173117571133206E-5</v>
      </c>
      <c r="N193" s="1">
        <f t="shared" si="36"/>
        <v>1.7674969035410815E-3</v>
      </c>
      <c r="O193" s="1">
        <f t="shared" si="46"/>
        <v>4.3913789669972469E-5</v>
      </c>
      <c r="P193" s="1">
        <f t="shared" si="37"/>
        <v>1.7674969035410815E-2</v>
      </c>
      <c r="Q193" s="1">
        <f t="shared" si="47"/>
        <v>1.3886759604668687E-4</v>
      </c>
    </row>
    <row r="194" spans="1:17">
      <c r="A194" s="1">
        <v>3.9999999999999998E-20</v>
      </c>
      <c r="B194" s="1">
        <f t="shared" si="48"/>
        <v>2.4163767364764888E-9</v>
      </c>
      <c r="C194" s="1">
        <f t="shared" si="38"/>
        <v>5.8189198470488266E-3</v>
      </c>
      <c r="D194" s="1">
        <f t="shared" si="39"/>
        <v>2.6185139311719723E-4</v>
      </c>
      <c r="E194" s="1">
        <f t="shared" si="40"/>
        <v>1.3800775159875312E-5</v>
      </c>
      <c r="F194" s="1">
        <f t="shared" si="33"/>
        <v>1.5711083587031834E-3</v>
      </c>
      <c r="G194" s="1">
        <f t="shared" si="41"/>
        <v>4.5582446581607982E-5</v>
      </c>
      <c r="H194" s="1">
        <f t="shared" si="34"/>
        <v>1.5711083587031834E-2</v>
      </c>
      <c r="I194" s="1">
        <f t="shared" si="42"/>
        <v>1.4414435252083744E-4</v>
      </c>
      <c r="J194" s="1">
        <f t="shared" si="43"/>
        <v>7.8555417935159161E-2</v>
      </c>
      <c r="K194" s="1">
        <f t="shared" si="44"/>
        <v>7.2071985633146731E-4</v>
      </c>
      <c r="L194" s="1">
        <f t="shared" si="35"/>
        <v>2.6185139311719723E-4</v>
      </c>
      <c r="M194" s="1">
        <f t="shared" si="45"/>
        <v>1.2598327207165761E-5</v>
      </c>
      <c r="N194" s="1">
        <f t="shared" si="36"/>
        <v>1.5711083587031834E-3</v>
      </c>
      <c r="O194" s="1">
        <f t="shared" si="46"/>
        <v>3.9034482072665951E-5</v>
      </c>
      <c r="P194" s="1">
        <f t="shared" si="37"/>
        <v>1.5711083587031834E-2</v>
      </c>
      <c r="Q194" s="1">
        <f t="shared" si="47"/>
        <v>1.2343787063463465E-4</v>
      </c>
    </row>
    <row r="195" spans="1:17">
      <c r="A195" s="1">
        <v>3.5E-20</v>
      </c>
      <c r="B195" s="1">
        <f t="shared" si="48"/>
        <v>2.1143296444169279E-9</v>
      </c>
      <c r="C195" s="1">
        <f t="shared" si="38"/>
        <v>5.0915548661677225E-3</v>
      </c>
      <c r="D195" s="1">
        <f t="shared" si="39"/>
        <v>2.2911996897754755E-4</v>
      </c>
      <c r="E195" s="1">
        <f t="shared" si="40"/>
        <v>1.207567881385463E-5</v>
      </c>
      <c r="F195" s="1">
        <f t="shared" si="33"/>
        <v>1.3747198138652852E-3</v>
      </c>
      <c r="G195" s="1">
        <f t="shared" si="41"/>
        <v>3.9884644055572457E-5</v>
      </c>
      <c r="H195" s="1">
        <f t="shared" si="34"/>
        <v>1.3747198138652852E-2</v>
      </c>
      <c r="I195" s="1">
        <f t="shared" si="42"/>
        <v>1.2612631888070432E-4</v>
      </c>
      <c r="J195" s="1">
        <f t="shared" si="43"/>
        <v>6.8735990693264262E-2</v>
      </c>
      <c r="K195" s="1">
        <f t="shared" si="44"/>
        <v>6.3063013491238484E-4</v>
      </c>
      <c r="L195" s="1">
        <f t="shared" si="35"/>
        <v>2.2911996897754755E-4</v>
      </c>
      <c r="M195" s="1">
        <f t="shared" si="45"/>
        <v>1.1023536723880971E-5</v>
      </c>
      <c r="N195" s="1">
        <f t="shared" si="36"/>
        <v>1.3747198138652852E-3</v>
      </c>
      <c r="O195" s="1">
        <f t="shared" si="46"/>
        <v>3.4155173883853877E-5</v>
      </c>
      <c r="P195" s="1">
        <f t="shared" si="37"/>
        <v>1.3747198138652852E-2</v>
      </c>
      <c r="Q195" s="1">
        <f t="shared" si="47"/>
        <v>1.0800814335207758E-4</v>
      </c>
    </row>
    <row r="196" spans="1:17">
      <c r="A196" s="1">
        <v>3.0000000000000003E-20</v>
      </c>
      <c r="B196" s="1">
        <f t="shared" si="48"/>
        <v>1.8122825523573668E-9</v>
      </c>
      <c r="C196" s="1">
        <f t="shared" si="38"/>
        <v>4.3641898852866201E-3</v>
      </c>
      <c r="D196" s="1">
        <f t="shared" si="39"/>
        <v>1.9638854483789792E-4</v>
      </c>
      <c r="E196" s="1">
        <f t="shared" si="40"/>
        <v>1.0350582310987233E-5</v>
      </c>
      <c r="F196" s="1">
        <f t="shared" si="33"/>
        <v>1.1783312690273875E-3</v>
      </c>
      <c r="G196" s="1">
        <f t="shared" si="41"/>
        <v>3.4186840587633219E-5</v>
      </c>
      <c r="H196" s="1">
        <f t="shared" si="34"/>
        <v>1.1783312690273875E-2</v>
      </c>
      <c r="I196" s="1">
        <f t="shared" si="42"/>
        <v>1.0810828226201017E-4</v>
      </c>
      <c r="J196" s="1">
        <f t="shared" si="43"/>
        <v>5.8916563451369378E-2</v>
      </c>
      <c r="K196" s="1">
        <f t="shared" si="44"/>
        <v>5.4054033903005061E-4</v>
      </c>
      <c r="L196" s="1">
        <f t="shared" si="35"/>
        <v>1.9638854483789792E-4</v>
      </c>
      <c r="M196" s="1">
        <f t="shared" si="45"/>
        <v>9.448746121278815E-6</v>
      </c>
      <c r="N196" s="1">
        <f t="shared" si="36"/>
        <v>1.1783312690273875E-3</v>
      </c>
      <c r="O196" s="1">
        <f t="shared" si="46"/>
        <v>2.9275865103536079E-5</v>
      </c>
      <c r="P196" s="1">
        <f t="shared" si="37"/>
        <v>1.1783312690273875E-2</v>
      </c>
      <c r="Q196" s="1">
        <f t="shared" si="47"/>
        <v>9.2578414199015195E-5</v>
      </c>
    </row>
    <row r="197" spans="1:17">
      <c r="A197" s="1">
        <v>2.4999999999999999E-20</v>
      </c>
      <c r="B197" s="1">
        <f t="shared" si="48"/>
        <v>1.5102354602978055E-9</v>
      </c>
      <c r="C197" s="1">
        <f t="shared" si="38"/>
        <v>3.6368249044055169E-3</v>
      </c>
      <c r="D197" s="1">
        <f t="shared" si="39"/>
        <v>1.6365712069824827E-4</v>
      </c>
      <c r="E197" s="1">
        <f t="shared" si="40"/>
        <v>8.6254856512730855E-6</v>
      </c>
      <c r="F197" s="1">
        <f t="shared" si="33"/>
        <v>9.819427241894896E-4</v>
      </c>
      <c r="G197" s="1">
        <f t="shared" si="41"/>
        <v>2.8489036177789905E-5</v>
      </c>
      <c r="H197" s="1">
        <f t="shared" si="34"/>
        <v>9.8194272418948951E-3</v>
      </c>
      <c r="I197" s="1">
        <f t="shared" si="42"/>
        <v>9.0090242664753769E-5</v>
      </c>
      <c r="J197" s="1">
        <f t="shared" si="43"/>
        <v>4.9097136209474479E-2</v>
      </c>
      <c r="K197" s="1">
        <f t="shared" si="44"/>
        <v>4.5045046868432586E-4</v>
      </c>
      <c r="L197" s="1">
        <f t="shared" si="35"/>
        <v>1.6365712069824827E-4</v>
      </c>
      <c r="M197" s="1">
        <f t="shared" si="45"/>
        <v>7.8739553993592682E-6</v>
      </c>
      <c r="N197" s="1">
        <f t="shared" si="36"/>
        <v>9.819427241894896E-4</v>
      </c>
      <c r="O197" s="1">
        <f t="shared" si="46"/>
        <v>2.4396555731712396E-5</v>
      </c>
      <c r="P197" s="1">
        <f t="shared" si="37"/>
        <v>9.8194272418948951E-3</v>
      </c>
      <c r="Q197" s="1">
        <f t="shared" si="47"/>
        <v>7.7148683175446933E-5</v>
      </c>
    </row>
    <row r="198" spans="1:17">
      <c r="A198" s="1">
        <v>1.9999999999999999E-20</v>
      </c>
      <c r="B198" s="1">
        <f t="shared" si="48"/>
        <v>1.2081883682382444E-9</v>
      </c>
      <c r="C198" s="1">
        <f t="shared" si="38"/>
        <v>2.9094599235244133E-3</v>
      </c>
      <c r="D198" s="1">
        <f t="shared" si="39"/>
        <v>1.3092569655859861E-4</v>
      </c>
      <c r="E198" s="1">
        <f t="shared" si="40"/>
        <v>6.9003888347121565E-6</v>
      </c>
      <c r="F198" s="1">
        <f t="shared" si="33"/>
        <v>7.8555417935159168E-4</v>
      </c>
      <c r="G198" s="1">
        <f t="shared" si="41"/>
        <v>2.2791230826042168E-5</v>
      </c>
      <c r="H198" s="1">
        <f t="shared" si="34"/>
        <v>7.8555417935159168E-3</v>
      </c>
      <c r="I198" s="1">
        <f t="shared" si="42"/>
        <v>7.207220008893408E-5</v>
      </c>
      <c r="J198" s="1">
        <f t="shared" si="43"/>
        <v>3.927770896757958E-2</v>
      </c>
      <c r="K198" s="1">
        <f t="shared" si="44"/>
        <v>3.6036052387507228E-4</v>
      </c>
      <c r="L198" s="1">
        <f t="shared" si="35"/>
        <v>1.3092569655859861E-4</v>
      </c>
      <c r="M198" s="1">
        <f t="shared" si="45"/>
        <v>6.2991645581223134E-6</v>
      </c>
      <c r="N198" s="1">
        <f t="shared" si="36"/>
        <v>7.8555417935159168E-4</v>
      </c>
      <c r="O198" s="1">
        <f t="shared" si="46"/>
        <v>1.9517245768382658E-5</v>
      </c>
      <c r="P198" s="1">
        <f t="shared" si="37"/>
        <v>7.8555417935159168E-3</v>
      </c>
      <c r="Q198" s="1">
        <f t="shared" si="47"/>
        <v>6.171895028137233E-5</v>
      </c>
    </row>
    <row r="199" spans="1:17">
      <c r="A199" s="1">
        <v>1.5000000000000001E-20</v>
      </c>
      <c r="B199" s="1">
        <f t="shared" si="48"/>
        <v>9.0614127617868339E-10</v>
      </c>
      <c r="C199" s="1">
        <f t="shared" si="38"/>
        <v>2.1820949426433101E-3</v>
      </c>
      <c r="D199" s="1">
        <f t="shared" si="39"/>
        <v>9.819427241894896E-5</v>
      </c>
      <c r="E199" s="1">
        <f t="shared" si="40"/>
        <v>5.1752918613044163E-6</v>
      </c>
      <c r="F199" s="1">
        <f t="shared" si="33"/>
        <v>5.8916563451369376E-4</v>
      </c>
      <c r="G199" s="1">
        <f t="shared" si="41"/>
        <v>1.7093424532389664E-5</v>
      </c>
      <c r="H199" s="1">
        <f t="shared" si="34"/>
        <v>5.8916563451369376E-3</v>
      </c>
      <c r="I199" s="1">
        <f t="shared" si="42"/>
        <v>5.4054154534549953E-5</v>
      </c>
      <c r="J199" s="1">
        <f t="shared" si="43"/>
        <v>2.9458281725684689E-2</v>
      </c>
      <c r="K199" s="1">
        <f t="shared" si="44"/>
        <v>2.7027050460215148E-4</v>
      </c>
      <c r="L199" s="1">
        <f t="shared" si="35"/>
        <v>9.819427241894896E-5</v>
      </c>
      <c r="M199" s="1">
        <f t="shared" si="45"/>
        <v>4.7243735975679295E-6</v>
      </c>
      <c r="N199" s="1">
        <f t="shared" si="36"/>
        <v>5.8916563451369376E-4</v>
      </c>
      <c r="O199" s="1">
        <f t="shared" si="46"/>
        <v>1.4637935213546713E-5</v>
      </c>
      <c r="P199" s="1">
        <f t="shared" si="37"/>
        <v>5.8916563451369376E-3</v>
      </c>
      <c r="Q199" s="1">
        <f t="shared" si="47"/>
        <v>4.6289215516790832E-5</v>
      </c>
    </row>
    <row r="200" spans="1:17">
      <c r="A200" s="1">
        <v>9.9999999999999904E-21</v>
      </c>
      <c r="B200" s="1">
        <f t="shared" si="48"/>
        <v>6.0409418411912157E-10</v>
      </c>
      <c r="C200" s="1">
        <f t="shared" si="38"/>
        <v>1.4547299617622051E-3</v>
      </c>
      <c r="D200" s="1">
        <f t="shared" si="39"/>
        <v>6.5462848279299239E-5</v>
      </c>
      <c r="E200" s="1">
        <f t="shared" si="40"/>
        <v>3.4501947310498281E-6</v>
      </c>
      <c r="F200" s="1">
        <f t="shared" si="33"/>
        <v>3.9277708967579541E-4</v>
      </c>
      <c r="G200" s="1">
        <f t="shared" si="41"/>
        <v>1.1395617296832017E-5</v>
      </c>
      <c r="H200" s="1">
        <f t="shared" si="34"/>
        <v>3.9277708967579541E-3</v>
      </c>
      <c r="I200" s="1">
        <f t="shared" si="42"/>
        <v>3.6036106001600264E-5</v>
      </c>
      <c r="J200" s="1">
        <f t="shared" si="43"/>
        <v>1.9638854483789769E-2</v>
      </c>
      <c r="K200" s="1">
        <f t="shared" si="44"/>
        <v>1.8018041086542455E-4</v>
      </c>
      <c r="L200" s="1">
        <f t="shared" si="35"/>
        <v>6.5462848279299239E-5</v>
      </c>
      <c r="M200" s="1">
        <f t="shared" si="45"/>
        <v>3.1495825176960928E-6</v>
      </c>
      <c r="N200" s="1">
        <f t="shared" si="36"/>
        <v>3.9277708967579541E-4</v>
      </c>
      <c r="O200" s="1">
        <f t="shared" si="46"/>
        <v>9.7586240672043859E-6</v>
      </c>
      <c r="P200" s="1">
        <f t="shared" si="37"/>
        <v>3.9277708967579541E-3</v>
      </c>
      <c r="Q200" s="1">
        <f t="shared" si="47"/>
        <v>3.0859478881701916E-5</v>
      </c>
    </row>
  </sheetData>
  <mergeCells count="25">
    <mergeCell ref="P28:Q28"/>
    <mergeCell ref="C18:D18"/>
    <mergeCell ref="C19:D19"/>
    <mergeCell ref="C20:D20"/>
    <mergeCell ref="C21:D21"/>
    <mergeCell ref="C22:D22"/>
    <mergeCell ref="D28:E28"/>
    <mergeCell ref="F28:G28"/>
    <mergeCell ref="H28:I28"/>
    <mergeCell ref="J28:K28"/>
    <mergeCell ref="L28:M28"/>
    <mergeCell ref="N28:O28"/>
    <mergeCell ref="C17:D17"/>
    <mergeCell ref="C6:D6"/>
    <mergeCell ref="C7:D7"/>
    <mergeCell ref="E7:E11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293-7305-4643-97DC-90A81D3B6E90}">
  <dimension ref="A1:L24"/>
  <sheetViews>
    <sheetView topLeftCell="A2" workbookViewId="0">
      <selection activeCell="L22" sqref="L22"/>
    </sheetView>
  </sheetViews>
  <sheetFormatPr baseColWidth="10" defaultColWidth="8.83203125" defaultRowHeight="18"/>
  <cols>
    <col min="1" max="1" width="29.83203125" bestFit="1" customWidth="1"/>
    <col min="12" max="12" width="9" bestFit="1" customWidth="1"/>
  </cols>
  <sheetData>
    <row r="1" spans="1:9">
      <c r="A1" t="s">
        <v>147</v>
      </c>
    </row>
    <row r="3" spans="1:9">
      <c r="B3" t="s">
        <v>144</v>
      </c>
      <c r="C3" t="s">
        <v>145</v>
      </c>
      <c r="D3" t="s">
        <v>148</v>
      </c>
      <c r="E3" t="s">
        <v>160</v>
      </c>
      <c r="F3" t="s">
        <v>139</v>
      </c>
    </row>
    <row r="4" spans="1:9">
      <c r="A4" t="s">
        <v>130</v>
      </c>
      <c r="B4" s="1">
        <f>'WSO-UV_funnel_Ly-alpha_bg'!C27</f>
        <v>0.6682656946777753</v>
      </c>
      <c r="C4" s="1">
        <f>'WSO-UV_funnel_Ly-alpha_bg'!D27</f>
        <v>200.47970840333261</v>
      </c>
      <c r="D4" s="1">
        <f>'WSO-UV_funnel_Ly-alpha_bg'!E27</f>
        <v>33.413284733888766</v>
      </c>
      <c r="E4" s="1">
        <f>'WSO-UV_funnel_Ly-alpha_jupiter'!E27</f>
        <v>12023.875431416483</v>
      </c>
      <c r="F4" s="15">
        <f>2^15/B4</f>
        <v>49034.38895782327</v>
      </c>
      <c r="G4" s="15">
        <f>2^15/C4</f>
        <v>163.4479631927442</v>
      </c>
      <c r="H4" s="15">
        <f>2^15/D4</f>
        <v>980.68777915646535</v>
      </c>
      <c r="I4" s="15">
        <f>2^15/E4</f>
        <v>2.7252444677181535</v>
      </c>
    </row>
    <row r="5" spans="1:9">
      <c r="A5" t="s">
        <v>131</v>
      </c>
      <c r="B5" s="1">
        <f>'WSO-UV_funnel_Ly-alpha_bg'!C23</f>
        <v>90.179064803669277</v>
      </c>
      <c r="C5" s="1">
        <f>'WSO-UV_funnel_Ly-alpha_bg'!C23:E23</f>
        <v>90.179064803669277</v>
      </c>
      <c r="D5" s="1">
        <f>'WSO-UV_funnel_Ly-alpha_bg'!C23</f>
        <v>90.179064803669277</v>
      </c>
      <c r="E5" s="1">
        <f>'WSO-UV_funnel_Ly-alpha_jupiter'!C23</f>
        <v>90.179064803669277</v>
      </c>
    </row>
    <row r="6" spans="1:9">
      <c r="A6" t="s">
        <v>132</v>
      </c>
      <c r="B6" s="1">
        <f>SUM(B4:B5)</f>
        <v>90.847330498347048</v>
      </c>
      <c r="C6" s="1">
        <f>SUM(C4:C5)</f>
        <v>290.6587732070019</v>
      </c>
      <c r="D6" s="1">
        <f>SUM(D4:D5)</f>
        <v>123.59234953755805</v>
      </c>
      <c r="E6" s="1">
        <f>SUM(E4:E5)</f>
        <v>12114.054496220153</v>
      </c>
    </row>
    <row r="8" spans="1:9">
      <c r="A8" t="s">
        <v>133</v>
      </c>
    </row>
    <row r="9" spans="1:9">
      <c r="A9" t="s">
        <v>134</v>
      </c>
      <c r="B9">
        <v>8</v>
      </c>
      <c r="C9">
        <v>8</v>
      </c>
      <c r="D9">
        <v>8</v>
      </c>
      <c r="E9">
        <v>8</v>
      </c>
    </row>
    <row r="10" spans="1:9">
      <c r="A10" t="s">
        <v>135</v>
      </c>
      <c r="B10" s="15">
        <f>B9*B6*8/1000</f>
        <v>5.8142291518942111</v>
      </c>
      <c r="C10" s="15">
        <f>C9*C6*8/1000</f>
        <v>18.602161485248121</v>
      </c>
      <c r="D10" s="15">
        <f>D9*D6*8/1000</f>
        <v>7.9099103704037148</v>
      </c>
      <c r="E10" s="15">
        <f>E9*E6*8/1000</f>
        <v>775.29948775808975</v>
      </c>
    </row>
    <row r="11" spans="1:9">
      <c r="A11" t="s">
        <v>143</v>
      </c>
      <c r="B11" s="15">
        <f>B10/8*60</f>
        <v>43.606718639206584</v>
      </c>
      <c r="C11" s="15">
        <f>C10/8*60</f>
        <v>139.51621113936091</v>
      </c>
      <c r="D11" s="15">
        <f>D10/8*60</f>
        <v>59.324327778027865</v>
      </c>
      <c r="E11" s="15">
        <f>E10/8*60</f>
        <v>5814.7461581856733</v>
      </c>
    </row>
    <row r="13" spans="1:9">
      <c r="A13" t="s">
        <v>136</v>
      </c>
    </row>
    <row r="14" spans="1:9">
      <c r="A14" t="s">
        <v>141</v>
      </c>
      <c r="B14">
        <v>1024</v>
      </c>
      <c r="C14">
        <v>1024</v>
      </c>
      <c r="D14">
        <v>1024</v>
      </c>
      <c r="E14">
        <v>1024</v>
      </c>
    </row>
    <row r="15" spans="1:9">
      <c r="A15" t="s">
        <v>142</v>
      </c>
      <c r="B15">
        <v>200</v>
      </c>
      <c r="C15">
        <v>200</v>
      </c>
      <c r="D15">
        <v>200</v>
      </c>
      <c r="E15">
        <v>200</v>
      </c>
    </row>
    <row r="16" spans="1:9">
      <c r="A16" t="s">
        <v>137</v>
      </c>
      <c r="B16">
        <f>2*B14*B15</f>
        <v>409600</v>
      </c>
      <c r="C16">
        <f>2*C14*C15</f>
        <v>409600</v>
      </c>
      <c r="D16">
        <f>2*D14*D15</f>
        <v>409600</v>
      </c>
      <c r="E16">
        <f>2*E14*E15</f>
        <v>409600</v>
      </c>
    </row>
    <row r="17" spans="1:12">
      <c r="A17" t="s">
        <v>138</v>
      </c>
      <c r="B17">
        <v>0.5</v>
      </c>
      <c r="C17">
        <v>2</v>
      </c>
      <c r="D17">
        <v>10</v>
      </c>
      <c r="E17">
        <f>5/60</f>
        <v>8.3333333333333329E-2</v>
      </c>
    </row>
    <row r="18" spans="1:12">
      <c r="A18" t="s">
        <v>135</v>
      </c>
      <c r="B18" s="15">
        <f>B16*8/(60*B17)/1000</f>
        <v>109.22666666666667</v>
      </c>
      <c r="C18" s="15">
        <f>C16*8/(60*C17)/1000</f>
        <v>27.306666666666668</v>
      </c>
      <c r="D18" s="15">
        <f>D16*8/(60*D17)/1000</f>
        <v>5.4613333333333332</v>
      </c>
      <c r="E18" s="15">
        <f>E16*8/(60*E17)/1000</f>
        <v>655.36</v>
      </c>
    </row>
    <row r="19" spans="1:12">
      <c r="A19" t="s">
        <v>143</v>
      </c>
      <c r="B19" s="15">
        <f>B18/8*60</f>
        <v>819.2</v>
      </c>
      <c r="C19" s="15">
        <f>C18/8*60</f>
        <v>204.8</v>
      </c>
      <c r="D19" s="15">
        <f>D18/8*60</f>
        <v>40.96</v>
      </c>
      <c r="E19" s="15">
        <f>E18/8*60</f>
        <v>4915.2</v>
      </c>
    </row>
    <row r="21" spans="1:12">
      <c r="A21" t="s">
        <v>140</v>
      </c>
    </row>
    <row r="22" spans="1:12">
      <c r="A22" t="s">
        <v>134</v>
      </c>
      <c r="B22">
        <f>8+5*5*2</f>
        <v>58</v>
      </c>
      <c r="C22">
        <f>8+5*5*2</f>
        <v>58</v>
      </c>
      <c r="D22">
        <f>8+5*5*2</f>
        <v>58</v>
      </c>
      <c r="E22">
        <f>8+5*5*2</f>
        <v>58</v>
      </c>
      <c r="L22" s="44">
        <f>1*0.08*0.08*0.1*0.1</f>
        <v>6.4000000000000011E-5</v>
      </c>
    </row>
    <row r="23" spans="1:12">
      <c r="A23" t="s">
        <v>135</v>
      </c>
      <c r="B23" s="15">
        <f>B22*B6*8/1000</f>
        <v>42.153161351233031</v>
      </c>
      <c r="C23" s="15">
        <f>C22*C6*8/1000</f>
        <v>134.86567076804889</v>
      </c>
      <c r="D23" s="15">
        <f>D22*D6*8/1000</f>
        <v>57.346850185426938</v>
      </c>
      <c r="E23" s="15">
        <f>E22*E6*8/1000</f>
        <v>5620.9212862461509</v>
      </c>
      <c r="L23">
        <f>40000/300/60</f>
        <v>2.2222222222222223</v>
      </c>
    </row>
    <row r="24" spans="1:12">
      <c r="A24" t="s">
        <v>143</v>
      </c>
      <c r="B24" s="15">
        <f>B23/8*60</f>
        <v>316.14871013424772</v>
      </c>
      <c r="C24" s="15">
        <f>C23/8*60</f>
        <v>1011.4925307603667</v>
      </c>
      <c r="D24" s="15">
        <f>D23/8*60</f>
        <v>430.10137639070206</v>
      </c>
      <c r="E24" s="15">
        <f>E23/8*60</f>
        <v>42156.909646846128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236D-5C44-4152-8ADB-6DE2DF74F189}">
  <sheetPr>
    <tabColor rgb="FF00B0F0"/>
  </sheetPr>
  <dimension ref="A1:K552"/>
  <sheetViews>
    <sheetView workbookViewId="0">
      <selection activeCell="G24" sqref="G24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203">
        <v>170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28">
        <v>38</v>
      </c>
      <c r="D6" s="228"/>
      <c r="E6" s="229"/>
      <c r="F6" s="16" t="s">
        <v>153</v>
      </c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0.75</v>
      </c>
      <c r="D9" s="193"/>
      <c r="E9" s="194"/>
      <c r="F9" s="207"/>
      <c r="G9" s="16"/>
      <c r="H9" s="16"/>
    </row>
    <row r="10" spans="1:8">
      <c r="A10" s="16"/>
      <c r="B10" s="20" t="s">
        <v>87</v>
      </c>
      <c r="C10" s="214">
        <v>0.44</v>
      </c>
      <c r="D10" s="214"/>
      <c r="E10" s="215"/>
      <c r="F10" s="42" t="s">
        <v>164</v>
      </c>
      <c r="G10" s="16"/>
      <c r="H10" s="16"/>
    </row>
    <row r="11" spans="1:8">
      <c r="A11" s="16"/>
      <c r="B11" s="20" t="s">
        <v>90</v>
      </c>
      <c r="C11" s="214">
        <v>0.36</v>
      </c>
      <c r="D11" s="214"/>
      <c r="E11" s="215"/>
      <c r="F11" s="43" t="s">
        <v>165</v>
      </c>
      <c r="G11" s="16"/>
      <c r="H11" s="16"/>
    </row>
    <row r="12" spans="1:8">
      <c r="A12" s="16"/>
      <c r="B12" s="45" t="s">
        <v>92</v>
      </c>
      <c r="C12" s="233">
        <f>((C5/2)^2*PI()-(C6/2)^2*PI())*C7*C8*C9*C10*C11</f>
        <v>1441.0070811786106</v>
      </c>
      <c r="D12" s="233"/>
      <c r="E12" s="234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</row>
    <row r="16" spans="1:8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</row>
    <row r="17" spans="1:11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</row>
    <row r="19" spans="1:11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</row>
    <row r="20" spans="1:11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</row>
    <row r="21" spans="1:11">
      <c r="A21" s="16"/>
      <c r="B21" s="46"/>
      <c r="C21" s="46"/>
      <c r="D21" s="46"/>
      <c r="E21" s="46"/>
      <c r="F21" s="16"/>
      <c r="G21" s="16"/>
      <c r="H21" s="16"/>
    </row>
    <row r="22" spans="1:11">
      <c r="A22" s="16"/>
      <c r="B22" s="190"/>
      <c r="C22" s="190"/>
      <c r="D22" s="190"/>
      <c r="E22" s="190"/>
      <c r="F22" s="16"/>
      <c r="G22" s="16"/>
      <c r="H22" s="16"/>
    </row>
    <row r="23" spans="1:11">
      <c r="A23" s="16"/>
      <c r="B23" s="16"/>
      <c r="C23" s="16"/>
      <c r="D23" s="16"/>
      <c r="E23" s="16"/>
      <c r="F23" s="16"/>
      <c r="G23" s="16"/>
      <c r="H23" s="16"/>
    </row>
    <row r="24" spans="1:11">
      <c r="A24" s="16"/>
      <c r="B24" s="17"/>
      <c r="C24" s="17"/>
      <c r="D24" s="17"/>
      <c r="E24" s="17"/>
      <c r="F24" s="41"/>
      <c r="G24" s="41"/>
      <c r="H24" s="16"/>
      <c r="I24" s="190"/>
      <c r="J24" s="190"/>
      <c r="K24" s="190"/>
    </row>
    <row r="25" spans="1:11">
      <c r="A25" s="16"/>
      <c r="B25" s="17"/>
      <c r="C25" s="17"/>
      <c r="D25" s="17"/>
      <c r="E25" s="17"/>
      <c r="F25" s="16"/>
      <c r="G25" s="16"/>
      <c r="H25" s="16"/>
      <c r="I25" s="190"/>
      <c r="J25" s="190"/>
      <c r="K25" s="190"/>
    </row>
    <row r="26" spans="1:11">
      <c r="A26" s="16"/>
      <c r="B26" s="17"/>
      <c r="C26" s="17"/>
      <c r="D26" s="17"/>
      <c r="E26" s="17"/>
      <c r="F26" s="16"/>
      <c r="G26" s="16"/>
      <c r="H26" s="16"/>
      <c r="I26" s="16"/>
      <c r="J26" s="16"/>
      <c r="K26" s="16"/>
    </row>
    <row r="27" spans="1:11">
      <c r="A27" s="16"/>
      <c r="B27" s="17"/>
      <c r="C27" s="17"/>
      <c r="D27" s="17"/>
      <c r="E27" s="17"/>
      <c r="F27" s="16"/>
      <c r="G27" s="16"/>
      <c r="H27" s="16"/>
      <c r="I27" s="17"/>
      <c r="J27" s="17"/>
      <c r="K27" s="31"/>
    </row>
    <row r="28" spans="1:11">
      <c r="A28" s="16"/>
      <c r="B28" s="17"/>
      <c r="C28" s="17"/>
      <c r="D28" s="17"/>
      <c r="E28" s="17"/>
      <c r="F28" s="16"/>
      <c r="G28" s="16"/>
      <c r="H28" s="16"/>
      <c r="I28" s="17"/>
      <c r="J28" s="17"/>
      <c r="K28" s="31"/>
    </row>
    <row r="29" spans="1:11">
      <c r="A29" s="16"/>
      <c r="B29" s="17"/>
      <c r="C29" s="17"/>
      <c r="D29" s="17"/>
      <c r="E29" s="17"/>
      <c r="F29" s="190"/>
      <c r="G29" s="190"/>
      <c r="H29" s="190"/>
      <c r="I29" s="17"/>
      <c r="J29" s="17"/>
      <c r="K29" s="31"/>
    </row>
    <row r="30" spans="1:11">
      <c r="A30" s="16"/>
      <c r="B30" s="17"/>
      <c r="C30" s="17"/>
      <c r="D30" s="17"/>
      <c r="E30" s="17"/>
      <c r="F30" s="46"/>
      <c r="G30" s="46"/>
      <c r="H30" s="16"/>
      <c r="I30" s="17"/>
      <c r="J30" s="17"/>
      <c r="K30" s="31"/>
    </row>
    <row r="31" spans="1:11">
      <c r="A31" s="16"/>
      <c r="B31" s="17"/>
      <c r="C31" s="17"/>
      <c r="D31" s="17"/>
      <c r="E31" s="17"/>
      <c r="F31" s="190"/>
      <c r="G31" s="190"/>
      <c r="H31" s="16"/>
      <c r="I31" s="17"/>
      <c r="J31" s="17"/>
      <c r="K31" s="31"/>
    </row>
    <row r="32" spans="1:11">
      <c r="A32" s="16"/>
      <c r="B32" s="17"/>
      <c r="C32" s="17"/>
      <c r="D32" s="17"/>
      <c r="E32" s="17"/>
      <c r="F32" s="16"/>
      <c r="G32" s="16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F544" s="17"/>
      <c r="G544" s="17"/>
    </row>
    <row r="545" spans="1:7">
      <c r="A545" s="16"/>
      <c r="F545" s="17"/>
      <c r="G545" s="17"/>
    </row>
    <row r="546" spans="1:7">
      <c r="A546" s="16"/>
      <c r="F546" s="17"/>
      <c r="G546" s="17"/>
    </row>
    <row r="547" spans="1:7">
      <c r="A547" s="16"/>
      <c r="F547" s="17"/>
      <c r="G547" s="17"/>
    </row>
    <row r="548" spans="1:7">
      <c r="A548" s="16"/>
      <c r="F548" s="17"/>
      <c r="G548" s="17"/>
    </row>
    <row r="549" spans="1:7">
      <c r="A549" s="16"/>
      <c r="F549" s="17"/>
      <c r="G549" s="17"/>
    </row>
    <row r="550" spans="1:7">
      <c r="A550" s="16"/>
      <c r="F550" s="17"/>
      <c r="G550" s="17"/>
    </row>
    <row r="551" spans="1:7">
      <c r="A551" s="16"/>
      <c r="F551" s="17"/>
      <c r="G551" s="17"/>
    </row>
    <row r="552" spans="1:7">
      <c r="A552" s="16"/>
      <c r="F552" s="17"/>
      <c r="G552" s="17"/>
    </row>
  </sheetData>
  <mergeCells count="23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I24:K24"/>
    <mergeCell ref="I25:K25"/>
    <mergeCell ref="F29:H29"/>
    <mergeCell ref="F31:G31"/>
    <mergeCell ref="C16:E16"/>
    <mergeCell ref="C17:E17"/>
    <mergeCell ref="C18:E18"/>
    <mergeCell ref="C19:E19"/>
    <mergeCell ref="C20:E20"/>
    <mergeCell ref="B22:C22"/>
    <mergeCell ref="D22:E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D8CD-4B94-41CD-97FF-9E8221E37396}">
  <sheetPr>
    <tabColor rgb="FF00B0F0"/>
  </sheetPr>
  <dimension ref="A1:K552"/>
  <sheetViews>
    <sheetView workbookViewId="0">
      <selection activeCell="C12" sqref="C12:E12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166</v>
      </c>
    </row>
    <row r="2" spans="1:8">
      <c r="A2" s="16" t="s">
        <v>167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203">
        <v>170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28">
        <v>38</v>
      </c>
      <c r="D6" s="228"/>
      <c r="E6" s="229"/>
      <c r="F6" s="16" t="s">
        <v>153</v>
      </c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0.75</v>
      </c>
      <c r="D9" s="193"/>
      <c r="E9" s="194"/>
      <c r="F9" s="207"/>
      <c r="G9" s="16"/>
      <c r="H9" s="16"/>
    </row>
    <row r="10" spans="1:8">
      <c r="A10" s="16"/>
      <c r="B10" s="20" t="s">
        <v>87</v>
      </c>
      <c r="C10" s="214">
        <v>0.4</v>
      </c>
      <c r="D10" s="214"/>
      <c r="E10" s="215"/>
      <c r="F10" s="42" t="s">
        <v>152</v>
      </c>
      <c r="G10" s="16"/>
      <c r="H10" s="16"/>
    </row>
    <row r="11" spans="1:8">
      <c r="A11" s="16"/>
      <c r="B11" s="20" t="s">
        <v>90</v>
      </c>
      <c r="C11" s="214">
        <v>0.3</v>
      </c>
      <c r="D11" s="214"/>
      <c r="E11" s="215"/>
      <c r="F11" s="43" t="s">
        <v>152</v>
      </c>
      <c r="G11" s="16"/>
      <c r="H11" s="16"/>
    </row>
    <row r="12" spans="1:8">
      <c r="A12" s="16"/>
      <c r="B12" s="45" t="s">
        <v>92</v>
      </c>
      <c r="C12" s="233">
        <f>((C5/2)^2*PI()-(C6/2)^2*PI())*C7*C8*C9*C10*C11</f>
        <v>1091.672031195917</v>
      </c>
      <c r="D12" s="233"/>
      <c r="E12" s="234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</row>
    <row r="16" spans="1:8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</row>
    <row r="17" spans="1:11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</row>
    <row r="19" spans="1:11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</row>
    <row r="20" spans="1:11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</row>
    <row r="21" spans="1:11">
      <c r="A21" s="16"/>
      <c r="B21" s="46"/>
      <c r="C21" s="46"/>
      <c r="D21" s="46"/>
      <c r="E21" s="46"/>
      <c r="F21" s="16"/>
      <c r="G21" s="16"/>
      <c r="H21" s="16"/>
    </row>
    <row r="22" spans="1:11">
      <c r="A22" s="16"/>
      <c r="B22" s="190"/>
      <c r="C22" s="190"/>
      <c r="D22" s="190"/>
      <c r="E22" s="190"/>
      <c r="F22" s="16"/>
      <c r="G22" s="16"/>
      <c r="H22" s="16"/>
    </row>
    <row r="23" spans="1:11">
      <c r="A23" s="16"/>
      <c r="B23" s="16"/>
      <c r="C23" s="16"/>
      <c r="D23" s="16"/>
      <c r="E23" s="16"/>
      <c r="F23" s="16"/>
      <c r="G23" s="16"/>
      <c r="H23" s="16"/>
    </row>
    <row r="24" spans="1:11">
      <c r="A24" s="16"/>
      <c r="B24" s="17"/>
      <c r="C24" s="17"/>
      <c r="D24" s="17"/>
      <c r="E24" s="17"/>
      <c r="F24" s="41"/>
      <c r="G24" s="41"/>
      <c r="H24" s="16"/>
      <c r="I24" s="190"/>
      <c r="J24" s="190"/>
      <c r="K24" s="190"/>
    </row>
    <row r="25" spans="1:11">
      <c r="A25" s="16"/>
      <c r="B25" s="17"/>
      <c r="C25" s="17"/>
      <c r="D25" s="17"/>
      <c r="E25" s="17"/>
      <c r="F25" s="16"/>
      <c r="G25" s="16"/>
      <c r="H25" s="16"/>
      <c r="I25" s="190"/>
      <c r="J25" s="190"/>
      <c r="K25" s="190"/>
    </row>
    <row r="26" spans="1:11">
      <c r="A26" s="16"/>
      <c r="B26" s="17"/>
      <c r="C26" s="17"/>
      <c r="D26" s="17"/>
      <c r="E26" s="17"/>
      <c r="F26" s="16"/>
      <c r="G26" s="16"/>
      <c r="H26" s="16"/>
      <c r="I26" s="16"/>
      <c r="J26" s="16"/>
      <c r="K26" s="16"/>
    </row>
    <row r="27" spans="1:11">
      <c r="A27" s="16"/>
      <c r="B27" s="17"/>
      <c r="C27" s="17"/>
      <c r="D27" s="17"/>
      <c r="E27" s="17"/>
      <c r="F27" s="16"/>
      <c r="G27" s="16"/>
      <c r="H27" s="16"/>
      <c r="I27" s="17"/>
      <c r="J27" s="17"/>
      <c r="K27" s="31"/>
    </row>
    <row r="28" spans="1:11">
      <c r="A28" s="16"/>
      <c r="B28" s="17"/>
      <c r="C28" s="17"/>
      <c r="D28" s="17"/>
      <c r="E28" s="17"/>
      <c r="F28" s="16"/>
      <c r="G28" s="16"/>
      <c r="H28" s="16"/>
      <c r="I28" s="17"/>
      <c r="J28" s="17"/>
      <c r="K28" s="31"/>
    </row>
    <row r="29" spans="1:11">
      <c r="A29" s="16"/>
      <c r="B29" s="17"/>
      <c r="C29" s="17"/>
      <c r="D29" s="17"/>
      <c r="E29" s="17"/>
      <c r="F29" s="190"/>
      <c r="G29" s="190"/>
      <c r="H29" s="190"/>
      <c r="I29" s="17"/>
      <c r="J29" s="17"/>
      <c r="K29" s="31"/>
    </row>
    <row r="30" spans="1:11">
      <c r="A30" s="16"/>
      <c r="B30" s="17"/>
      <c r="C30" s="17"/>
      <c r="D30" s="17"/>
      <c r="E30" s="17"/>
      <c r="F30" s="46"/>
      <c r="G30" s="46"/>
      <c r="H30" s="16"/>
      <c r="I30" s="17"/>
      <c r="J30" s="17"/>
      <c r="K30" s="31"/>
    </row>
    <row r="31" spans="1:11">
      <c r="A31" s="16"/>
      <c r="B31" s="17"/>
      <c r="C31" s="17"/>
      <c r="D31" s="17"/>
      <c r="E31" s="17"/>
      <c r="F31" s="190"/>
      <c r="G31" s="190"/>
      <c r="H31" s="16"/>
      <c r="I31" s="17"/>
      <c r="J31" s="17"/>
      <c r="K31" s="31"/>
    </row>
    <row r="32" spans="1:11">
      <c r="A32" s="16"/>
      <c r="B32" s="17"/>
      <c r="C32" s="17"/>
      <c r="D32" s="17"/>
      <c r="E32" s="17"/>
      <c r="F32" s="16"/>
      <c r="G32" s="16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F544" s="17"/>
      <c r="G544" s="17"/>
    </row>
    <row r="545" spans="1:7">
      <c r="A545" s="16"/>
      <c r="F545" s="17"/>
      <c r="G545" s="17"/>
    </row>
    <row r="546" spans="1:7">
      <c r="A546" s="16"/>
      <c r="F546" s="17"/>
      <c r="G546" s="17"/>
    </row>
    <row r="547" spans="1:7">
      <c r="A547" s="16"/>
      <c r="F547" s="17"/>
      <c r="G547" s="17"/>
    </row>
    <row r="548" spans="1:7">
      <c r="A548" s="16"/>
      <c r="F548" s="17"/>
      <c r="G548" s="17"/>
    </row>
    <row r="549" spans="1:7">
      <c r="A549" s="16"/>
      <c r="F549" s="17"/>
      <c r="G549" s="17"/>
    </row>
    <row r="550" spans="1:7">
      <c r="A550" s="16"/>
      <c r="F550" s="17"/>
      <c r="G550" s="17"/>
    </row>
    <row r="551" spans="1:7">
      <c r="A551" s="16"/>
      <c r="F551" s="17"/>
      <c r="G551" s="17"/>
    </row>
    <row r="552" spans="1:7">
      <c r="A552" s="16"/>
      <c r="F552" s="17"/>
      <c r="G552" s="17"/>
    </row>
  </sheetData>
  <mergeCells count="23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I24:K24"/>
    <mergeCell ref="I25:K25"/>
    <mergeCell ref="F29:H29"/>
    <mergeCell ref="F31:G31"/>
    <mergeCell ref="C16:E16"/>
    <mergeCell ref="C17:E17"/>
    <mergeCell ref="C18:E18"/>
    <mergeCell ref="C19:E19"/>
    <mergeCell ref="C20:E20"/>
    <mergeCell ref="B22:C22"/>
    <mergeCell ref="D22:E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F8D0-EB6D-4A5B-9A9A-06E932EB5115}">
  <sheetPr>
    <tabColor rgb="FF00B0F0"/>
  </sheetPr>
  <dimension ref="A1:K543"/>
  <sheetViews>
    <sheetView workbookViewId="0">
      <selection activeCell="C25" sqref="C25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168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203">
        <v>170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28">
        <v>38</v>
      </c>
      <c r="D6" s="228"/>
      <c r="E6" s="229"/>
      <c r="F6" s="16" t="s">
        <v>153</v>
      </c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0.75</v>
      </c>
      <c r="D9" s="193"/>
      <c r="E9" s="194"/>
      <c r="F9" s="207"/>
      <c r="G9" s="16"/>
      <c r="H9" s="16"/>
    </row>
    <row r="10" spans="1:8">
      <c r="A10" s="16"/>
      <c r="B10" s="20" t="s">
        <v>87</v>
      </c>
      <c r="C10" s="214">
        <v>0.3</v>
      </c>
      <c r="D10" s="214"/>
      <c r="E10" s="215"/>
      <c r="F10" s="42" t="s">
        <v>169</v>
      </c>
      <c r="G10" s="16"/>
      <c r="H10" s="16"/>
    </row>
    <row r="11" spans="1:8">
      <c r="A11" s="16"/>
      <c r="B11" s="20" t="s">
        <v>90</v>
      </c>
      <c r="C11" s="214">
        <v>0.2</v>
      </c>
      <c r="D11" s="214"/>
      <c r="E11" s="215"/>
      <c r="F11" s="43" t="s">
        <v>170</v>
      </c>
      <c r="G11" s="16"/>
      <c r="H11" s="16"/>
    </row>
    <row r="12" spans="1:8">
      <c r="A12" s="16"/>
      <c r="B12" s="45" t="s">
        <v>92</v>
      </c>
      <c r="C12" s="233">
        <f>((C5/2)^2*PI()-(C6/2)^2*PI())*C7*C8*C9*C10*C11</f>
        <v>545.83601559795852</v>
      </c>
      <c r="D12" s="233"/>
      <c r="E12" s="234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</row>
    <row r="16" spans="1:8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</row>
    <row r="17" spans="1:11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</row>
    <row r="19" spans="1:11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</row>
    <row r="20" spans="1:11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</row>
    <row r="21" spans="1:11">
      <c r="A21" s="16"/>
      <c r="B21" s="192"/>
      <c r="C21" s="192"/>
      <c r="D21" s="192"/>
      <c r="E21" s="192"/>
      <c r="F21" s="192"/>
      <c r="G21" s="192"/>
      <c r="H21" s="16"/>
      <c r="I21" s="17"/>
      <c r="J21" s="17"/>
      <c r="K21" s="31"/>
    </row>
    <row r="22" spans="1:11">
      <c r="A22" s="16"/>
      <c r="B22" s="190"/>
      <c r="C22" s="190"/>
      <c r="D22" s="190"/>
      <c r="E22" s="190"/>
      <c r="F22" s="190"/>
      <c r="G22" s="190"/>
      <c r="H22" s="16"/>
      <c r="I22" s="17"/>
      <c r="J22" s="17"/>
      <c r="K22" s="31"/>
    </row>
    <row r="23" spans="1:11">
      <c r="A23" s="16"/>
      <c r="B23" s="16"/>
      <c r="C23" s="16"/>
      <c r="D23" s="16"/>
      <c r="E23" s="16"/>
      <c r="F23" s="16"/>
      <c r="G23" s="16"/>
      <c r="H23" s="31"/>
      <c r="I23" s="17"/>
      <c r="J23" s="17"/>
      <c r="K23" s="31"/>
    </row>
    <row r="24" spans="1:11">
      <c r="A24" s="16"/>
      <c r="B24" s="17"/>
      <c r="C24" s="17"/>
      <c r="D24" s="17"/>
      <c r="E24" s="17"/>
      <c r="F24" s="17"/>
      <c r="G24" s="17"/>
      <c r="H24" s="31"/>
      <c r="I24" s="17"/>
      <c r="J24" s="17"/>
      <c r="K24" s="31"/>
    </row>
    <row r="25" spans="1:11">
      <c r="A25" s="16"/>
      <c r="B25" s="17"/>
      <c r="C25" s="17"/>
      <c r="D25" s="17"/>
      <c r="E25" s="17"/>
      <c r="F25" s="17"/>
      <c r="G25" s="17"/>
      <c r="H25" s="31"/>
      <c r="I25" s="17"/>
      <c r="J25" s="17"/>
      <c r="K25" s="31"/>
    </row>
    <row r="26" spans="1:11">
      <c r="A26" s="16"/>
      <c r="B26" s="17"/>
      <c r="C26" s="17"/>
      <c r="D26" s="17"/>
      <c r="E26" s="17"/>
      <c r="F26" s="17"/>
      <c r="G26" s="17"/>
      <c r="H26" s="31"/>
      <c r="I26" s="17"/>
      <c r="J26" s="17"/>
      <c r="K26" s="31"/>
    </row>
    <row r="27" spans="1:11">
      <c r="A27" s="16"/>
      <c r="B27" s="17"/>
      <c r="C27" s="17"/>
      <c r="D27" s="17"/>
      <c r="E27" s="17"/>
      <c r="F27" s="17"/>
      <c r="G27" s="17"/>
      <c r="H27" s="31"/>
      <c r="I27" s="17"/>
      <c r="J27" s="17"/>
      <c r="K27" s="31"/>
    </row>
    <row r="28" spans="1:11">
      <c r="A28" s="16"/>
      <c r="B28" s="17"/>
      <c r="C28" s="17"/>
      <c r="D28" s="17"/>
      <c r="E28" s="17"/>
      <c r="F28" s="17"/>
      <c r="G28" s="17"/>
      <c r="H28" s="31"/>
      <c r="I28" s="17"/>
      <c r="J28" s="17"/>
      <c r="K28" s="31"/>
    </row>
    <row r="29" spans="1:11">
      <c r="A29" s="16"/>
      <c r="B29" s="17"/>
      <c r="C29" s="17"/>
      <c r="D29" s="17"/>
      <c r="E29" s="17"/>
      <c r="F29" s="17"/>
      <c r="G29" s="17"/>
      <c r="H29" s="31"/>
      <c r="I29" s="17"/>
      <c r="J29" s="17"/>
      <c r="K29" s="31"/>
    </row>
    <row r="30" spans="1:11">
      <c r="A30" s="16"/>
      <c r="B30" s="17"/>
      <c r="C30" s="17"/>
      <c r="D30" s="17"/>
      <c r="E30" s="17"/>
      <c r="F30" s="17"/>
      <c r="G30" s="17"/>
      <c r="H30" s="31"/>
      <c r="I30" s="17"/>
      <c r="J30" s="17"/>
      <c r="K30" s="31"/>
    </row>
    <row r="31" spans="1:11">
      <c r="A31" s="16"/>
      <c r="B31" s="17"/>
      <c r="C31" s="17"/>
      <c r="D31" s="17"/>
      <c r="E31" s="17"/>
      <c r="F31" s="17"/>
      <c r="G31" s="17"/>
      <c r="H31" s="31"/>
      <c r="I31" s="17"/>
      <c r="J31" s="17"/>
      <c r="K31" s="31"/>
    </row>
    <row r="32" spans="1:11">
      <c r="A32" s="16"/>
      <c r="B32" s="17"/>
      <c r="C32" s="17"/>
      <c r="D32" s="17"/>
      <c r="E32" s="17"/>
      <c r="F32" s="17"/>
      <c r="G32" s="17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</row>
    <row r="259" spans="1:11">
      <c r="A259" s="16"/>
      <c r="B259" s="17"/>
      <c r="C259" s="17"/>
      <c r="D259" s="17"/>
      <c r="E259" s="17"/>
      <c r="F259" s="17"/>
      <c r="G259" s="17"/>
      <c r="H259" s="31"/>
    </row>
    <row r="260" spans="1:11">
      <c r="A260" s="16"/>
      <c r="B260" s="17"/>
      <c r="C260" s="17"/>
      <c r="D260" s="17"/>
      <c r="E260" s="17"/>
      <c r="F260" s="17"/>
      <c r="G260" s="17"/>
      <c r="H260" s="31"/>
    </row>
    <row r="261" spans="1:11">
      <c r="A261" s="16"/>
      <c r="B261" s="17"/>
      <c r="C261" s="17"/>
      <c r="D261" s="17"/>
      <c r="E261" s="17"/>
      <c r="F261" s="17"/>
      <c r="G261" s="17"/>
      <c r="H261" s="31"/>
    </row>
    <row r="262" spans="1:11">
      <c r="A262" s="16"/>
      <c r="B262" s="17"/>
      <c r="C262" s="17"/>
      <c r="D262" s="17"/>
      <c r="E262" s="17"/>
      <c r="F262" s="17"/>
      <c r="G262" s="17"/>
      <c r="H262" s="31"/>
    </row>
    <row r="263" spans="1:11">
      <c r="A263" s="16"/>
      <c r="B263" s="17"/>
      <c r="C263" s="17"/>
      <c r="D263" s="17"/>
      <c r="E263" s="17"/>
      <c r="F263" s="17"/>
      <c r="G263" s="17"/>
    </row>
    <row r="264" spans="1:11">
      <c r="A264" s="16"/>
      <c r="B264" s="17"/>
      <c r="C264" s="17"/>
      <c r="D264" s="17"/>
      <c r="E264" s="17"/>
      <c r="F264" s="17"/>
      <c r="G264" s="17"/>
    </row>
    <row r="265" spans="1:11">
      <c r="A265" s="16"/>
      <c r="B265" s="17"/>
      <c r="C265" s="17"/>
      <c r="D265" s="17"/>
      <c r="E265" s="17"/>
      <c r="F265" s="17"/>
      <c r="G265" s="17"/>
    </row>
    <row r="266" spans="1:11">
      <c r="A266" s="16"/>
      <c r="B266" s="17"/>
      <c r="C266" s="17"/>
      <c r="D266" s="17"/>
      <c r="E266" s="17"/>
      <c r="F266" s="17"/>
      <c r="G266" s="17"/>
    </row>
    <row r="267" spans="1:11">
      <c r="A267" s="16"/>
      <c r="B267" s="17"/>
      <c r="C267" s="17"/>
      <c r="D267" s="17"/>
      <c r="E267" s="17"/>
      <c r="F267" s="17"/>
      <c r="G267" s="17"/>
    </row>
    <row r="268" spans="1:11">
      <c r="A268" s="16"/>
      <c r="B268" s="17"/>
      <c r="C268" s="17"/>
      <c r="D268" s="17"/>
      <c r="E268" s="17"/>
      <c r="F268" s="17"/>
      <c r="G268" s="17"/>
    </row>
    <row r="269" spans="1:11">
      <c r="A269" s="16"/>
      <c r="B269" s="17"/>
      <c r="C269" s="17"/>
      <c r="D269" s="17"/>
      <c r="E269" s="17"/>
      <c r="F269" s="17"/>
      <c r="G269" s="17"/>
    </row>
    <row r="270" spans="1:11">
      <c r="A270" s="16"/>
      <c r="B270" s="17"/>
      <c r="C270" s="17"/>
      <c r="D270" s="17"/>
      <c r="E270" s="17"/>
      <c r="F270" s="17"/>
      <c r="G270" s="17"/>
    </row>
    <row r="271" spans="1:11">
      <c r="A271" s="16"/>
      <c r="B271" s="17"/>
      <c r="C271" s="17"/>
      <c r="D271" s="17"/>
      <c r="E271" s="17"/>
      <c r="F271" s="17"/>
      <c r="G271" s="17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</sheetData>
  <mergeCells count="21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B22:C22"/>
    <mergeCell ref="D22:E22"/>
    <mergeCell ref="F22:G22"/>
    <mergeCell ref="C16:E16"/>
    <mergeCell ref="C17:E17"/>
    <mergeCell ref="C18:E18"/>
    <mergeCell ref="C19:E19"/>
    <mergeCell ref="C20:E20"/>
    <mergeCell ref="B21:G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D391-15A9-4A03-B05E-51E2E94B6623}">
  <sheetPr>
    <tabColor rgb="FF00B0F0"/>
  </sheetPr>
  <dimension ref="A1:K543"/>
  <sheetViews>
    <sheetView topLeftCell="B1" workbookViewId="0">
      <selection activeCell="D29" sqref="D29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168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203">
        <v>170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28">
        <v>38</v>
      </c>
      <c r="D6" s="228"/>
      <c r="E6" s="229"/>
      <c r="F6" s="16" t="s">
        <v>153</v>
      </c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0.75</v>
      </c>
      <c r="D9" s="193"/>
      <c r="E9" s="194"/>
      <c r="F9" s="207"/>
      <c r="G9" s="16"/>
      <c r="H9" s="16"/>
    </row>
    <row r="10" spans="1:8">
      <c r="A10" s="16"/>
      <c r="B10" s="20" t="s">
        <v>87</v>
      </c>
      <c r="C10" s="214">
        <f>0.04/C11</f>
        <v>0.26666666666666666</v>
      </c>
      <c r="D10" s="214"/>
      <c r="E10" s="215"/>
      <c r="F10" s="42" t="s">
        <v>173</v>
      </c>
      <c r="G10" s="16"/>
      <c r="H10" s="16"/>
    </row>
    <row r="11" spans="1:8">
      <c r="A11" s="16"/>
      <c r="B11" s="20" t="s">
        <v>90</v>
      </c>
      <c r="C11" s="214">
        <v>0.15</v>
      </c>
      <c r="D11" s="214"/>
      <c r="E11" s="215"/>
      <c r="F11" s="43" t="s">
        <v>173</v>
      </c>
      <c r="G11" s="16"/>
      <c r="H11" s="16"/>
    </row>
    <row r="12" spans="1:8">
      <c r="A12" s="16"/>
      <c r="B12" s="45" t="s">
        <v>92</v>
      </c>
      <c r="C12" s="233">
        <f>((C5/2)^2*PI()-(C6/2)^2*PI())*C7*C8*C9*C10*C11</f>
        <v>363.89067706530574</v>
      </c>
      <c r="D12" s="233"/>
      <c r="E12" s="234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</row>
    <row r="16" spans="1:8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</row>
    <row r="17" spans="1:11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</row>
    <row r="19" spans="1:11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</row>
    <row r="20" spans="1:11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</row>
    <row r="21" spans="1:11">
      <c r="A21" s="16"/>
      <c r="B21" s="192"/>
      <c r="C21" s="192"/>
      <c r="D21" s="192"/>
      <c r="E21" s="192"/>
      <c r="F21" s="192"/>
      <c r="G21" s="192"/>
      <c r="H21" s="16"/>
      <c r="I21" s="17"/>
      <c r="J21" s="17"/>
      <c r="K21" s="31"/>
    </row>
    <row r="22" spans="1:11">
      <c r="A22" s="16"/>
      <c r="B22" s="190"/>
      <c r="C22" s="190"/>
      <c r="D22" s="190"/>
      <c r="E22" s="190"/>
      <c r="F22" s="190"/>
      <c r="G22" s="190"/>
      <c r="H22" s="16"/>
      <c r="I22" s="17"/>
      <c r="J22" s="17"/>
      <c r="K22" s="31"/>
    </row>
    <row r="23" spans="1:11">
      <c r="A23" s="16"/>
      <c r="B23" s="16"/>
      <c r="C23" s="16"/>
      <c r="D23" s="16"/>
      <c r="E23" s="16"/>
      <c r="F23" s="16"/>
      <c r="G23" s="16"/>
      <c r="H23" s="31"/>
      <c r="I23" s="17"/>
      <c r="J23" s="17"/>
      <c r="K23" s="31"/>
    </row>
    <row r="24" spans="1:11">
      <c r="A24" s="16"/>
      <c r="B24" s="17"/>
      <c r="C24" s="17"/>
      <c r="D24" s="17"/>
      <c r="E24" s="17"/>
      <c r="F24" s="17"/>
      <c r="G24" s="17"/>
      <c r="H24" s="31"/>
      <c r="I24" s="17"/>
      <c r="J24" s="17"/>
      <c r="K24" s="31"/>
    </row>
    <row r="25" spans="1:11">
      <c r="A25" s="16"/>
      <c r="B25" s="17"/>
      <c r="C25" s="17"/>
      <c r="D25" s="17"/>
      <c r="E25" s="17"/>
      <c r="F25" s="17"/>
      <c r="G25" s="17"/>
      <c r="H25" s="31"/>
      <c r="I25" s="17"/>
      <c r="J25" s="17"/>
      <c r="K25" s="31"/>
    </row>
    <row r="26" spans="1:11">
      <c r="A26" s="16"/>
      <c r="B26" s="17"/>
      <c r="C26" s="17"/>
      <c r="D26" s="17"/>
      <c r="E26" s="17"/>
      <c r="F26" s="17"/>
      <c r="G26" s="17"/>
      <c r="H26" s="31"/>
      <c r="I26" s="17"/>
      <c r="J26" s="17"/>
      <c r="K26" s="31"/>
    </row>
    <row r="27" spans="1:11">
      <c r="A27" s="16"/>
      <c r="B27" s="17"/>
      <c r="C27" s="17"/>
      <c r="D27" s="17"/>
      <c r="E27" s="17"/>
      <c r="F27" s="17"/>
      <c r="G27" s="17"/>
      <c r="H27" s="31"/>
      <c r="I27" s="17"/>
      <c r="J27" s="17"/>
      <c r="K27" s="31"/>
    </row>
    <row r="28" spans="1:11">
      <c r="A28" s="16"/>
      <c r="B28" s="17"/>
      <c r="C28" s="17"/>
      <c r="D28" s="17"/>
      <c r="E28" s="17"/>
      <c r="F28" s="17"/>
      <c r="G28" s="17"/>
      <c r="H28" s="31"/>
      <c r="I28" s="17"/>
      <c r="J28" s="17"/>
      <c r="K28" s="31"/>
    </row>
    <row r="29" spans="1:11">
      <c r="A29" s="16"/>
      <c r="B29" s="17"/>
      <c r="C29" s="17"/>
      <c r="D29" s="17"/>
      <c r="E29" s="17"/>
      <c r="F29" s="17"/>
      <c r="G29" s="17"/>
      <c r="H29" s="31"/>
      <c r="I29" s="17"/>
      <c r="J29" s="17"/>
      <c r="K29" s="31"/>
    </row>
    <row r="30" spans="1:11">
      <c r="A30" s="16"/>
      <c r="B30" s="17"/>
      <c r="C30" s="17"/>
      <c r="D30" s="17"/>
      <c r="E30" s="17"/>
      <c r="F30" s="17"/>
      <c r="G30" s="17"/>
      <c r="H30" s="31"/>
      <c r="I30" s="17"/>
      <c r="J30" s="17"/>
      <c r="K30" s="31"/>
    </row>
    <row r="31" spans="1:11">
      <c r="A31" s="16"/>
      <c r="B31" s="17"/>
      <c r="C31" s="17"/>
      <c r="D31" s="17"/>
      <c r="E31" s="17"/>
      <c r="F31" s="17"/>
      <c r="G31" s="17"/>
      <c r="H31" s="31"/>
      <c r="I31" s="17"/>
      <c r="J31" s="17"/>
      <c r="K31" s="31"/>
    </row>
    <row r="32" spans="1:11">
      <c r="A32" s="16"/>
      <c r="B32" s="17"/>
      <c r="C32" s="17"/>
      <c r="D32" s="17"/>
      <c r="E32" s="17"/>
      <c r="F32" s="17"/>
      <c r="G32" s="17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</row>
    <row r="259" spans="1:11">
      <c r="A259" s="16"/>
      <c r="B259" s="17"/>
      <c r="C259" s="17"/>
      <c r="D259" s="17"/>
      <c r="E259" s="17"/>
      <c r="F259" s="17"/>
      <c r="G259" s="17"/>
      <c r="H259" s="31"/>
    </row>
    <row r="260" spans="1:11">
      <c r="A260" s="16"/>
      <c r="B260" s="17"/>
      <c r="C260" s="17"/>
      <c r="D260" s="17"/>
      <c r="E260" s="17"/>
      <c r="F260" s="17"/>
      <c r="G260" s="17"/>
      <c r="H260" s="31"/>
    </row>
    <row r="261" spans="1:11">
      <c r="A261" s="16"/>
      <c r="B261" s="17"/>
      <c r="C261" s="17"/>
      <c r="D261" s="17"/>
      <c r="E261" s="17"/>
      <c r="F261" s="17"/>
      <c r="G261" s="17"/>
      <c r="H261" s="31"/>
    </row>
    <row r="262" spans="1:11">
      <c r="A262" s="16"/>
      <c r="B262" s="17"/>
      <c r="C262" s="17"/>
      <c r="D262" s="17"/>
      <c r="E262" s="17"/>
      <c r="F262" s="17"/>
      <c r="G262" s="17"/>
      <c r="H262" s="31"/>
    </row>
    <row r="263" spans="1:11">
      <c r="A263" s="16"/>
      <c r="B263" s="17"/>
      <c r="C263" s="17"/>
      <c r="D263" s="17"/>
      <c r="E263" s="17"/>
      <c r="F263" s="17"/>
      <c r="G263" s="17"/>
    </row>
    <row r="264" spans="1:11">
      <c r="A264" s="16"/>
      <c r="B264" s="17"/>
      <c r="C264" s="17"/>
      <c r="D264" s="17"/>
      <c r="E264" s="17"/>
      <c r="F264" s="17"/>
      <c r="G264" s="17"/>
    </row>
    <row r="265" spans="1:11">
      <c r="A265" s="16"/>
      <c r="B265" s="17"/>
      <c r="C265" s="17"/>
      <c r="D265" s="17"/>
      <c r="E265" s="17"/>
      <c r="F265" s="17"/>
      <c r="G265" s="17"/>
    </row>
    <row r="266" spans="1:11">
      <c r="A266" s="16"/>
      <c r="B266" s="17"/>
      <c r="C266" s="17"/>
      <c r="D266" s="17"/>
      <c r="E266" s="17"/>
      <c r="F266" s="17"/>
      <c r="G266" s="17"/>
    </row>
    <row r="267" spans="1:11">
      <c r="A267" s="16"/>
      <c r="B267" s="17"/>
      <c r="C267" s="17"/>
      <c r="D267" s="17"/>
      <c r="E267" s="17"/>
      <c r="F267" s="17"/>
      <c r="G267" s="17"/>
    </row>
    <row r="268" spans="1:11">
      <c r="A268" s="16"/>
      <c r="B268" s="17"/>
      <c r="C268" s="17"/>
      <c r="D268" s="17"/>
      <c r="E268" s="17"/>
      <c r="F268" s="17"/>
      <c r="G268" s="17"/>
    </row>
    <row r="269" spans="1:11">
      <c r="A269" s="16"/>
      <c r="B269" s="17"/>
      <c r="C269" s="17"/>
      <c r="D269" s="17"/>
      <c r="E269" s="17"/>
      <c r="F269" s="17"/>
      <c r="G269" s="17"/>
    </row>
    <row r="270" spans="1:11">
      <c r="A270" s="16"/>
      <c r="B270" s="17"/>
      <c r="C270" s="17"/>
      <c r="D270" s="17"/>
      <c r="E270" s="17"/>
      <c r="F270" s="17"/>
      <c r="G270" s="17"/>
    </row>
    <row r="271" spans="1:11">
      <c r="A271" s="16"/>
      <c r="B271" s="17"/>
      <c r="C271" s="17"/>
      <c r="D271" s="17"/>
      <c r="E271" s="17"/>
      <c r="F271" s="17"/>
      <c r="G271" s="17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</sheetData>
  <mergeCells count="21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B22:C22"/>
    <mergeCell ref="D22:E22"/>
    <mergeCell ref="F22:G22"/>
    <mergeCell ref="C16:E16"/>
    <mergeCell ref="C17:E17"/>
    <mergeCell ref="C18:E18"/>
    <mergeCell ref="C19:E19"/>
    <mergeCell ref="C20:E20"/>
    <mergeCell ref="B21:G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D578-2537-4CB4-ABF0-AC682500CE15}">
  <dimension ref="A1:O552"/>
  <sheetViews>
    <sheetView topLeftCell="A15" workbookViewId="0">
      <selection activeCell="O23" sqref="O23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12">
      <c r="A1" t="s">
        <v>171</v>
      </c>
      <c r="B1" t="s">
        <v>172</v>
      </c>
      <c r="I1" t="s">
        <v>174</v>
      </c>
    </row>
    <row r="2" spans="1:12">
      <c r="A2" s="16"/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12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12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>
        <f>DEGREES(ATAN(10/1700))</f>
        <v>0.33703010985780762</v>
      </c>
      <c r="H4" s="16"/>
    </row>
    <row r="5" spans="1:12">
      <c r="A5" s="16"/>
      <c r="B5" s="18" t="s">
        <v>81</v>
      </c>
      <c r="C5" s="203">
        <v>170</v>
      </c>
      <c r="D5" s="203"/>
      <c r="E5" s="204"/>
      <c r="F5" s="16"/>
      <c r="G5" s="16"/>
      <c r="H5" s="16"/>
      <c r="I5" s="18" t="s">
        <v>81</v>
      </c>
      <c r="J5" s="203"/>
      <c r="K5" s="203"/>
      <c r="L5" s="204"/>
    </row>
    <row r="6" spans="1:12">
      <c r="A6" s="16"/>
      <c r="B6" s="19" t="s">
        <v>82</v>
      </c>
      <c r="C6" s="228">
        <v>38</v>
      </c>
      <c r="D6" s="228"/>
      <c r="E6" s="229"/>
      <c r="F6" s="16" t="s">
        <v>153</v>
      </c>
      <c r="G6" s="16"/>
      <c r="H6" s="16"/>
      <c r="I6" s="19" t="s">
        <v>82</v>
      </c>
      <c r="J6" s="228"/>
      <c r="K6" s="228"/>
      <c r="L6" s="229"/>
    </row>
    <row r="7" spans="1:12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  <c r="I7" s="20" t="s">
        <v>83</v>
      </c>
      <c r="J7" s="193"/>
      <c r="K7" s="193"/>
      <c r="L7" s="194"/>
    </row>
    <row r="8" spans="1:12">
      <c r="A8" s="16"/>
      <c r="B8" s="20" t="s">
        <v>85</v>
      </c>
      <c r="C8" s="193">
        <v>0.75</v>
      </c>
      <c r="D8" s="193"/>
      <c r="E8" s="194"/>
      <c r="F8" s="207"/>
      <c r="G8" s="16"/>
      <c r="H8" s="16"/>
      <c r="I8" s="20" t="s">
        <v>85</v>
      </c>
      <c r="J8" s="193"/>
      <c r="K8" s="193"/>
      <c r="L8" s="194"/>
    </row>
    <row r="9" spans="1:12">
      <c r="A9" s="16"/>
      <c r="B9" s="20" t="s">
        <v>86</v>
      </c>
      <c r="C9" s="193">
        <v>0.75</v>
      </c>
      <c r="D9" s="193"/>
      <c r="E9" s="194"/>
      <c r="F9" s="207"/>
      <c r="G9" s="16"/>
      <c r="H9" s="16"/>
      <c r="I9" s="20" t="s">
        <v>86</v>
      </c>
      <c r="J9" s="193"/>
      <c r="K9" s="193"/>
      <c r="L9" s="194"/>
    </row>
    <row r="10" spans="1:12">
      <c r="A10" s="16"/>
      <c r="B10" s="20" t="s">
        <v>87</v>
      </c>
      <c r="C10" s="214">
        <v>0.3</v>
      </c>
      <c r="D10" s="214"/>
      <c r="E10" s="215"/>
      <c r="F10" s="42" t="s">
        <v>152</v>
      </c>
      <c r="G10" s="16" t="s">
        <v>89</v>
      </c>
      <c r="H10" s="16"/>
      <c r="I10" s="20" t="s">
        <v>87</v>
      </c>
      <c r="J10" s="214"/>
      <c r="K10" s="214"/>
      <c r="L10" s="215"/>
    </row>
    <row r="11" spans="1:12">
      <c r="A11" s="16"/>
      <c r="B11" s="20" t="s">
        <v>90</v>
      </c>
      <c r="C11" s="214">
        <v>0.2</v>
      </c>
      <c r="D11" s="214"/>
      <c r="E11" s="215"/>
      <c r="F11" s="43" t="s">
        <v>152</v>
      </c>
      <c r="G11" s="16">
        <f>C7*C8*C10*C11</f>
        <v>3.3749999999999995E-2</v>
      </c>
      <c r="H11" s="16"/>
      <c r="I11" s="20" t="s">
        <v>90</v>
      </c>
      <c r="J11" s="214"/>
      <c r="K11" s="214"/>
      <c r="L11" s="215"/>
    </row>
    <row r="12" spans="1:12">
      <c r="A12" s="16"/>
      <c r="B12" s="21" t="s">
        <v>92</v>
      </c>
      <c r="C12" s="233">
        <f>((C5/2)^2*PI()-(C6/2)^2*PI())*C7*C8*C9*C10*C11</f>
        <v>545.83601559795852</v>
      </c>
      <c r="D12" s="233"/>
      <c r="E12" s="234"/>
      <c r="F12" s="16"/>
      <c r="G12" s="16"/>
      <c r="H12" s="16"/>
      <c r="I12" s="21" t="s">
        <v>92</v>
      </c>
      <c r="J12" s="233">
        <v>350</v>
      </c>
      <c r="K12" s="233"/>
      <c r="L12" s="234"/>
    </row>
    <row r="13" spans="1:12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  <c r="I13" s="20" t="s">
        <v>93</v>
      </c>
      <c r="J13" s="197"/>
      <c r="K13" s="197"/>
      <c r="L13" s="198"/>
    </row>
    <row r="14" spans="1:12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  <c r="I14" s="20" t="s">
        <v>94</v>
      </c>
      <c r="J14" s="199"/>
      <c r="K14" s="199"/>
      <c r="L14" s="200"/>
    </row>
    <row r="15" spans="1:12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  <c r="I15" s="20" t="s">
        <v>95</v>
      </c>
      <c r="J15" s="216"/>
      <c r="K15" s="217"/>
      <c r="L15" s="218"/>
    </row>
    <row r="16" spans="1:12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  <c r="I16" s="20" t="s">
        <v>96</v>
      </c>
      <c r="J16" s="222"/>
      <c r="K16" s="223"/>
      <c r="L16" s="224"/>
    </row>
    <row r="17" spans="1:15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  <c r="I17" s="21" t="s">
        <v>97</v>
      </c>
      <c r="J17" s="235">
        <v>0.2</v>
      </c>
      <c r="K17" s="235"/>
      <c r="L17" s="236"/>
    </row>
    <row r="18" spans="1:15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  <c r="I18" s="24" t="s">
        <v>98</v>
      </c>
      <c r="J18" s="237">
        <v>0.09</v>
      </c>
      <c r="K18" s="238"/>
      <c r="L18" s="239"/>
      <c r="O18" s="1">
        <v>2.8499999999999998E-14</v>
      </c>
    </row>
    <row r="19" spans="1:15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  <c r="I19" s="25" t="s">
        <v>99</v>
      </c>
      <c r="J19" s="201">
        <f>J17/3600</f>
        <v>5.5555555555555558E-5</v>
      </c>
      <c r="K19" s="201"/>
      <c r="L19" s="201"/>
    </row>
    <row r="20" spans="1:15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  <c r="I20" s="26" t="s">
        <v>101</v>
      </c>
      <c r="J20" s="225">
        <f>J18/3600</f>
        <v>2.4999999999999998E-5</v>
      </c>
      <c r="K20" s="226"/>
      <c r="L20" s="227"/>
    </row>
    <row r="21" spans="1:15">
      <c r="A21" s="16"/>
      <c r="B21" s="13" t="s">
        <v>128</v>
      </c>
      <c r="C21" s="202">
        <v>0</v>
      </c>
      <c r="D21" s="202"/>
      <c r="E21" s="202"/>
      <c r="F21" s="16"/>
      <c r="G21" s="16"/>
      <c r="H21" s="16"/>
      <c r="I21" s="13" t="s">
        <v>128</v>
      </c>
      <c r="J21" s="202">
        <v>0</v>
      </c>
      <c r="K21" s="202"/>
      <c r="L21" s="202"/>
    </row>
    <row r="22" spans="1:15">
      <c r="A22" s="16"/>
      <c r="B22" s="13" t="s">
        <v>129</v>
      </c>
      <c r="C22" s="202">
        <v>1000</v>
      </c>
      <c r="D22" s="202"/>
      <c r="E22" s="202"/>
      <c r="F22" s="16"/>
      <c r="G22" s="16"/>
      <c r="H22" s="16"/>
      <c r="I22" s="13" t="s">
        <v>129</v>
      </c>
      <c r="J22" s="202">
        <v>1000</v>
      </c>
      <c r="K22" s="202"/>
      <c r="L22" s="202"/>
    </row>
    <row r="23" spans="1:15">
      <c r="A23" s="16"/>
      <c r="B23" s="37" t="s">
        <v>107</v>
      </c>
      <c r="C23" s="211">
        <f>($C$21+$C$22)*1000000/(4*PI())*$C$12*RADIANS($C$19)*RADIANS(C$20)</f>
        <v>90.179064803669277</v>
      </c>
      <c r="D23" s="212"/>
      <c r="E23" s="213"/>
      <c r="F23" s="16"/>
      <c r="G23" s="16"/>
      <c r="H23" s="16"/>
      <c r="I23" s="37" t="s">
        <v>107</v>
      </c>
      <c r="J23" s="211">
        <f>($J$21+$J$22)*1000000/(4*PI())*$J$12*RADIANS($J$19)*RADIANS(J$20)</f>
        <v>1.1783665860301223E-2</v>
      </c>
      <c r="K23" s="212"/>
      <c r="L23" s="213"/>
      <c r="M23" s="1">
        <f>K25*J23/K27</f>
        <v>8.2088172746521883E-17</v>
      </c>
      <c r="O23" s="1">
        <f>O18*J17*J18</f>
        <v>5.1300000000000005E-16</v>
      </c>
    </row>
    <row r="24" spans="1:15">
      <c r="A24" s="16"/>
      <c r="B24" s="39" t="s">
        <v>108</v>
      </c>
      <c r="C24" s="208">
        <f>C23/($C14/10*C15/10)</f>
        <v>15029.84413394488</v>
      </c>
      <c r="D24" s="209"/>
      <c r="E24" s="210"/>
      <c r="F24" s="41">
        <f>110/(80/1000/10*80/1000/10)</f>
        <v>1718749.9999999998</v>
      </c>
      <c r="G24" s="41">
        <f>110/(60/1000/10*60/1000/10)</f>
        <v>3055555.555555556</v>
      </c>
      <c r="H24" s="16"/>
      <c r="I24" s="39" t="s">
        <v>108</v>
      </c>
      <c r="J24" s="208" t="e">
        <f>J23/($C14/10*J15/10)</f>
        <v>#DIV/0!</v>
      </c>
      <c r="K24" s="209"/>
      <c r="L24" s="210"/>
    </row>
    <row r="25" spans="1:15">
      <c r="A25" s="16"/>
      <c r="B25" s="27" t="s">
        <v>71</v>
      </c>
      <c r="C25" s="28">
        <v>6.7000000000000004E-17</v>
      </c>
      <c r="D25" s="28">
        <v>1.0000000000000001E-17</v>
      </c>
      <c r="E25" s="28">
        <v>1.0000000000000001E-18</v>
      </c>
      <c r="F25" s="16"/>
      <c r="G25" s="28">
        <v>1E-14</v>
      </c>
      <c r="H25" s="16"/>
      <c r="I25" s="27" t="s">
        <v>71</v>
      </c>
      <c r="J25" s="28">
        <v>6.7000000000000004E-17</v>
      </c>
      <c r="K25" s="28">
        <v>1.0000000000000001E-17</v>
      </c>
      <c r="L25" s="28">
        <v>1.0000000000000001E-18</v>
      </c>
    </row>
    <row r="26" spans="1:15">
      <c r="A26" s="16"/>
      <c r="B26" s="13" t="s">
        <v>109</v>
      </c>
      <c r="C26" s="29">
        <f>$C$25*$C$4/($C$2*$C$3/1216*10000000000)</f>
        <v>4.1013967807127604E-6</v>
      </c>
      <c r="D26" s="29">
        <f>$D$25*$C$4/($C$2*$C$3/1216*10000000000)</f>
        <v>6.121487732407107E-7</v>
      </c>
      <c r="E26" s="29">
        <f>$E$25*$C$4/($C$2*$C$3/1216*10000000000)</f>
        <v>6.121487732407106E-8</v>
      </c>
      <c r="F26" s="16"/>
      <c r="G26" s="29">
        <f>$G$25*$C$4/($C$2*$C$3/1305*10000000000)</f>
        <v>6.569524252295454E-4</v>
      </c>
      <c r="H26" s="16"/>
      <c r="I26" s="13" t="s">
        <v>109</v>
      </c>
      <c r="J26" s="29">
        <f>$J$25*$C$4/($C$2*$C$3/1216*10000000000)</f>
        <v>4.1013967807127604E-6</v>
      </c>
      <c r="K26" s="29">
        <f>$J$25*$C$4/($C$2*$C$3/1216*10000000000)</f>
        <v>4.1013967807127604E-6</v>
      </c>
      <c r="L26" s="29">
        <f>$J$25*$C$4/($C$2*$C$3/1216*10000000000)</f>
        <v>4.1013967807127604E-6</v>
      </c>
    </row>
    <row r="27" spans="1:15">
      <c r="A27" s="16"/>
      <c r="B27" s="37" t="s">
        <v>127</v>
      </c>
      <c r="C27" s="30">
        <f>$C$12*C26</f>
        <v>2.2386900771705471E-3</v>
      </c>
      <c r="D27" s="30">
        <f>$C$12*D26</f>
        <v>3.3413284733888775E-4</v>
      </c>
      <c r="E27" s="30">
        <f>$C$12*E26</f>
        <v>3.341328473388877E-5</v>
      </c>
      <c r="F27" s="16"/>
      <c r="G27" s="16"/>
      <c r="H27" s="16"/>
      <c r="I27" s="37" t="s">
        <v>127</v>
      </c>
      <c r="J27" s="30">
        <f>$J$12*J26</f>
        <v>1.4354888732494662E-3</v>
      </c>
      <c r="K27" s="30">
        <f>$J$12*K26</f>
        <v>1.4354888732494662E-3</v>
      </c>
      <c r="L27" s="30">
        <f>$J$12*L26</f>
        <v>1.4354888732494662E-3</v>
      </c>
    </row>
    <row r="28" spans="1:15">
      <c r="A28" s="16"/>
      <c r="B28" s="13" t="s">
        <v>50</v>
      </c>
      <c r="C28" s="191">
        <f>(0.08/10)^2</f>
        <v>6.3999999999999997E-5</v>
      </c>
      <c r="D28" s="191"/>
      <c r="E28" s="191"/>
      <c r="F28" s="16"/>
      <c r="G28" s="16"/>
      <c r="H28" s="16"/>
      <c r="I28" s="13" t="s">
        <v>50</v>
      </c>
      <c r="J28" s="191">
        <f>(0.08/10)^2</f>
        <v>6.3999999999999997E-5</v>
      </c>
      <c r="K28" s="191"/>
      <c r="L28" s="191"/>
    </row>
    <row r="29" spans="1:15">
      <c r="A29" s="16"/>
      <c r="B29" s="39" t="s">
        <v>112</v>
      </c>
      <c r="C29" s="40">
        <f>C27/$C$28</f>
        <v>34.979532455789801</v>
      </c>
      <c r="D29" s="40">
        <f>D27/$C$28</f>
        <v>5.2208257396701212</v>
      </c>
      <c r="E29" s="40">
        <f>E27/$C$28</f>
        <v>0.52208257396701208</v>
      </c>
      <c r="F29" s="190"/>
      <c r="G29" s="190"/>
      <c r="H29" s="190"/>
      <c r="I29" s="39" t="s">
        <v>112</v>
      </c>
      <c r="J29" s="40">
        <f>J27/$C$28</f>
        <v>22.42951364452291</v>
      </c>
      <c r="K29" s="40">
        <f>K27/$C$28</f>
        <v>22.42951364452291</v>
      </c>
      <c r="L29" s="40">
        <f>L27/$C$28</f>
        <v>22.42951364452291</v>
      </c>
    </row>
    <row r="30" spans="1:15">
      <c r="A30" s="16" t="s">
        <v>113</v>
      </c>
      <c r="B30" s="192"/>
      <c r="C30" s="192"/>
      <c r="D30" s="192"/>
      <c r="E30" s="192"/>
      <c r="F30" s="192"/>
      <c r="G30" s="192"/>
      <c r="H30" s="16"/>
      <c r="I30" s="17"/>
      <c r="J30" s="17"/>
      <c r="K30" s="31"/>
    </row>
    <row r="31" spans="1:15">
      <c r="A31" s="16" t="s">
        <v>113</v>
      </c>
      <c r="B31" s="16"/>
      <c r="C31" s="16" t="s">
        <v>155</v>
      </c>
      <c r="D31" s="16" t="s">
        <v>156</v>
      </c>
      <c r="E31" s="16" t="s">
        <v>157</v>
      </c>
      <c r="F31" s="16" t="s">
        <v>155</v>
      </c>
      <c r="G31" s="16" t="s">
        <v>156</v>
      </c>
      <c r="H31" s="16" t="s">
        <v>157</v>
      </c>
      <c r="I31" s="17"/>
      <c r="J31" s="17"/>
      <c r="K31" s="31"/>
    </row>
    <row r="32" spans="1:15">
      <c r="A32" s="16" t="s">
        <v>149</v>
      </c>
      <c r="B32" s="16" t="s">
        <v>150</v>
      </c>
      <c r="C32" s="16" t="s">
        <v>151</v>
      </c>
      <c r="D32" s="16" t="s">
        <v>151</v>
      </c>
      <c r="E32" s="16" t="s">
        <v>151</v>
      </c>
      <c r="F32" s="16" t="s">
        <v>154</v>
      </c>
      <c r="G32" s="16" t="s">
        <v>154</v>
      </c>
      <c r="H32" s="16" t="s">
        <v>154</v>
      </c>
      <c r="I32" s="17"/>
      <c r="J32" s="17"/>
      <c r="K32" s="31"/>
    </row>
    <row r="33" spans="1:11">
      <c r="A33" s="17">
        <v>1E-14</v>
      </c>
      <c r="B33" s="17">
        <f>A33*$C$4/($C$2*$C$3/1216*10000000000)*$C$12</f>
        <v>0.33413284733888765</v>
      </c>
      <c r="C33" s="17">
        <f>$C$23</f>
        <v>90.179064803669277</v>
      </c>
      <c r="D33" s="17">
        <f>C33*10/2.4</f>
        <v>375.746103348622</v>
      </c>
      <c r="E33" s="17">
        <f>C33*30/2.4</f>
        <v>1127.238310045866</v>
      </c>
      <c r="F33" s="17">
        <f>B33+C33</f>
        <v>90.51319765100817</v>
      </c>
      <c r="G33" s="17">
        <f>B33+D33</f>
        <v>376.08023619596088</v>
      </c>
      <c r="H33" s="31">
        <f>B33+E33</f>
        <v>1127.5724428932049</v>
      </c>
      <c r="I33" s="17"/>
      <c r="J33" s="17"/>
      <c r="K33" s="31"/>
    </row>
    <row r="34" spans="1:11">
      <c r="A34" s="17">
        <f>A33*10^0.1</f>
        <v>1.2589254117941673E-14</v>
      </c>
      <c r="B34" s="17">
        <f t="shared" ref="B34:B73" si="0">A34*$C$4/($C$2*$C$3/1216*10000000000)*$C$12</f>
        <v>0.42064833243006677</v>
      </c>
      <c r="C34" s="17">
        <f t="shared" ref="C34:C73" si="1">$C$23</f>
        <v>90.179064803669277</v>
      </c>
      <c r="D34" s="17">
        <f t="shared" ref="D34:D73" si="2">C34*10/2.4</f>
        <v>375.746103348622</v>
      </c>
      <c r="E34" s="17">
        <f t="shared" ref="E34:E73" si="3">C34*30/2.4</f>
        <v>1127.238310045866</v>
      </c>
      <c r="F34" s="17">
        <f t="shared" ref="F34:F73" si="4">B34+C34</f>
        <v>90.599713136099339</v>
      </c>
      <c r="G34" s="17">
        <f t="shared" ref="G34:G73" si="5">B34+D34</f>
        <v>376.16675168105206</v>
      </c>
      <c r="H34" s="31">
        <f t="shared" ref="H34:H73" si="6">B34+E34</f>
        <v>1127.6589583782961</v>
      </c>
      <c r="I34" s="17"/>
      <c r="J34" s="17"/>
      <c r="K34" s="31"/>
    </row>
    <row r="35" spans="1:11">
      <c r="A35" s="17">
        <f t="shared" ref="A35:A73" si="7">A34*10^0.1</f>
        <v>1.5848931924611138E-14</v>
      </c>
      <c r="B35" s="17">
        <f t="shared" si="0"/>
        <v>0.52956487512505168</v>
      </c>
      <c r="C35" s="17">
        <f t="shared" si="1"/>
        <v>90.179064803669277</v>
      </c>
      <c r="D35" s="17">
        <f t="shared" si="2"/>
        <v>375.746103348622</v>
      </c>
      <c r="E35" s="17">
        <f t="shared" si="3"/>
        <v>1127.238310045866</v>
      </c>
      <c r="F35" s="17">
        <f t="shared" si="4"/>
        <v>90.708629678794324</v>
      </c>
      <c r="G35" s="17">
        <f t="shared" si="5"/>
        <v>376.27566822374706</v>
      </c>
      <c r="H35" s="31">
        <f t="shared" si="6"/>
        <v>1127.7678749209911</v>
      </c>
      <c r="I35" s="17"/>
      <c r="J35" s="17"/>
      <c r="K35" s="31"/>
    </row>
    <row r="36" spans="1:11">
      <c r="A36" s="17">
        <f t="shared" si="7"/>
        <v>1.99526231496888E-14</v>
      </c>
      <c r="B36" s="17">
        <f t="shared" si="0"/>
        <v>0.66668267848853247</v>
      </c>
      <c r="C36" s="17">
        <f t="shared" si="1"/>
        <v>90.179064803669277</v>
      </c>
      <c r="D36" s="17">
        <f t="shared" si="2"/>
        <v>375.746103348622</v>
      </c>
      <c r="E36" s="17">
        <f t="shared" si="3"/>
        <v>1127.238310045866</v>
      </c>
      <c r="F36" s="17">
        <f t="shared" si="4"/>
        <v>90.845747482157805</v>
      </c>
      <c r="G36" s="17">
        <f t="shared" si="5"/>
        <v>376.41278602711054</v>
      </c>
      <c r="H36" s="31">
        <f t="shared" si="6"/>
        <v>1127.9049927243545</v>
      </c>
      <c r="I36" s="17"/>
      <c r="J36" s="17"/>
      <c r="K36" s="31"/>
    </row>
    <row r="37" spans="1:11">
      <c r="A37" s="17">
        <f t="shared" si="7"/>
        <v>2.5118864315095807E-14</v>
      </c>
      <c r="B37" s="17">
        <f t="shared" si="0"/>
        <v>0.83930376555221398</v>
      </c>
      <c r="C37" s="17">
        <f t="shared" si="1"/>
        <v>90.179064803669277</v>
      </c>
      <c r="D37" s="17">
        <f t="shared" si="2"/>
        <v>375.746103348622</v>
      </c>
      <c r="E37" s="17">
        <f t="shared" si="3"/>
        <v>1127.238310045866</v>
      </c>
      <c r="F37" s="17">
        <f t="shared" si="4"/>
        <v>91.018368569221494</v>
      </c>
      <c r="G37" s="17">
        <f t="shared" si="5"/>
        <v>376.58540711417419</v>
      </c>
      <c r="H37" s="31">
        <f t="shared" si="6"/>
        <v>1128.0776138114181</v>
      </c>
      <c r="I37" s="17"/>
      <c r="J37" s="17"/>
      <c r="K37" s="31"/>
    </row>
    <row r="38" spans="1:11">
      <c r="A38" s="17">
        <f t="shared" si="7"/>
        <v>3.1622776601683802E-14</v>
      </c>
      <c r="B38" s="17">
        <f t="shared" si="0"/>
        <v>1.0566208386682163</v>
      </c>
      <c r="C38" s="17">
        <f t="shared" si="1"/>
        <v>90.179064803669277</v>
      </c>
      <c r="D38" s="17">
        <f t="shared" si="2"/>
        <v>375.746103348622</v>
      </c>
      <c r="E38" s="17">
        <f t="shared" si="3"/>
        <v>1127.238310045866</v>
      </c>
      <c r="F38" s="17">
        <f t="shared" si="4"/>
        <v>91.235685642337501</v>
      </c>
      <c r="G38" s="17">
        <f t="shared" si="5"/>
        <v>376.80272418729021</v>
      </c>
      <c r="H38" s="31">
        <f t="shared" si="6"/>
        <v>1128.2949308845343</v>
      </c>
      <c r="I38" s="17"/>
      <c r="J38" s="17"/>
      <c r="K38" s="31"/>
    </row>
    <row r="39" spans="1:11">
      <c r="A39" s="17">
        <f t="shared" si="7"/>
        <v>3.9810717055349737E-14</v>
      </c>
      <c r="B39" s="17">
        <f t="shared" si="0"/>
        <v>1.3302068244306826</v>
      </c>
      <c r="C39" s="17">
        <f t="shared" si="1"/>
        <v>90.179064803669277</v>
      </c>
      <c r="D39" s="17">
        <f t="shared" si="2"/>
        <v>375.746103348622</v>
      </c>
      <c r="E39" s="17">
        <f t="shared" si="3"/>
        <v>1127.238310045866</v>
      </c>
      <c r="F39" s="17">
        <f t="shared" si="4"/>
        <v>91.509271628099967</v>
      </c>
      <c r="G39" s="17">
        <f t="shared" si="5"/>
        <v>377.07631017305266</v>
      </c>
      <c r="H39" s="31">
        <f t="shared" si="6"/>
        <v>1128.5685168702967</v>
      </c>
      <c r="I39" s="17"/>
      <c r="J39" s="17"/>
      <c r="K39" s="31"/>
    </row>
    <row r="40" spans="1:11">
      <c r="A40" s="17">
        <f t="shared" si="7"/>
        <v>5.0118723362727245E-14</v>
      </c>
      <c r="B40" s="17">
        <f t="shared" si="0"/>
        <v>1.6746311742178084</v>
      </c>
      <c r="C40" s="17">
        <f t="shared" si="1"/>
        <v>90.179064803669277</v>
      </c>
      <c r="D40" s="17">
        <f t="shared" si="2"/>
        <v>375.746103348622</v>
      </c>
      <c r="E40" s="17">
        <f t="shared" si="3"/>
        <v>1127.238310045866</v>
      </c>
      <c r="F40" s="17">
        <f t="shared" si="4"/>
        <v>91.853695977887085</v>
      </c>
      <c r="G40" s="17">
        <f t="shared" si="5"/>
        <v>377.42073452283984</v>
      </c>
      <c r="H40" s="31">
        <f t="shared" si="6"/>
        <v>1128.9129412200839</v>
      </c>
      <c r="I40" s="17"/>
      <c r="J40" s="17"/>
      <c r="K40" s="31"/>
    </row>
    <row r="41" spans="1:11">
      <c r="A41" s="17">
        <f t="shared" si="7"/>
        <v>6.3095734448019354E-14</v>
      </c>
      <c r="B41" s="17">
        <f t="shared" si="0"/>
        <v>2.1082357406055046</v>
      </c>
      <c r="C41" s="17">
        <f t="shared" si="1"/>
        <v>90.179064803669277</v>
      </c>
      <c r="D41" s="17">
        <f t="shared" si="2"/>
        <v>375.746103348622</v>
      </c>
      <c r="E41" s="17">
        <f t="shared" si="3"/>
        <v>1127.238310045866</v>
      </c>
      <c r="F41" s="17">
        <f t="shared" si="4"/>
        <v>92.287300544274785</v>
      </c>
      <c r="G41" s="17">
        <f t="shared" si="5"/>
        <v>377.85433908922749</v>
      </c>
      <c r="H41" s="31">
        <f t="shared" si="6"/>
        <v>1129.3465457864716</v>
      </c>
      <c r="I41" s="17"/>
      <c r="J41" s="17"/>
      <c r="K41" s="31"/>
    </row>
    <row r="42" spans="1:11">
      <c r="A42" s="17">
        <f t="shared" si="7"/>
        <v>7.9432823472428196E-14</v>
      </c>
      <c r="B42" s="17">
        <f t="shared" si="0"/>
        <v>2.6541115479009663</v>
      </c>
      <c r="C42" s="17">
        <f t="shared" si="1"/>
        <v>90.179064803669277</v>
      </c>
      <c r="D42" s="17">
        <f t="shared" si="2"/>
        <v>375.746103348622</v>
      </c>
      <c r="E42" s="17">
        <f t="shared" si="3"/>
        <v>1127.238310045866</v>
      </c>
      <c r="F42" s="17">
        <f t="shared" si="4"/>
        <v>92.833176351570245</v>
      </c>
      <c r="G42" s="17">
        <f t="shared" si="5"/>
        <v>378.40021489652298</v>
      </c>
      <c r="H42" s="31">
        <f t="shared" si="6"/>
        <v>1129.892421593767</v>
      </c>
      <c r="I42" s="17"/>
      <c r="J42" s="17"/>
      <c r="K42" s="31"/>
    </row>
    <row r="43" spans="1:11">
      <c r="A43" s="17">
        <f t="shared" si="7"/>
        <v>1.0000000000000007E-13</v>
      </c>
      <c r="B43" s="17">
        <f t="shared" si="0"/>
        <v>3.3413284733888786</v>
      </c>
      <c r="C43" s="17">
        <f t="shared" si="1"/>
        <v>90.179064803669277</v>
      </c>
      <c r="D43" s="17">
        <f t="shared" si="2"/>
        <v>375.746103348622</v>
      </c>
      <c r="E43" s="17">
        <f t="shared" si="3"/>
        <v>1127.238310045866</v>
      </c>
      <c r="F43" s="17">
        <f t="shared" si="4"/>
        <v>93.520393277058162</v>
      </c>
      <c r="G43" s="17">
        <f t="shared" si="5"/>
        <v>379.0874318220109</v>
      </c>
      <c r="H43" s="31">
        <f t="shared" si="6"/>
        <v>1130.5796385192548</v>
      </c>
      <c r="I43" s="17"/>
      <c r="J43" s="17"/>
      <c r="K43" s="31"/>
    </row>
    <row r="44" spans="1:11">
      <c r="A44" s="17">
        <f t="shared" si="7"/>
        <v>1.2589254117941681E-13</v>
      </c>
      <c r="B44" s="17">
        <f t="shared" si="0"/>
        <v>4.2064833243006703</v>
      </c>
      <c r="C44" s="17">
        <f t="shared" si="1"/>
        <v>90.179064803669277</v>
      </c>
      <c r="D44" s="17">
        <f t="shared" si="2"/>
        <v>375.746103348622</v>
      </c>
      <c r="E44" s="17">
        <f t="shared" si="3"/>
        <v>1127.238310045866</v>
      </c>
      <c r="F44" s="17">
        <f t="shared" si="4"/>
        <v>94.38554812796994</v>
      </c>
      <c r="G44" s="17">
        <f t="shared" si="5"/>
        <v>379.95258667292268</v>
      </c>
      <c r="H44" s="31">
        <f t="shared" si="6"/>
        <v>1131.4447933701667</v>
      </c>
      <c r="I44" s="17"/>
      <c r="J44" s="17"/>
      <c r="K44" s="31"/>
    </row>
    <row r="45" spans="1:11">
      <c r="A45" s="17">
        <f t="shared" si="7"/>
        <v>1.5848931924611147E-13</v>
      </c>
      <c r="B45" s="17">
        <f t="shared" si="0"/>
        <v>5.2956487512505195</v>
      </c>
      <c r="C45" s="17">
        <f t="shared" si="1"/>
        <v>90.179064803669277</v>
      </c>
      <c r="D45" s="17">
        <f t="shared" si="2"/>
        <v>375.746103348622</v>
      </c>
      <c r="E45" s="17">
        <f t="shared" si="3"/>
        <v>1127.238310045866</v>
      </c>
      <c r="F45" s="17">
        <f t="shared" si="4"/>
        <v>95.474713554919802</v>
      </c>
      <c r="G45" s="17">
        <f t="shared" si="5"/>
        <v>381.0417520998725</v>
      </c>
      <c r="H45" s="31">
        <f t="shared" si="6"/>
        <v>1132.5339587971166</v>
      </c>
      <c r="I45" s="17"/>
      <c r="J45" s="17"/>
      <c r="K45" s="31"/>
    </row>
    <row r="46" spans="1:11">
      <c r="A46" s="17">
        <f t="shared" si="7"/>
        <v>1.9952623149688812E-13</v>
      </c>
      <c r="B46" s="17">
        <f t="shared" si="0"/>
        <v>6.6668267848853278</v>
      </c>
      <c r="C46" s="17">
        <f t="shared" si="1"/>
        <v>90.179064803669277</v>
      </c>
      <c r="D46" s="17">
        <f t="shared" si="2"/>
        <v>375.746103348622</v>
      </c>
      <c r="E46" s="17">
        <f t="shared" si="3"/>
        <v>1127.238310045866</v>
      </c>
      <c r="F46" s="17">
        <f t="shared" si="4"/>
        <v>96.845891588554608</v>
      </c>
      <c r="G46" s="17">
        <f t="shared" si="5"/>
        <v>382.4129301335073</v>
      </c>
      <c r="H46" s="31">
        <f t="shared" si="6"/>
        <v>1133.9051368307514</v>
      </c>
      <c r="I46" s="17"/>
      <c r="J46" s="17"/>
      <c r="K46" s="31"/>
    </row>
    <row r="47" spans="1:11">
      <c r="A47" s="17">
        <f t="shared" si="7"/>
        <v>2.5118864315095825E-13</v>
      </c>
      <c r="B47" s="17">
        <f t="shared" si="0"/>
        <v>8.3930376555221464</v>
      </c>
      <c r="C47" s="17">
        <f t="shared" si="1"/>
        <v>90.179064803669277</v>
      </c>
      <c r="D47" s="17">
        <f t="shared" si="2"/>
        <v>375.746103348622</v>
      </c>
      <c r="E47" s="17">
        <f t="shared" si="3"/>
        <v>1127.238310045866</v>
      </c>
      <c r="F47" s="17">
        <f t="shared" si="4"/>
        <v>98.572102459191427</v>
      </c>
      <c r="G47" s="17">
        <f t="shared" si="5"/>
        <v>384.13914100414416</v>
      </c>
      <c r="H47" s="31">
        <f t="shared" si="6"/>
        <v>1135.6313477013882</v>
      </c>
      <c r="I47" s="17"/>
      <c r="J47" s="17"/>
      <c r="K47" s="31"/>
    </row>
    <row r="48" spans="1:11">
      <c r="A48" s="17">
        <f t="shared" si="7"/>
        <v>3.1622776601683827E-13</v>
      </c>
      <c r="B48" s="17">
        <f t="shared" si="0"/>
        <v>10.566208386682172</v>
      </c>
      <c r="C48" s="17">
        <f t="shared" si="1"/>
        <v>90.179064803669277</v>
      </c>
      <c r="D48" s="17">
        <f t="shared" si="2"/>
        <v>375.746103348622</v>
      </c>
      <c r="E48" s="17">
        <f t="shared" si="3"/>
        <v>1127.238310045866</v>
      </c>
      <c r="F48" s="17">
        <f t="shared" si="4"/>
        <v>100.74527319035145</v>
      </c>
      <c r="G48" s="17">
        <f t="shared" si="5"/>
        <v>386.31231173530415</v>
      </c>
      <c r="H48" s="31">
        <f t="shared" si="6"/>
        <v>1137.8045184325481</v>
      </c>
      <c r="I48" s="17"/>
      <c r="J48" s="17"/>
      <c r="K48" s="31"/>
    </row>
    <row r="49" spans="1:11">
      <c r="A49" s="17">
        <f t="shared" si="7"/>
        <v>3.9810717055349768E-13</v>
      </c>
      <c r="B49" s="17">
        <f t="shared" si="0"/>
        <v>13.302068244306835</v>
      </c>
      <c r="C49" s="17">
        <f t="shared" si="1"/>
        <v>90.179064803669277</v>
      </c>
      <c r="D49" s="17">
        <f t="shared" si="2"/>
        <v>375.746103348622</v>
      </c>
      <c r="E49" s="17">
        <f t="shared" si="3"/>
        <v>1127.238310045866</v>
      </c>
      <c r="F49" s="17">
        <f t="shared" si="4"/>
        <v>103.48113304797612</v>
      </c>
      <c r="G49" s="17">
        <f t="shared" si="5"/>
        <v>389.04817159292884</v>
      </c>
      <c r="H49" s="31">
        <f t="shared" si="6"/>
        <v>1140.5403782901728</v>
      </c>
      <c r="I49" s="17"/>
      <c r="J49" s="17"/>
      <c r="K49" s="31"/>
    </row>
    <row r="50" spans="1:11">
      <c r="A50" s="17">
        <f t="shared" si="7"/>
        <v>5.0118723362727288E-13</v>
      </c>
      <c r="B50" s="17">
        <f t="shared" si="0"/>
        <v>16.746311742178101</v>
      </c>
      <c r="C50" s="17">
        <f t="shared" si="1"/>
        <v>90.179064803669277</v>
      </c>
      <c r="D50" s="17">
        <f t="shared" si="2"/>
        <v>375.746103348622</v>
      </c>
      <c r="E50" s="17">
        <f t="shared" si="3"/>
        <v>1127.238310045866</v>
      </c>
      <c r="F50" s="17">
        <f t="shared" si="4"/>
        <v>106.92537654584737</v>
      </c>
      <c r="G50" s="17">
        <f t="shared" si="5"/>
        <v>392.49241509080008</v>
      </c>
      <c r="H50" s="31">
        <f t="shared" si="6"/>
        <v>1143.984621788044</v>
      </c>
      <c r="I50" s="17"/>
      <c r="J50" s="17"/>
      <c r="K50" s="31"/>
    </row>
    <row r="51" spans="1:11">
      <c r="A51" s="17">
        <f t="shared" si="7"/>
        <v>6.3095734448019404E-13</v>
      </c>
      <c r="B51" s="17">
        <f t="shared" si="0"/>
        <v>21.08235740605506</v>
      </c>
      <c r="C51" s="17">
        <f t="shared" si="1"/>
        <v>90.179064803669277</v>
      </c>
      <c r="D51" s="17">
        <f t="shared" si="2"/>
        <v>375.746103348622</v>
      </c>
      <c r="E51" s="17">
        <f t="shared" si="3"/>
        <v>1127.238310045866</v>
      </c>
      <c r="F51" s="17">
        <f t="shared" si="4"/>
        <v>111.26142220972434</v>
      </c>
      <c r="G51" s="17">
        <f t="shared" si="5"/>
        <v>396.82846075467705</v>
      </c>
      <c r="H51" s="31">
        <f t="shared" si="6"/>
        <v>1148.3206674519211</v>
      </c>
      <c r="I51" s="17"/>
      <c r="J51" s="17"/>
      <c r="K51" s="31"/>
    </row>
    <row r="52" spans="1:11">
      <c r="A52" s="17">
        <f t="shared" si="7"/>
        <v>7.9432823472428257E-13</v>
      </c>
      <c r="B52" s="17">
        <f t="shared" si="0"/>
        <v>26.541115479009683</v>
      </c>
      <c r="C52" s="17">
        <f t="shared" si="1"/>
        <v>90.179064803669277</v>
      </c>
      <c r="D52" s="17">
        <f t="shared" si="2"/>
        <v>375.746103348622</v>
      </c>
      <c r="E52" s="17">
        <f t="shared" si="3"/>
        <v>1127.238310045866</v>
      </c>
      <c r="F52" s="17">
        <f t="shared" si="4"/>
        <v>116.72018028267897</v>
      </c>
      <c r="G52" s="17">
        <f t="shared" si="5"/>
        <v>402.2872188276317</v>
      </c>
      <c r="H52" s="31">
        <f t="shared" si="6"/>
        <v>1153.7794255248757</v>
      </c>
      <c r="I52" s="17"/>
      <c r="J52" s="17"/>
      <c r="K52" s="31"/>
    </row>
    <row r="53" spans="1:11">
      <c r="A53" s="17">
        <f t="shared" si="7"/>
        <v>1.0000000000000014E-12</v>
      </c>
      <c r="B53" s="17">
        <f t="shared" si="0"/>
        <v>33.413284733888808</v>
      </c>
      <c r="C53" s="17">
        <f t="shared" si="1"/>
        <v>90.179064803669277</v>
      </c>
      <c r="D53" s="17">
        <f t="shared" si="2"/>
        <v>375.746103348622</v>
      </c>
      <c r="E53" s="17">
        <f t="shared" si="3"/>
        <v>1127.238310045866</v>
      </c>
      <c r="F53" s="17">
        <f t="shared" si="4"/>
        <v>123.59234953755808</v>
      </c>
      <c r="G53" s="17">
        <f t="shared" si="5"/>
        <v>409.15938808251082</v>
      </c>
      <c r="H53" s="31">
        <f t="shared" si="6"/>
        <v>1160.6515947797548</v>
      </c>
      <c r="I53" s="17"/>
      <c r="J53" s="17"/>
      <c r="K53" s="31"/>
    </row>
    <row r="54" spans="1:11">
      <c r="A54" s="17">
        <f t="shared" si="7"/>
        <v>1.2589254117941691E-12</v>
      </c>
      <c r="B54" s="17">
        <f t="shared" si="0"/>
        <v>42.064833243006746</v>
      </c>
      <c r="C54" s="17">
        <f t="shared" si="1"/>
        <v>90.179064803669277</v>
      </c>
      <c r="D54" s="17">
        <f t="shared" si="2"/>
        <v>375.746103348622</v>
      </c>
      <c r="E54" s="17">
        <f t="shared" si="3"/>
        <v>1127.238310045866</v>
      </c>
      <c r="F54" s="17">
        <f t="shared" si="4"/>
        <v>132.24389804667601</v>
      </c>
      <c r="G54" s="17">
        <f t="shared" si="5"/>
        <v>417.81093659162877</v>
      </c>
      <c r="H54" s="31">
        <f t="shared" si="6"/>
        <v>1169.3031432888727</v>
      </c>
      <c r="I54" s="17"/>
      <c r="J54" s="17"/>
      <c r="K54" s="31"/>
    </row>
    <row r="55" spans="1:11">
      <c r="A55" s="17">
        <f t="shared" si="7"/>
        <v>1.584893192461116E-12</v>
      </c>
      <c r="B55" s="17">
        <f t="shared" si="0"/>
        <v>52.956487512505241</v>
      </c>
      <c r="C55" s="17">
        <f t="shared" si="1"/>
        <v>90.179064803669277</v>
      </c>
      <c r="D55" s="17">
        <f t="shared" si="2"/>
        <v>375.746103348622</v>
      </c>
      <c r="E55" s="17">
        <f t="shared" si="3"/>
        <v>1127.238310045866</v>
      </c>
      <c r="F55" s="17">
        <f t="shared" si="4"/>
        <v>143.13555231617451</v>
      </c>
      <c r="G55" s="17">
        <f t="shared" si="5"/>
        <v>428.70259086112725</v>
      </c>
      <c r="H55" s="31">
        <f t="shared" si="6"/>
        <v>1180.1947975583712</v>
      </c>
      <c r="I55" s="17"/>
      <c r="J55" s="17"/>
      <c r="K55" s="31"/>
    </row>
    <row r="56" spans="1:11">
      <c r="A56" s="17">
        <f t="shared" si="7"/>
        <v>1.9952623149688827E-12</v>
      </c>
      <c r="B56" s="17">
        <f t="shared" si="0"/>
        <v>66.668267848853333</v>
      </c>
      <c r="C56" s="17">
        <f t="shared" si="1"/>
        <v>90.179064803669277</v>
      </c>
      <c r="D56" s="17">
        <f t="shared" si="2"/>
        <v>375.746103348622</v>
      </c>
      <c r="E56" s="17">
        <f t="shared" si="3"/>
        <v>1127.238310045866</v>
      </c>
      <c r="F56" s="17">
        <f t="shared" si="4"/>
        <v>156.8473326525226</v>
      </c>
      <c r="G56" s="17">
        <f t="shared" si="5"/>
        <v>442.41437119747536</v>
      </c>
      <c r="H56" s="31">
        <f t="shared" si="6"/>
        <v>1193.9065778947192</v>
      </c>
      <c r="I56" s="17"/>
      <c r="J56" s="17"/>
      <c r="K56" s="31"/>
    </row>
    <row r="57" spans="1:11">
      <c r="A57" s="17">
        <f t="shared" si="7"/>
        <v>2.5118864315095843E-12</v>
      </c>
      <c r="B57" s="17">
        <f t="shared" si="0"/>
        <v>83.930376555221528</v>
      </c>
      <c r="C57" s="17">
        <f t="shared" si="1"/>
        <v>90.179064803669277</v>
      </c>
      <c r="D57" s="17">
        <f t="shared" si="2"/>
        <v>375.746103348622</v>
      </c>
      <c r="E57" s="17">
        <f t="shared" si="3"/>
        <v>1127.238310045866</v>
      </c>
      <c r="F57" s="17">
        <f t="shared" si="4"/>
        <v>174.10944135889082</v>
      </c>
      <c r="G57" s="17">
        <f t="shared" si="5"/>
        <v>459.67647990384353</v>
      </c>
      <c r="H57" s="31">
        <f t="shared" si="6"/>
        <v>1211.1686866010875</v>
      </c>
      <c r="I57" s="17"/>
      <c r="J57" s="17"/>
      <c r="K57" s="31"/>
    </row>
    <row r="58" spans="1:11">
      <c r="A58" s="17">
        <f t="shared" si="7"/>
        <v>3.1622776601683846E-12</v>
      </c>
      <c r="B58" s="17">
        <f t="shared" si="0"/>
        <v>105.66208386682177</v>
      </c>
      <c r="C58" s="17">
        <f t="shared" si="1"/>
        <v>90.179064803669277</v>
      </c>
      <c r="D58" s="17">
        <f t="shared" si="2"/>
        <v>375.746103348622</v>
      </c>
      <c r="E58" s="17">
        <f t="shared" si="3"/>
        <v>1127.238310045866</v>
      </c>
      <c r="F58" s="17">
        <f t="shared" si="4"/>
        <v>195.84114867049107</v>
      </c>
      <c r="G58" s="17">
        <f t="shared" si="5"/>
        <v>481.40818721544377</v>
      </c>
      <c r="H58" s="31">
        <f t="shared" si="6"/>
        <v>1232.9003939126878</v>
      </c>
      <c r="I58" s="17"/>
      <c r="J58" s="17"/>
      <c r="K58" s="31"/>
    </row>
    <row r="59" spans="1:11">
      <c r="A59" s="17">
        <f t="shared" si="7"/>
        <v>3.9810717055349792E-12</v>
      </c>
      <c r="B59" s="17">
        <f t="shared" si="0"/>
        <v>133.02068244306844</v>
      </c>
      <c r="C59" s="17">
        <f t="shared" si="1"/>
        <v>90.179064803669277</v>
      </c>
      <c r="D59" s="17">
        <f t="shared" si="2"/>
        <v>375.746103348622</v>
      </c>
      <c r="E59" s="17">
        <f t="shared" si="3"/>
        <v>1127.238310045866</v>
      </c>
      <c r="F59" s="17">
        <f t="shared" si="4"/>
        <v>223.19974724673773</v>
      </c>
      <c r="G59" s="17">
        <f t="shared" si="5"/>
        <v>508.76678579169044</v>
      </c>
      <c r="H59" s="31">
        <f t="shared" si="6"/>
        <v>1260.2589924889344</v>
      </c>
      <c r="I59" s="17"/>
      <c r="J59" s="17"/>
      <c r="K59" s="31"/>
    </row>
    <row r="60" spans="1:11">
      <c r="A60" s="17">
        <f t="shared" si="7"/>
        <v>5.0118723362727316E-12</v>
      </c>
      <c r="B60" s="17">
        <f t="shared" si="0"/>
        <v>167.46311742178108</v>
      </c>
      <c r="C60" s="17">
        <f t="shared" si="1"/>
        <v>90.179064803669277</v>
      </c>
      <c r="D60" s="17">
        <f t="shared" si="2"/>
        <v>375.746103348622</v>
      </c>
      <c r="E60" s="17">
        <f t="shared" si="3"/>
        <v>1127.238310045866</v>
      </c>
      <c r="F60" s="17">
        <f t="shared" si="4"/>
        <v>257.64218222545037</v>
      </c>
      <c r="G60" s="17">
        <f t="shared" si="5"/>
        <v>543.20922077040314</v>
      </c>
      <c r="H60" s="31">
        <f t="shared" si="6"/>
        <v>1294.7014274676471</v>
      </c>
      <c r="I60" s="17"/>
      <c r="J60" s="17"/>
      <c r="K60" s="31"/>
    </row>
    <row r="61" spans="1:11">
      <c r="A61" s="17">
        <f t="shared" si="7"/>
        <v>6.3095734448019442E-12</v>
      </c>
      <c r="B61" s="17">
        <f t="shared" si="0"/>
        <v>210.82357406055078</v>
      </c>
      <c r="C61" s="17">
        <f t="shared" si="1"/>
        <v>90.179064803669277</v>
      </c>
      <c r="D61" s="17">
        <f t="shared" si="2"/>
        <v>375.746103348622</v>
      </c>
      <c r="E61" s="17">
        <f t="shared" si="3"/>
        <v>1127.238310045866</v>
      </c>
      <c r="F61" s="17">
        <f t="shared" si="4"/>
        <v>301.00263886422005</v>
      </c>
      <c r="G61" s="17">
        <f t="shared" si="5"/>
        <v>586.56967740917275</v>
      </c>
      <c r="H61" s="31">
        <f t="shared" si="6"/>
        <v>1338.0618841064168</v>
      </c>
      <c r="I61" s="17"/>
      <c r="J61" s="17"/>
      <c r="K61" s="31"/>
    </row>
    <row r="62" spans="1:11">
      <c r="A62" s="17">
        <f t="shared" si="7"/>
        <v>7.9432823472428295E-12</v>
      </c>
      <c r="B62" s="17">
        <f t="shared" si="0"/>
        <v>265.41115479009699</v>
      </c>
      <c r="C62" s="17">
        <f t="shared" si="1"/>
        <v>90.179064803669277</v>
      </c>
      <c r="D62" s="17">
        <f t="shared" si="2"/>
        <v>375.746103348622</v>
      </c>
      <c r="E62" s="17">
        <f t="shared" si="3"/>
        <v>1127.238310045866</v>
      </c>
      <c r="F62" s="17">
        <f t="shared" si="4"/>
        <v>355.59021959376628</v>
      </c>
      <c r="G62" s="17">
        <f t="shared" si="5"/>
        <v>641.15725813871904</v>
      </c>
      <c r="H62" s="31">
        <f t="shared" si="6"/>
        <v>1392.649464835963</v>
      </c>
      <c r="I62" s="17"/>
      <c r="J62" s="17"/>
      <c r="K62" s="31"/>
    </row>
    <row r="63" spans="1:11">
      <c r="A63" s="17">
        <f t="shared" si="7"/>
        <v>1.0000000000000019E-11</v>
      </c>
      <c r="B63" s="17">
        <f t="shared" si="0"/>
        <v>334.13284733888827</v>
      </c>
      <c r="C63" s="17">
        <f t="shared" si="1"/>
        <v>90.179064803669277</v>
      </c>
      <c r="D63" s="17">
        <f t="shared" si="2"/>
        <v>375.746103348622</v>
      </c>
      <c r="E63" s="17">
        <f t="shared" si="3"/>
        <v>1127.238310045866</v>
      </c>
      <c r="F63" s="17">
        <f t="shared" si="4"/>
        <v>424.31191214255756</v>
      </c>
      <c r="G63" s="17">
        <f t="shared" si="5"/>
        <v>709.87895068751027</v>
      </c>
      <c r="H63" s="31">
        <f t="shared" si="6"/>
        <v>1461.3711573847543</v>
      </c>
      <c r="I63" s="17"/>
      <c r="J63" s="17"/>
      <c r="K63" s="31"/>
    </row>
    <row r="64" spans="1:11">
      <c r="A64" s="17">
        <f t="shared" si="7"/>
        <v>1.2589254117941697E-11</v>
      </c>
      <c r="B64" s="17">
        <f t="shared" si="0"/>
        <v>420.64833243006757</v>
      </c>
      <c r="C64" s="17">
        <f t="shared" si="1"/>
        <v>90.179064803669277</v>
      </c>
      <c r="D64" s="17">
        <f t="shared" si="2"/>
        <v>375.746103348622</v>
      </c>
      <c r="E64" s="17">
        <f t="shared" si="3"/>
        <v>1127.238310045866</v>
      </c>
      <c r="F64" s="17">
        <f t="shared" si="4"/>
        <v>510.82739723373686</v>
      </c>
      <c r="G64" s="17">
        <f t="shared" si="5"/>
        <v>796.39443577868951</v>
      </c>
      <c r="H64" s="31">
        <f t="shared" si="6"/>
        <v>1547.8866424759335</v>
      </c>
      <c r="I64" s="17"/>
      <c r="J64" s="17"/>
      <c r="K64" s="31"/>
    </row>
    <row r="65" spans="1:11">
      <c r="A65" s="17">
        <f t="shared" si="7"/>
        <v>1.5848931924611169E-11</v>
      </c>
      <c r="B65" s="17">
        <f t="shared" si="0"/>
        <v>529.56487512505271</v>
      </c>
      <c r="C65" s="17">
        <f t="shared" si="1"/>
        <v>90.179064803669277</v>
      </c>
      <c r="D65" s="17">
        <f t="shared" si="2"/>
        <v>375.746103348622</v>
      </c>
      <c r="E65" s="17">
        <f t="shared" si="3"/>
        <v>1127.238310045866</v>
      </c>
      <c r="F65" s="17">
        <f t="shared" si="4"/>
        <v>619.74393992872194</v>
      </c>
      <c r="G65" s="17">
        <f t="shared" si="5"/>
        <v>905.31097847367471</v>
      </c>
      <c r="H65" s="31">
        <f t="shared" si="6"/>
        <v>1656.8031851709188</v>
      </c>
      <c r="I65" s="17"/>
      <c r="J65" s="17"/>
      <c r="K65" s="31"/>
    </row>
    <row r="66" spans="1:11">
      <c r="A66" s="17">
        <f t="shared" si="7"/>
        <v>1.9952623149688841E-11</v>
      </c>
      <c r="B66" s="17">
        <f t="shared" si="0"/>
        <v>666.68267848853372</v>
      </c>
      <c r="C66" s="17">
        <f t="shared" si="1"/>
        <v>90.179064803669277</v>
      </c>
      <c r="D66" s="17">
        <f t="shared" si="2"/>
        <v>375.746103348622</v>
      </c>
      <c r="E66" s="17">
        <f t="shared" si="3"/>
        <v>1127.238310045866</v>
      </c>
      <c r="F66" s="17">
        <f t="shared" si="4"/>
        <v>756.86174329220296</v>
      </c>
      <c r="G66" s="17">
        <f t="shared" si="5"/>
        <v>1042.4287818371558</v>
      </c>
      <c r="H66" s="31">
        <f t="shared" si="6"/>
        <v>1793.9209885343998</v>
      </c>
      <c r="I66" s="17"/>
      <c r="J66" s="17"/>
      <c r="K66" s="31"/>
    </row>
    <row r="67" spans="1:11">
      <c r="A67" s="17">
        <f t="shared" si="7"/>
        <v>2.5118864315095859E-11</v>
      </c>
      <c r="B67" s="17">
        <f t="shared" si="0"/>
        <v>839.30376555221562</v>
      </c>
      <c r="C67" s="17">
        <f t="shared" si="1"/>
        <v>90.179064803669277</v>
      </c>
      <c r="D67" s="17">
        <f t="shared" si="2"/>
        <v>375.746103348622</v>
      </c>
      <c r="E67" s="17">
        <f t="shared" si="3"/>
        <v>1127.238310045866</v>
      </c>
      <c r="F67" s="17">
        <f t="shared" si="4"/>
        <v>929.48283035588486</v>
      </c>
      <c r="G67" s="17">
        <f t="shared" si="5"/>
        <v>1215.0498689008377</v>
      </c>
      <c r="H67" s="31">
        <f t="shared" si="6"/>
        <v>1966.5420755980817</v>
      </c>
      <c r="I67" s="17"/>
      <c r="J67" s="17"/>
      <c r="K67" s="31"/>
    </row>
    <row r="68" spans="1:11">
      <c r="A68" s="17">
        <f t="shared" si="7"/>
        <v>3.1622776601683865E-11</v>
      </c>
      <c r="B68" s="17">
        <f t="shared" si="0"/>
        <v>1056.6208386682185</v>
      </c>
      <c r="C68" s="17">
        <f t="shared" si="1"/>
        <v>90.179064803669277</v>
      </c>
      <c r="D68" s="17">
        <f t="shared" si="2"/>
        <v>375.746103348622</v>
      </c>
      <c r="E68" s="17">
        <f t="shared" si="3"/>
        <v>1127.238310045866</v>
      </c>
      <c r="F68" s="17">
        <f t="shared" si="4"/>
        <v>1146.7999034718878</v>
      </c>
      <c r="G68" s="17">
        <f t="shared" si="5"/>
        <v>1432.3669420168405</v>
      </c>
      <c r="H68" s="31">
        <f t="shared" si="6"/>
        <v>2183.8591487140848</v>
      </c>
      <c r="I68" s="17"/>
      <c r="J68" s="17"/>
      <c r="K68" s="31"/>
    </row>
    <row r="69" spans="1:11">
      <c r="A69" s="17">
        <f t="shared" si="7"/>
        <v>3.9810717055349818E-11</v>
      </c>
      <c r="B69" s="17">
        <f t="shared" si="0"/>
        <v>1330.2068244306852</v>
      </c>
      <c r="C69" s="17">
        <f t="shared" si="1"/>
        <v>90.179064803669277</v>
      </c>
      <c r="D69" s="17">
        <f t="shared" si="2"/>
        <v>375.746103348622</v>
      </c>
      <c r="E69" s="17">
        <f t="shared" si="3"/>
        <v>1127.238310045866</v>
      </c>
      <c r="F69" s="17">
        <f t="shared" si="4"/>
        <v>1420.3858892343544</v>
      </c>
      <c r="G69" s="17">
        <f t="shared" si="5"/>
        <v>1705.9529277793072</v>
      </c>
      <c r="H69" s="31">
        <f t="shared" si="6"/>
        <v>2457.4451344765512</v>
      </c>
      <c r="I69" s="17"/>
      <c r="J69" s="17"/>
      <c r="K69" s="31"/>
    </row>
    <row r="70" spans="1:11">
      <c r="A70" s="17">
        <f t="shared" si="7"/>
        <v>5.0118723362727349E-11</v>
      </c>
      <c r="B70" s="17">
        <f t="shared" si="0"/>
        <v>1674.631174217812</v>
      </c>
      <c r="C70" s="17">
        <f t="shared" si="1"/>
        <v>90.179064803669277</v>
      </c>
      <c r="D70" s="17">
        <f t="shared" si="2"/>
        <v>375.746103348622</v>
      </c>
      <c r="E70" s="17">
        <f t="shared" si="3"/>
        <v>1127.238310045866</v>
      </c>
      <c r="F70" s="17">
        <f t="shared" si="4"/>
        <v>1764.8102390214813</v>
      </c>
      <c r="G70" s="17">
        <f t="shared" si="5"/>
        <v>2050.3772775664338</v>
      </c>
      <c r="H70" s="31">
        <f t="shared" si="6"/>
        <v>2801.8694842636778</v>
      </c>
      <c r="I70" s="17"/>
      <c r="J70" s="17"/>
      <c r="K70" s="31"/>
    </row>
    <row r="71" spans="1:11">
      <c r="A71" s="17">
        <f t="shared" si="7"/>
        <v>6.3095734448019476E-11</v>
      </c>
      <c r="B71" s="17">
        <f t="shared" si="0"/>
        <v>2108.2357406055085</v>
      </c>
      <c r="C71" s="17">
        <f t="shared" si="1"/>
        <v>90.179064803669277</v>
      </c>
      <c r="D71" s="17">
        <f t="shared" si="2"/>
        <v>375.746103348622</v>
      </c>
      <c r="E71" s="17">
        <f t="shared" si="3"/>
        <v>1127.238310045866</v>
      </c>
      <c r="F71" s="17">
        <f t="shared" si="4"/>
        <v>2198.4148054091779</v>
      </c>
      <c r="G71" s="17">
        <f t="shared" si="5"/>
        <v>2483.9818439541305</v>
      </c>
      <c r="H71" s="31">
        <f t="shared" si="6"/>
        <v>3235.4740506513745</v>
      </c>
      <c r="I71" s="17"/>
      <c r="J71" s="17"/>
      <c r="K71" s="31"/>
    </row>
    <row r="72" spans="1:11">
      <c r="A72" s="17">
        <f t="shared" si="7"/>
        <v>7.9432823472428347E-11</v>
      </c>
      <c r="B72" s="17">
        <f t="shared" si="0"/>
        <v>2654.1115479009713</v>
      </c>
      <c r="C72" s="17">
        <f t="shared" si="1"/>
        <v>90.179064803669277</v>
      </c>
      <c r="D72" s="17">
        <f t="shared" si="2"/>
        <v>375.746103348622</v>
      </c>
      <c r="E72" s="17">
        <f t="shared" si="3"/>
        <v>1127.238310045866</v>
      </c>
      <c r="F72" s="17">
        <f t="shared" si="4"/>
        <v>2744.2906127046408</v>
      </c>
      <c r="G72" s="17">
        <f t="shared" si="5"/>
        <v>3029.8576512495933</v>
      </c>
      <c r="H72" s="31">
        <f t="shared" si="6"/>
        <v>3781.3498579468373</v>
      </c>
      <c r="I72" s="17"/>
      <c r="J72" s="17"/>
      <c r="K72" s="31"/>
    </row>
    <row r="73" spans="1:11">
      <c r="A73" s="17">
        <f t="shared" si="7"/>
        <v>1.0000000000000025E-10</v>
      </c>
      <c r="B73" s="17">
        <f t="shared" si="0"/>
        <v>3341.328473388885</v>
      </c>
      <c r="C73" s="17">
        <f t="shared" si="1"/>
        <v>90.179064803669277</v>
      </c>
      <c r="D73" s="17">
        <f t="shared" si="2"/>
        <v>375.746103348622</v>
      </c>
      <c r="E73" s="17">
        <f t="shared" si="3"/>
        <v>1127.238310045866</v>
      </c>
      <c r="F73" s="17">
        <f t="shared" si="4"/>
        <v>3431.5075381925544</v>
      </c>
      <c r="G73" s="17">
        <f t="shared" si="5"/>
        <v>3717.074576737507</v>
      </c>
      <c r="H73" s="31">
        <f t="shared" si="6"/>
        <v>4468.5667834347514</v>
      </c>
      <c r="I73" s="17"/>
      <c r="J73" s="17"/>
      <c r="K73" s="31"/>
    </row>
    <row r="74" spans="1:11">
      <c r="A74" s="17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7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7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7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7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7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7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7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7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7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7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7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7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7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7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7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7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7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7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7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7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7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7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7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7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7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7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7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7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7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7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7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7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7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7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7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7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7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7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7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7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7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7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7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7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7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7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7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7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7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7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7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7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7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7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7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7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7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7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45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C17:E17"/>
    <mergeCell ref="C18:E18"/>
    <mergeCell ref="C19:E19"/>
    <mergeCell ref="C20:E20"/>
    <mergeCell ref="C21:E21"/>
    <mergeCell ref="F29:H29"/>
    <mergeCell ref="B30:G30"/>
    <mergeCell ref="J5:L5"/>
    <mergeCell ref="J6:L6"/>
    <mergeCell ref="J7:L7"/>
    <mergeCell ref="J8:L8"/>
    <mergeCell ref="J9:L9"/>
    <mergeCell ref="J10:L10"/>
    <mergeCell ref="J11:L11"/>
    <mergeCell ref="J12:L12"/>
    <mergeCell ref="C22:E22"/>
    <mergeCell ref="C23:E23"/>
    <mergeCell ref="C24:E24"/>
    <mergeCell ref="C28:E28"/>
    <mergeCell ref="J28:L28"/>
    <mergeCell ref="C16:E16"/>
    <mergeCell ref="J24:L24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3:L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A430-ED7E-41F9-8268-B97FAB2E31EA}">
  <sheetPr>
    <tabColor rgb="FF00B0F0"/>
  </sheetPr>
  <dimension ref="A1:K552"/>
  <sheetViews>
    <sheetView workbookViewId="0">
      <selection activeCell="C12" sqref="C12:E12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162</v>
      </c>
    </row>
    <row r="2" spans="1:8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</row>
    <row r="5" spans="1:8">
      <c r="A5" s="16"/>
      <c r="B5" s="18" t="s">
        <v>81</v>
      </c>
      <c r="C5" s="203">
        <v>60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28">
        <v>20</v>
      </c>
      <c r="D6" s="228"/>
      <c r="E6" s="229"/>
      <c r="F6" s="16" t="s">
        <v>175</v>
      </c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1</v>
      </c>
      <c r="D9" s="193"/>
      <c r="E9" s="194"/>
      <c r="F9" s="47" t="s">
        <v>176</v>
      </c>
      <c r="G9" s="16"/>
      <c r="H9" s="16"/>
    </row>
    <row r="10" spans="1:8">
      <c r="A10" s="16"/>
      <c r="B10" s="20" t="s">
        <v>87</v>
      </c>
      <c r="C10" s="214">
        <v>0.5</v>
      </c>
      <c r="D10" s="214"/>
      <c r="E10" s="215"/>
      <c r="F10" s="42" t="s">
        <v>177</v>
      </c>
      <c r="G10" s="16"/>
      <c r="H10" s="16"/>
    </row>
    <row r="11" spans="1:8">
      <c r="A11" s="16"/>
      <c r="B11" s="20" t="s">
        <v>90</v>
      </c>
      <c r="C11" s="214">
        <v>0.36</v>
      </c>
      <c r="D11" s="214"/>
      <c r="E11" s="215"/>
      <c r="F11" s="43" t="s">
        <v>178</v>
      </c>
      <c r="G11" s="16"/>
      <c r="H11" s="16"/>
    </row>
    <row r="12" spans="1:8">
      <c r="A12" s="16"/>
      <c r="B12" s="45" t="s">
        <v>92</v>
      </c>
      <c r="C12" s="233">
        <f>((C5/2)^2*PI()-(C6/2)^2*PI())*C7*C8*C9*C10*C11</f>
        <v>254.46900494077323</v>
      </c>
      <c r="D12" s="233"/>
      <c r="E12" s="234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</row>
    <row r="16" spans="1:8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</row>
    <row r="17" spans="1:11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</row>
    <row r="19" spans="1:11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</row>
    <row r="20" spans="1:11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</row>
    <row r="21" spans="1:11">
      <c r="A21" s="16"/>
      <c r="B21" s="46"/>
      <c r="C21" s="46"/>
      <c r="D21" s="46"/>
      <c r="E21" s="46"/>
      <c r="F21" s="16"/>
      <c r="G21" s="16"/>
      <c r="H21" s="16"/>
    </row>
    <row r="22" spans="1:11">
      <c r="A22" s="16"/>
      <c r="B22" s="190"/>
      <c r="C22" s="190"/>
      <c r="D22" s="190"/>
      <c r="E22" s="190"/>
      <c r="F22" s="16"/>
      <c r="G22" s="16"/>
      <c r="H22" s="16"/>
    </row>
    <row r="23" spans="1:11">
      <c r="A23" s="16"/>
      <c r="B23" s="16"/>
      <c r="C23" s="16"/>
      <c r="D23" s="16"/>
      <c r="E23" s="16"/>
      <c r="F23" s="16"/>
      <c r="G23" s="16"/>
      <c r="H23" s="16"/>
    </row>
    <row r="24" spans="1:11">
      <c r="A24" s="16"/>
      <c r="B24" s="17"/>
      <c r="C24" s="17"/>
      <c r="D24" s="17"/>
      <c r="E24" s="17"/>
      <c r="F24" s="41"/>
      <c r="G24" s="41"/>
      <c r="H24" s="16"/>
      <c r="I24" s="190"/>
      <c r="J24" s="190"/>
      <c r="K24" s="190"/>
    </row>
    <row r="25" spans="1:11">
      <c r="A25" s="16"/>
      <c r="B25" s="17"/>
      <c r="C25" s="17"/>
      <c r="D25" s="17"/>
      <c r="E25" s="17"/>
      <c r="F25" s="16"/>
      <c r="G25" s="16"/>
      <c r="H25" s="16"/>
      <c r="I25" s="190"/>
      <c r="J25" s="190"/>
      <c r="K25" s="190"/>
    </row>
    <row r="26" spans="1:11">
      <c r="A26" s="16"/>
      <c r="B26" s="17"/>
      <c r="C26" s="17"/>
      <c r="D26" s="17"/>
      <c r="E26" s="17"/>
      <c r="F26" s="16"/>
      <c r="G26" s="16"/>
      <c r="H26" s="16"/>
      <c r="I26" s="16"/>
      <c r="J26" s="16"/>
      <c r="K26" s="16"/>
    </row>
    <row r="27" spans="1:11">
      <c r="A27" s="16"/>
      <c r="B27" s="17"/>
      <c r="C27" s="17"/>
      <c r="D27" s="17"/>
      <c r="E27" s="17"/>
      <c r="F27" s="16"/>
      <c r="G27" s="16"/>
      <c r="H27" s="16"/>
      <c r="I27" s="17"/>
      <c r="J27" s="17"/>
      <c r="K27" s="31"/>
    </row>
    <row r="28" spans="1:11">
      <c r="A28" s="16"/>
      <c r="B28" s="17"/>
      <c r="C28" s="17"/>
      <c r="D28" s="17"/>
      <c r="E28" s="17"/>
      <c r="F28" s="16"/>
      <c r="G28" s="16"/>
      <c r="H28" s="16"/>
      <c r="I28" s="17"/>
      <c r="J28" s="17"/>
      <c r="K28" s="31"/>
    </row>
    <row r="29" spans="1:11">
      <c r="A29" s="16"/>
      <c r="B29" s="17"/>
      <c r="C29" s="17"/>
      <c r="D29" s="17"/>
      <c r="E29" s="17"/>
      <c r="F29" s="190"/>
      <c r="G29" s="190"/>
      <c r="H29" s="190"/>
      <c r="I29" s="17"/>
      <c r="J29" s="17"/>
      <c r="K29" s="31"/>
    </row>
    <row r="30" spans="1:11">
      <c r="A30" s="16"/>
      <c r="B30" s="17"/>
      <c r="C30" s="17"/>
      <c r="D30" s="17"/>
      <c r="E30" s="17"/>
      <c r="F30" s="46"/>
      <c r="G30" s="46"/>
      <c r="H30" s="16"/>
      <c r="I30" s="17"/>
      <c r="J30" s="17"/>
      <c r="K30" s="31"/>
    </row>
    <row r="31" spans="1:11">
      <c r="A31" s="16"/>
      <c r="B31" s="17"/>
      <c r="C31" s="17"/>
      <c r="D31" s="17"/>
      <c r="E31" s="17"/>
      <c r="F31" s="190"/>
      <c r="G31" s="190"/>
      <c r="H31" s="16"/>
      <c r="I31" s="17"/>
      <c r="J31" s="17"/>
      <c r="K31" s="31"/>
    </row>
    <row r="32" spans="1:11">
      <c r="A32" s="16"/>
      <c r="B32" s="17"/>
      <c r="C32" s="17"/>
      <c r="D32" s="17"/>
      <c r="E32" s="17"/>
      <c r="F32" s="16"/>
      <c r="G32" s="16"/>
      <c r="H32" s="31"/>
      <c r="I32" s="17"/>
      <c r="J32" s="17"/>
      <c r="K32" s="31"/>
    </row>
    <row r="33" spans="1:11">
      <c r="A33" s="16"/>
      <c r="B33" s="17"/>
      <c r="C33" s="17"/>
      <c r="D33" s="17"/>
      <c r="E33" s="17"/>
      <c r="F33" s="17"/>
      <c r="G33" s="17"/>
      <c r="H33" s="31"/>
      <c r="I33" s="17"/>
      <c r="J33" s="17"/>
      <c r="K33" s="31"/>
    </row>
    <row r="34" spans="1:11">
      <c r="A34" s="16"/>
      <c r="B34" s="17"/>
      <c r="C34" s="17"/>
      <c r="D34" s="17"/>
      <c r="E34" s="17"/>
      <c r="F34" s="17"/>
      <c r="G34" s="17"/>
      <c r="H34" s="31"/>
      <c r="I34" s="17"/>
      <c r="J34" s="17"/>
      <c r="K34" s="31"/>
    </row>
    <row r="35" spans="1:11">
      <c r="A35" s="16"/>
      <c r="B35" s="17"/>
      <c r="C35" s="17"/>
      <c r="D35" s="17"/>
      <c r="E35" s="17"/>
      <c r="F35" s="17"/>
      <c r="G35" s="17"/>
      <c r="H35" s="31"/>
      <c r="I35" s="17"/>
      <c r="J35" s="17"/>
      <c r="K35" s="31"/>
    </row>
    <row r="36" spans="1:11">
      <c r="A36" s="16"/>
      <c r="B36" s="17"/>
      <c r="C36" s="17"/>
      <c r="D36" s="17"/>
      <c r="E36" s="17"/>
      <c r="F36" s="17"/>
      <c r="G36" s="17"/>
      <c r="H36" s="31"/>
      <c r="I36" s="17"/>
      <c r="J36" s="17"/>
      <c r="K36" s="31"/>
    </row>
    <row r="37" spans="1:11">
      <c r="A37" s="16"/>
      <c r="B37" s="17"/>
      <c r="C37" s="17"/>
      <c r="D37" s="17"/>
      <c r="E37" s="17"/>
      <c r="F37" s="17"/>
      <c r="G37" s="17"/>
      <c r="H37" s="31"/>
      <c r="I37" s="17"/>
      <c r="J37" s="17"/>
      <c r="K37" s="31"/>
    </row>
    <row r="38" spans="1:11">
      <c r="A38" s="16"/>
      <c r="B38" s="17"/>
      <c r="C38" s="17"/>
      <c r="D38" s="17"/>
      <c r="E38" s="17"/>
      <c r="F38" s="17"/>
      <c r="G38" s="17"/>
      <c r="H38" s="31"/>
      <c r="I38" s="17"/>
      <c r="J38" s="17"/>
      <c r="K38" s="31"/>
    </row>
    <row r="39" spans="1:11">
      <c r="A39" s="16"/>
      <c r="B39" s="17"/>
      <c r="C39" s="17"/>
      <c r="D39" s="17"/>
      <c r="E39" s="17"/>
      <c r="F39" s="17"/>
      <c r="G39" s="17"/>
      <c r="H39" s="31"/>
      <c r="I39" s="17"/>
      <c r="J39" s="17"/>
      <c r="K39" s="31"/>
    </row>
    <row r="40" spans="1:11">
      <c r="A40" s="16"/>
      <c r="B40" s="17"/>
      <c r="C40" s="17"/>
      <c r="D40" s="17"/>
      <c r="E40" s="17"/>
      <c r="F40" s="17"/>
      <c r="G40" s="17"/>
      <c r="H40" s="31"/>
      <c r="I40" s="17"/>
      <c r="J40" s="17"/>
      <c r="K40" s="31"/>
    </row>
    <row r="41" spans="1:11">
      <c r="A41" s="16"/>
      <c r="B41" s="17"/>
      <c r="C41" s="17"/>
      <c r="D41" s="17"/>
      <c r="E41" s="17"/>
      <c r="F41" s="17"/>
      <c r="G41" s="17"/>
      <c r="H41" s="31"/>
      <c r="I41" s="17"/>
      <c r="J41" s="17"/>
      <c r="K41" s="31"/>
    </row>
    <row r="42" spans="1:11">
      <c r="A42" s="16"/>
      <c r="B42" s="17"/>
      <c r="C42" s="17"/>
      <c r="D42" s="17"/>
      <c r="E42" s="17"/>
      <c r="F42" s="17"/>
      <c r="G42" s="17"/>
      <c r="H42" s="31"/>
      <c r="I42" s="17"/>
      <c r="J42" s="17"/>
      <c r="K42" s="31"/>
    </row>
    <row r="43" spans="1:11">
      <c r="A43" s="16"/>
      <c r="B43" s="17"/>
      <c r="C43" s="17"/>
      <c r="D43" s="17"/>
      <c r="E43" s="17"/>
      <c r="F43" s="17"/>
      <c r="G43" s="17"/>
      <c r="H43" s="31"/>
      <c r="I43" s="17"/>
      <c r="J43" s="17"/>
      <c r="K43" s="31"/>
    </row>
    <row r="44" spans="1:11">
      <c r="A44" s="16"/>
      <c r="B44" s="17"/>
      <c r="C44" s="17"/>
      <c r="D44" s="17"/>
      <c r="E44" s="17"/>
      <c r="F44" s="17"/>
      <c r="G44" s="17"/>
      <c r="H44" s="31"/>
      <c r="I44" s="17"/>
      <c r="J44" s="17"/>
      <c r="K44" s="31"/>
    </row>
    <row r="45" spans="1:11">
      <c r="A45" s="16"/>
      <c r="B45" s="17"/>
      <c r="C45" s="17"/>
      <c r="D45" s="17"/>
      <c r="E45" s="17"/>
      <c r="F45" s="17"/>
      <c r="G45" s="17"/>
      <c r="H45" s="31"/>
      <c r="I45" s="17"/>
      <c r="J45" s="17"/>
      <c r="K45" s="31"/>
    </row>
    <row r="46" spans="1:11">
      <c r="A46" s="16"/>
      <c r="B46" s="17"/>
      <c r="C46" s="17"/>
      <c r="D46" s="17"/>
      <c r="E46" s="17"/>
      <c r="F46" s="17"/>
      <c r="G46" s="17"/>
      <c r="H46" s="31"/>
      <c r="I46" s="17"/>
      <c r="J46" s="17"/>
      <c r="K46" s="31"/>
    </row>
    <row r="47" spans="1:11">
      <c r="A47" s="16"/>
      <c r="B47" s="17"/>
      <c r="C47" s="17"/>
      <c r="D47" s="17"/>
      <c r="E47" s="17"/>
      <c r="F47" s="17"/>
      <c r="G47" s="17"/>
      <c r="H47" s="31"/>
      <c r="I47" s="17"/>
      <c r="J47" s="17"/>
      <c r="K47" s="31"/>
    </row>
    <row r="48" spans="1:11">
      <c r="A48" s="16"/>
      <c r="B48" s="17"/>
      <c r="C48" s="17"/>
      <c r="D48" s="17"/>
      <c r="E48" s="17"/>
      <c r="F48" s="17"/>
      <c r="G48" s="17"/>
      <c r="H48" s="31"/>
      <c r="I48" s="17"/>
      <c r="J48" s="17"/>
      <c r="K48" s="31"/>
    </row>
    <row r="49" spans="1:11">
      <c r="A49" s="16"/>
      <c r="B49" s="17"/>
      <c r="C49" s="17"/>
      <c r="D49" s="17"/>
      <c r="E49" s="17"/>
      <c r="F49" s="17"/>
      <c r="G49" s="17"/>
      <c r="H49" s="31"/>
      <c r="I49" s="17"/>
      <c r="J49" s="17"/>
      <c r="K49" s="31"/>
    </row>
    <row r="50" spans="1:11">
      <c r="A50" s="16"/>
      <c r="B50" s="17"/>
      <c r="C50" s="17"/>
      <c r="D50" s="17"/>
      <c r="E50" s="17"/>
      <c r="F50" s="17"/>
      <c r="G50" s="17"/>
      <c r="H50" s="31"/>
      <c r="I50" s="17"/>
      <c r="J50" s="17"/>
      <c r="K50" s="31"/>
    </row>
    <row r="51" spans="1:11">
      <c r="A51" s="16"/>
      <c r="B51" s="17"/>
      <c r="C51" s="17"/>
      <c r="D51" s="17"/>
      <c r="E51" s="17"/>
      <c r="F51" s="17"/>
      <c r="G51" s="17"/>
      <c r="H51" s="31"/>
      <c r="I51" s="17"/>
      <c r="J51" s="17"/>
      <c r="K51" s="31"/>
    </row>
    <row r="52" spans="1:11">
      <c r="A52" s="16"/>
      <c r="B52" s="17"/>
      <c r="C52" s="17"/>
      <c r="D52" s="17"/>
      <c r="E52" s="17"/>
      <c r="F52" s="17"/>
      <c r="G52" s="17"/>
      <c r="H52" s="31"/>
      <c r="I52" s="17"/>
      <c r="J52" s="17"/>
      <c r="K52" s="31"/>
    </row>
    <row r="53" spans="1:11">
      <c r="A53" s="16"/>
      <c r="B53" s="17"/>
      <c r="C53" s="17"/>
      <c r="D53" s="17"/>
      <c r="E53" s="17"/>
      <c r="F53" s="17"/>
      <c r="G53" s="17"/>
      <c r="H53" s="31"/>
      <c r="I53" s="17"/>
      <c r="J53" s="17"/>
      <c r="K53" s="31"/>
    </row>
    <row r="54" spans="1:11">
      <c r="A54" s="16"/>
      <c r="B54" s="17"/>
      <c r="C54" s="17"/>
      <c r="D54" s="17"/>
      <c r="E54" s="17"/>
      <c r="F54" s="17"/>
      <c r="G54" s="17"/>
      <c r="H54" s="31"/>
      <c r="I54" s="17"/>
      <c r="J54" s="17"/>
      <c r="K54" s="31"/>
    </row>
    <row r="55" spans="1:11">
      <c r="A55" s="16"/>
      <c r="B55" s="17"/>
      <c r="C55" s="17"/>
      <c r="D55" s="17"/>
      <c r="E55" s="17"/>
      <c r="F55" s="17"/>
      <c r="G55" s="17"/>
      <c r="H55" s="31"/>
      <c r="I55" s="17"/>
      <c r="J55" s="17"/>
      <c r="K55" s="31"/>
    </row>
    <row r="56" spans="1:11">
      <c r="A56" s="16"/>
      <c r="B56" s="17"/>
      <c r="C56" s="17"/>
      <c r="D56" s="17"/>
      <c r="E56" s="17"/>
      <c r="F56" s="17"/>
      <c r="G56" s="17"/>
      <c r="H56" s="31"/>
      <c r="I56" s="17"/>
      <c r="J56" s="17"/>
      <c r="K56" s="31"/>
    </row>
    <row r="57" spans="1:11">
      <c r="A57" s="16"/>
      <c r="B57" s="17"/>
      <c r="C57" s="17"/>
      <c r="D57" s="17"/>
      <c r="E57" s="17"/>
      <c r="F57" s="17"/>
      <c r="G57" s="17"/>
      <c r="H57" s="31"/>
      <c r="I57" s="17"/>
      <c r="J57" s="17"/>
      <c r="K57" s="31"/>
    </row>
    <row r="58" spans="1:11">
      <c r="A58" s="16"/>
      <c r="B58" s="17"/>
      <c r="C58" s="17"/>
      <c r="D58" s="17"/>
      <c r="E58" s="17"/>
      <c r="F58" s="17"/>
      <c r="G58" s="17"/>
      <c r="H58" s="31"/>
      <c r="I58" s="17"/>
      <c r="J58" s="17"/>
      <c r="K58" s="31"/>
    </row>
    <row r="59" spans="1:11">
      <c r="A59" s="16"/>
      <c r="B59" s="17"/>
      <c r="C59" s="17"/>
      <c r="D59" s="17"/>
      <c r="E59" s="17"/>
      <c r="F59" s="17"/>
      <c r="G59" s="17"/>
      <c r="H59" s="31"/>
      <c r="I59" s="17"/>
      <c r="J59" s="17"/>
      <c r="K59" s="31"/>
    </row>
    <row r="60" spans="1:11">
      <c r="A60" s="16"/>
      <c r="B60" s="17"/>
      <c r="C60" s="17"/>
      <c r="D60" s="17"/>
      <c r="E60" s="17"/>
      <c r="F60" s="17"/>
      <c r="G60" s="17"/>
      <c r="H60" s="31"/>
      <c r="I60" s="17"/>
      <c r="J60" s="17"/>
      <c r="K60" s="31"/>
    </row>
    <row r="61" spans="1:11">
      <c r="A61" s="16"/>
      <c r="B61" s="17"/>
      <c r="C61" s="17"/>
      <c r="D61" s="17"/>
      <c r="E61" s="17"/>
      <c r="F61" s="17"/>
      <c r="G61" s="17"/>
      <c r="H61" s="31"/>
      <c r="I61" s="17"/>
      <c r="J61" s="17"/>
      <c r="K61" s="31"/>
    </row>
    <row r="62" spans="1:11">
      <c r="A62" s="16"/>
      <c r="B62" s="17"/>
      <c r="C62" s="17"/>
      <c r="D62" s="17"/>
      <c r="E62" s="17"/>
      <c r="F62" s="17"/>
      <c r="G62" s="17"/>
      <c r="H62" s="31"/>
      <c r="I62" s="17"/>
      <c r="J62" s="17"/>
      <c r="K62" s="31"/>
    </row>
    <row r="63" spans="1:11">
      <c r="A63" s="16"/>
      <c r="B63" s="17"/>
      <c r="C63" s="17"/>
      <c r="D63" s="17"/>
      <c r="E63" s="17"/>
      <c r="F63" s="17"/>
      <c r="G63" s="17"/>
      <c r="H63" s="31"/>
      <c r="I63" s="17"/>
      <c r="J63" s="17"/>
      <c r="K63" s="31"/>
    </row>
    <row r="64" spans="1:11">
      <c r="A64" s="16"/>
      <c r="B64" s="17"/>
      <c r="C64" s="17"/>
      <c r="D64" s="17"/>
      <c r="E64" s="17"/>
      <c r="F64" s="17"/>
      <c r="G64" s="17"/>
      <c r="H64" s="31"/>
      <c r="I64" s="17"/>
      <c r="J64" s="17"/>
      <c r="K64" s="31"/>
    </row>
    <row r="65" spans="1:11">
      <c r="A65" s="16"/>
      <c r="B65" s="17"/>
      <c r="C65" s="17"/>
      <c r="D65" s="17"/>
      <c r="E65" s="17"/>
      <c r="F65" s="17"/>
      <c r="G65" s="17"/>
      <c r="H65" s="31"/>
      <c r="I65" s="17"/>
      <c r="J65" s="17"/>
      <c r="K65" s="31"/>
    </row>
    <row r="66" spans="1:11">
      <c r="A66" s="16"/>
      <c r="B66" s="17"/>
      <c r="C66" s="17"/>
      <c r="D66" s="17"/>
      <c r="E66" s="17"/>
      <c r="F66" s="17"/>
      <c r="G66" s="17"/>
      <c r="H66" s="31"/>
      <c r="I66" s="17"/>
      <c r="J66" s="17"/>
      <c r="K66" s="31"/>
    </row>
    <row r="67" spans="1:11">
      <c r="A67" s="16"/>
      <c r="B67" s="17"/>
      <c r="C67" s="17"/>
      <c r="D67" s="17"/>
      <c r="E67" s="17"/>
      <c r="F67" s="17"/>
      <c r="G67" s="17"/>
      <c r="H67" s="31"/>
      <c r="I67" s="17"/>
      <c r="J67" s="17"/>
      <c r="K67" s="31"/>
    </row>
    <row r="68" spans="1:11">
      <c r="A68" s="16"/>
      <c r="B68" s="17"/>
      <c r="C68" s="17"/>
      <c r="D68" s="17"/>
      <c r="E68" s="17"/>
      <c r="F68" s="17"/>
      <c r="G68" s="17"/>
      <c r="H68" s="31"/>
      <c r="I68" s="17"/>
      <c r="J68" s="17"/>
      <c r="K68" s="31"/>
    </row>
    <row r="69" spans="1:11">
      <c r="A69" s="16"/>
      <c r="B69" s="17"/>
      <c r="C69" s="17"/>
      <c r="D69" s="17"/>
      <c r="E69" s="17"/>
      <c r="F69" s="17"/>
      <c r="G69" s="17"/>
      <c r="H69" s="31"/>
      <c r="I69" s="17"/>
      <c r="J69" s="17"/>
      <c r="K69" s="31"/>
    </row>
    <row r="70" spans="1:11">
      <c r="A70" s="16"/>
      <c r="B70" s="17"/>
      <c r="C70" s="17"/>
      <c r="D70" s="17"/>
      <c r="E70" s="17"/>
      <c r="F70" s="17"/>
      <c r="G70" s="17"/>
      <c r="H70" s="31"/>
      <c r="I70" s="17"/>
      <c r="J70" s="17"/>
      <c r="K70" s="31"/>
    </row>
    <row r="71" spans="1:11">
      <c r="A71" s="16"/>
      <c r="B71" s="17"/>
      <c r="C71" s="17"/>
      <c r="D71" s="17"/>
      <c r="E71" s="17"/>
      <c r="F71" s="17"/>
      <c r="G71" s="17"/>
      <c r="H71" s="31"/>
      <c r="I71" s="17"/>
      <c r="J71" s="17"/>
      <c r="K71" s="31"/>
    </row>
    <row r="72" spans="1:11">
      <c r="A72" s="16"/>
      <c r="B72" s="17"/>
      <c r="C72" s="17"/>
      <c r="D72" s="17"/>
      <c r="E72" s="17"/>
      <c r="F72" s="17"/>
      <c r="G72" s="17"/>
      <c r="H72" s="31"/>
      <c r="I72" s="17"/>
      <c r="J72" s="17"/>
      <c r="K72" s="31"/>
    </row>
    <row r="73" spans="1:11">
      <c r="A73" s="16"/>
      <c r="B73" s="17"/>
      <c r="C73" s="17"/>
      <c r="D73" s="17"/>
      <c r="E73" s="17"/>
      <c r="F73" s="17"/>
      <c r="G73" s="17"/>
      <c r="H73" s="31"/>
      <c r="I73" s="17"/>
      <c r="J73" s="17"/>
      <c r="K73" s="31"/>
    </row>
    <row r="74" spans="1:11">
      <c r="A74" s="16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6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6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6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6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6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6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6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6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6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6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6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6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6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6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6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6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6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6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6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6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6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6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6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6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6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6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6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6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6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6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6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6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6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6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6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6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6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6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6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6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6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6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6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6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6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6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6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6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6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6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6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6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6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6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6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6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6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6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F544" s="17"/>
      <c r="G544" s="17"/>
    </row>
    <row r="545" spans="1:7">
      <c r="A545" s="16"/>
      <c r="F545" s="17"/>
      <c r="G545" s="17"/>
    </row>
    <row r="546" spans="1:7">
      <c r="A546" s="16"/>
      <c r="F546" s="17"/>
      <c r="G546" s="17"/>
    </row>
    <row r="547" spans="1:7">
      <c r="A547" s="16"/>
      <c r="F547" s="17"/>
      <c r="G547" s="17"/>
    </row>
    <row r="548" spans="1:7">
      <c r="A548" s="16"/>
      <c r="F548" s="17"/>
      <c r="G548" s="17"/>
    </row>
    <row r="549" spans="1:7">
      <c r="A549" s="16"/>
      <c r="F549" s="17"/>
      <c r="G549" s="17"/>
    </row>
    <row r="550" spans="1:7">
      <c r="A550" s="16"/>
      <c r="F550" s="17"/>
      <c r="G550" s="17"/>
    </row>
    <row r="551" spans="1:7">
      <c r="A551" s="16"/>
      <c r="F551" s="17"/>
      <c r="G551" s="17"/>
    </row>
    <row r="552" spans="1:7">
      <c r="A552" s="16"/>
      <c r="F552" s="17"/>
      <c r="G552" s="17"/>
    </row>
  </sheetData>
  <mergeCells count="23">
    <mergeCell ref="I24:K24"/>
    <mergeCell ref="I25:K25"/>
    <mergeCell ref="F29:H29"/>
    <mergeCell ref="F31:G31"/>
    <mergeCell ref="F7:F8"/>
    <mergeCell ref="B22:C22"/>
    <mergeCell ref="D22:E22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5:E5"/>
    <mergeCell ref="C6:E6"/>
    <mergeCell ref="C7:E7"/>
    <mergeCell ref="C8:E8"/>
    <mergeCell ref="C9:E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CD2F-3D36-4BEB-8935-C3AEA6873A77}">
  <dimension ref="A1:P48"/>
  <sheetViews>
    <sheetView workbookViewId="0">
      <selection activeCell="G27" sqref="G27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233</v>
      </c>
    </row>
    <row r="2" spans="1:6">
      <c r="A2" s="16" t="s">
        <v>234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203">
        <v>60</v>
      </c>
      <c r="D5" s="203"/>
      <c r="E5" s="204"/>
      <c r="F5" s="16"/>
    </row>
    <row r="6" spans="1:6">
      <c r="A6" s="16"/>
      <c r="B6" s="19" t="s">
        <v>82</v>
      </c>
      <c r="C6" s="228">
        <v>20</v>
      </c>
      <c r="D6" s="228"/>
      <c r="E6" s="229"/>
      <c r="F6" s="16" t="s">
        <v>175</v>
      </c>
    </row>
    <row r="7" spans="1:6">
      <c r="A7" s="16"/>
      <c r="B7" s="20" t="s">
        <v>83</v>
      </c>
      <c r="C7" s="193">
        <v>0.75</v>
      </c>
      <c r="D7" s="193"/>
      <c r="E7" s="194"/>
      <c r="F7" s="207" t="s">
        <v>84</v>
      </c>
    </row>
    <row r="8" spans="1:6">
      <c r="A8" s="16"/>
      <c r="B8" s="20" t="s">
        <v>85</v>
      </c>
      <c r="C8" s="193">
        <v>0.75</v>
      </c>
      <c r="D8" s="193"/>
      <c r="E8" s="194"/>
      <c r="F8" s="207"/>
    </row>
    <row r="9" spans="1:6">
      <c r="A9" s="16"/>
      <c r="B9" s="20" t="s">
        <v>86</v>
      </c>
      <c r="C9" s="193">
        <v>1</v>
      </c>
      <c r="D9" s="193"/>
      <c r="E9" s="194"/>
      <c r="F9" s="47" t="s">
        <v>176</v>
      </c>
    </row>
    <row r="10" spans="1:6">
      <c r="A10" s="16"/>
      <c r="B10" s="20" t="s">
        <v>87</v>
      </c>
      <c r="C10" s="214">
        <v>0.5</v>
      </c>
      <c r="D10" s="214"/>
      <c r="E10" s="215"/>
      <c r="F10" s="42" t="s">
        <v>177</v>
      </c>
    </row>
    <row r="11" spans="1:6">
      <c r="A11" s="16"/>
      <c r="B11" s="20" t="s">
        <v>90</v>
      </c>
      <c r="C11" s="214">
        <v>0.36</v>
      </c>
      <c r="D11" s="214"/>
      <c r="E11" s="215"/>
      <c r="F11" s="43" t="s">
        <v>178</v>
      </c>
    </row>
    <row r="12" spans="1:6">
      <c r="A12" s="16"/>
      <c r="B12" s="45" t="s">
        <v>92</v>
      </c>
      <c r="C12" s="233">
        <f>((C5/2)^2*PI()-(C6/2)^2*PI())*C7*C8*C9*C10*C11</f>
        <v>254.46900494077323</v>
      </c>
      <c r="D12" s="233"/>
      <c r="E12" s="234"/>
      <c r="F12" s="16"/>
    </row>
    <row r="13" spans="1:6">
      <c r="A13" s="16"/>
      <c r="B13" s="20" t="s">
        <v>93</v>
      </c>
      <c r="C13" s="197">
        <v>17000</v>
      </c>
      <c r="D13" s="197"/>
      <c r="E13" s="198"/>
      <c r="F13" s="16"/>
    </row>
    <row r="14" spans="1:6">
      <c r="A14" s="16"/>
      <c r="B14" s="20" t="s">
        <v>94</v>
      </c>
      <c r="C14" s="199">
        <v>3</v>
      </c>
      <c r="D14" s="199"/>
      <c r="E14" s="200"/>
      <c r="F14" s="38" t="s">
        <v>126</v>
      </c>
    </row>
    <row r="15" spans="1:6">
      <c r="A15" s="16"/>
      <c r="B15" s="20" t="s">
        <v>95</v>
      </c>
      <c r="C15" s="216">
        <v>0.2</v>
      </c>
      <c r="D15" s="217"/>
      <c r="E15" s="218"/>
      <c r="F15" s="16"/>
    </row>
    <row r="16" spans="1:6">
      <c r="A16" s="16"/>
      <c r="B16" s="20" t="s">
        <v>96</v>
      </c>
      <c r="C16" s="222">
        <f>$C$14/10*C15/10</f>
        <v>6.0000000000000001E-3</v>
      </c>
      <c r="D16" s="223"/>
      <c r="E16" s="224"/>
      <c r="F16" s="16"/>
    </row>
    <row r="17" spans="1:16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</row>
    <row r="18" spans="1:16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</row>
    <row r="19" spans="1:16">
      <c r="A19" s="16"/>
      <c r="B19" s="25" t="s">
        <v>99</v>
      </c>
      <c r="C19" s="201">
        <f>C17/3600</f>
        <v>1.011101980911467E-2</v>
      </c>
      <c r="D19" s="201"/>
      <c r="E19" s="201"/>
      <c r="F19" s="16"/>
    </row>
    <row r="20" spans="1:16">
      <c r="A20" s="16"/>
      <c r="B20" s="26" t="s">
        <v>101</v>
      </c>
      <c r="C20" s="225">
        <f>C18/3600</f>
        <v>6.7406799424045796E-4</v>
      </c>
      <c r="D20" s="226"/>
      <c r="E20" s="227"/>
      <c r="F20" s="16"/>
    </row>
    <row r="22" spans="1:16" ht="76" customHeight="1">
      <c r="B22" t="s">
        <v>180</v>
      </c>
      <c r="C22" t="s">
        <v>183</v>
      </c>
      <c r="F22" t="s">
        <v>190</v>
      </c>
      <c r="G22" s="93" t="s">
        <v>236</v>
      </c>
      <c r="H22" t="s">
        <v>196</v>
      </c>
      <c r="J22" s="240" t="s">
        <v>197</v>
      </c>
      <c r="K22" s="240"/>
      <c r="L22" s="240" t="s">
        <v>232</v>
      </c>
      <c r="M22" s="240"/>
    </row>
    <row r="23" spans="1:16">
      <c r="B23" t="s">
        <v>235</v>
      </c>
      <c r="C23" t="s">
        <v>185</v>
      </c>
      <c r="D23" t="s">
        <v>180</v>
      </c>
      <c r="E23" t="s">
        <v>185</v>
      </c>
      <c r="F23" t="s">
        <v>191</v>
      </c>
    </row>
    <row r="24" spans="1:16">
      <c r="A24" t="s">
        <v>179</v>
      </c>
      <c r="B24" s="43" t="s">
        <v>184</v>
      </c>
      <c r="C24" t="s">
        <v>186</v>
      </c>
      <c r="D24" t="s">
        <v>184</v>
      </c>
      <c r="E24" s="43" t="s">
        <v>187</v>
      </c>
      <c r="F24" s="43" t="s">
        <v>192</v>
      </c>
      <c r="G24" s="43" t="s">
        <v>193</v>
      </c>
      <c r="H24" s="43" t="s">
        <v>193</v>
      </c>
      <c r="I24" s="51" t="s">
        <v>194</v>
      </c>
      <c r="J24" s="43" t="s">
        <v>193</v>
      </c>
      <c r="K24" s="51" t="s">
        <v>194</v>
      </c>
      <c r="L24" s="43" t="s">
        <v>193</v>
      </c>
      <c r="M24" s="51" t="s">
        <v>194</v>
      </c>
    </row>
    <row r="25" spans="1:16">
      <c r="A25">
        <v>90</v>
      </c>
      <c r="B25" s="43">
        <v>0</v>
      </c>
      <c r="E25" s="49">
        <f t="shared" ref="E25:E30" si="0">$C$31*B25/$D$31</f>
        <v>0</v>
      </c>
      <c r="F25" s="49">
        <v>0.37582648709983441</v>
      </c>
      <c r="G25" s="50">
        <f>E25*F25*B25*B25</f>
        <v>0</v>
      </c>
      <c r="H25" s="50">
        <f t="shared" ref="H25:H43" si="1">B25*B25*G25</f>
        <v>0</v>
      </c>
      <c r="I25" s="53">
        <f t="shared" ref="I25:I43" si="2">(($C$5/2)^2*PI()-($C$6/2)^2*PI())*H25</f>
        <v>0</v>
      </c>
      <c r="J25" s="43"/>
      <c r="K25" s="51"/>
      <c r="L25" s="43"/>
      <c r="M25" s="51"/>
    </row>
    <row r="26" spans="1:16">
      <c r="A26">
        <v>95</v>
      </c>
      <c r="B26" s="43">
        <v>0</v>
      </c>
      <c r="E26" s="49">
        <f t="shared" si="0"/>
        <v>0</v>
      </c>
      <c r="F26" s="49">
        <v>0.37582648709983441</v>
      </c>
      <c r="G26" s="50">
        <f t="shared" ref="G26:G43" si="3">E26*F26*B26*B26</f>
        <v>0</v>
      </c>
      <c r="H26" s="50">
        <f t="shared" si="1"/>
        <v>0</v>
      </c>
      <c r="I26" s="53">
        <f t="shared" si="2"/>
        <v>0</v>
      </c>
      <c r="J26" s="43"/>
      <c r="K26" s="51"/>
      <c r="L26" s="43"/>
      <c r="M26" s="51"/>
    </row>
    <row r="27" spans="1:16">
      <c r="A27">
        <v>100</v>
      </c>
      <c r="B27" s="43">
        <v>0.2</v>
      </c>
      <c r="E27" s="49">
        <f t="shared" si="0"/>
        <v>0.12903225806451615</v>
      </c>
      <c r="F27" s="49">
        <v>0.37582648709983441</v>
      </c>
      <c r="G27" s="50">
        <f t="shared" si="3"/>
        <v>1.9397496108378557E-3</v>
      </c>
      <c r="H27" s="50">
        <f t="shared" si="1"/>
        <v>7.7589984433514244E-5</v>
      </c>
      <c r="I27" s="53">
        <f t="shared" si="2"/>
        <v>0.19500490007077981</v>
      </c>
    </row>
    <row r="28" spans="1:16">
      <c r="A28">
        <v>105</v>
      </c>
      <c r="B28" s="43">
        <v>0.25</v>
      </c>
      <c r="E28" s="49">
        <f t="shared" si="0"/>
        <v>0.16129032258064518</v>
      </c>
      <c r="F28" s="49">
        <v>0.37582648709983441</v>
      </c>
      <c r="G28" s="50">
        <f t="shared" si="3"/>
        <v>3.7885734586676862E-3</v>
      </c>
      <c r="H28" s="50">
        <f t="shared" si="1"/>
        <v>2.3678584116673039E-4</v>
      </c>
      <c r="I28" s="53">
        <f t="shared" si="2"/>
        <v>0.59510772726678385</v>
      </c>
    </row>
    <row r="29" spans="1:16">
      <c r="A29">
        <v>110</v>
      </c>
      <c r="B29" s="43">
        <v>0.67</v>
      </c>
      <c r="E29" s="49">
        <f t="shared" si="0"/>
        <v>0.43225806451612908</v>
      </c>
      <c r="F29" s="49">
        <v>0.37582648709983441</v>
      </c>
      <c r="G29" s="50">
        <f t="shared" si="3"/>
        <v>7.292561402555324E-2</v>
      </c>
      <c r="H29" s="50">
        <f t="shared" si="1"/>
        <v>3.2736308136070855E-2</v>
      </c>
      <c r="I29" s="53">
        <f t="shared" si="2"/>
        <v>82.275316116745586</v>
      </c>
      <c r="N29" t="s">
        <v>113</v>
      </c>
      <c r="O29" t="s">
        <v>195</v>
      </c>
      <c r="P29" t="s">
        <v>198</v>
      </c>
    </row>
    <row r="30" spans="1:16">
      <c r="A30">
        <v>115</v>
      </c>
      <c r="B30" s="43">
        <v>0.9</v>
      </c>
      <c r="E30" s="49">
        <f t="shared" si="0"/>
        <v>0.58064516129032262</v>
      </c>
      <c r="F30" s="48">
        <v>0.37582648709983441</v>
      </c>
      <c r="G30" s="50">
        <f t="shared" si="3"/>
        <v>0.17675968328759956</v>
      </c>
      <c r="H30" s="50">
        <f t="shared" si="1"/>
        <v>0.14317534346295566</v>
      </c>
      <c r="I30" s="53">
        <f t="shared" si="2"/>
        <v>359.83888575873351</v>
      </c>
      <c r="N30" t="s">
        <v>179</v>
      </c>
      <c r="O30" t="s">
        <v>92</v>
      </c>
    </row>
    <row r="31" spans="1:16">
      <c r="A31">
        <v>120</v>
      </c>
      <c r="B31" s="43">
        <v>0.92</v>
      </c>
      <c r="C31">
        <v>0.4</v>
      </c>
      <c r="D31">
        <v>0.62</v>
      </c>
      <c r="E31" s="48">
        <f>C31*B31/D31</f>
        <v>0.59354838709677427</v>
      </c>
      <c r="F31" s="48">
        <v>0.37102590432052945</v>
      </c>
      <c r="G31" s="50">
        <f t="shared" si="3"/>
        <v>0.18639575444099643</v>
      </c>
      <c r="H31" s="50">
        <f t="shared" si="1"/>
        <v>0.15776536655885939</v>
      </c>
      <c r="I31" s="53">
        <f t="shared" si="2"/>
        <v>396.5076132577708</v>
      </c>
      <c r="J31" s="50">
        <f>B31*B31*F31</f>
        <v>0.31403632541689613</v>
      </c>
      <c r="K31" s="53">
        <f>(($C$5/2)^2*PI()-($C$6/2)^2*PI())*J31</f>
        <v>789.25937031204364</v>
      </c>
      <c r="L31" s="48">
        <f>B31*B31*B31*B31*F31</f>
        <v>0.26580034583286094</v>
      </c>
      <c r="M31" s="48">
        <f>(($C$5/2)^2*PI()-($C$6/2)^2*PI())*L31</f>
        <v>668.02913103211392</v>
      </c>
      <c r="N31">
        <v>120</v>
      </c>
      <c r="O31">
        <v>468.4636262497292</v>
      </c>
      <c r="P31">
        <v>789.25937031204364</v>
      </c>
    </row>
    <row r="32" spans="1:16">
      <c r="A32">
        <v>125</v>
      </c>
      <c r="B32" s="43">
        <v>0.93</v>
      </c>
      <c r="C32">
        <v>0.44</v>
      </c>
      <c r="D32">
        <v>0.67</v>
      </c>
      <c r="E32" s="48">
        <f t="shared" ref="E32:E43" si="4">C32*B32/D32</f>
        <v>0.61074626865671644</v>
      </c>
      <c r="F32" s="49">
        <f>(F31+F33)/2</f>
        <v>0.32829969791945335</v>
      </c>
      <c r="G32" s="50">
        <f t="shared" si="3"/>
        <v>0.1734192096306493</v>
      </c>
      <c r="H32" s="50">
        <f t="shared" si="1"/>
        <v>0.1499902744095486</v>
      </c>
      <c r="I32" s="53">
        <f t="shared" si="2"/>
        <v>376.96667535596401</v>
      </c>
      <c r="J32" s="50">
        <f t="shared" ref="J32:J43" si="5">B32*B32*F32</f>
        <v>0.28394640873053523</v>
      </c>
      <c r="K32" s="53">
        <f t="shared" ref="K32:K43" si="6">(($C$5/2)^2*PI()-($C$6/2)^2*PI())*J32</f>
        <v>713.63516134484337</v>
      </c>
      <c r="L32" s="48">
        <f t="shared" ref="L32:L43" si="7">B32*B32*B32*B32*F32</f>
        <v>0.24558524891103992</v>
      </c>
      <c r="M32" s="48">
        <f t="shared" ref="M32:M43" si="8">(($C$5/2)^2*PI()-($C$6/2)^2*PI())*L32</f>
        <v>617.22305104715497</v>
      </c>
      <c r="N32">
        <v>125</v>
      </c>
      <c r="O32">
        <v>435.85001197359696</v>
      </c>
      <c r="P32">
        <v>713.63516134484337</v>
      </c>
    </row>
    <row r="33" spans="1:16">
      <c r="A33">
        <v>130</v>
      </c>
      <c r="B33" s="43">
        <v>0.91</v>
      </c>
      <c r="C33">
        <v>0.44</v>
      </c>
      <c r="D33">
        <v>0.67</v>
      </c>
      <c r="E33" s="48">
        <f t="shared" si="4"/>
        <v>0.5976119402985075</v>
      </c>
      <c r="F33" s="48">
        <v>0.2855734915183773</v>
      </c>
      <c r="G33" s="50">
        <f t="shared" si="3"/>
        <v>0.14132530849832517</v>
      </c>
      <c r="H33" s="50">
        <f t="shared" si="1"/>
        <v>0.11703148796746309</v>
      </c>
      <c r="I33" s="53">
        <f t="shared" si="2"/>
        <v>294.13221026981142</v>
      </c>
      <c r="J33" s="50">
        <f t="shared" si="5"/>
        <v>0.23648340832636824</v>
      </c>
      <c r="K33" s="53">
        <f t="shared" si="6"/>
        <v>594.34763063519506</v>
      </c>
      <c r="L33" s="48">
        <f t="shared" si="7"/>
        <v>0.19583191043506556</v>
      </c>
      <c r="M33" s="48">
        <f t="shared" si="8"/>
        <v>492.17927292900509</v>
      </c>
      <c r="N33">
        <v>130</v>
      </c>
      <c r="O33">
        <v>355.1892407557196</v>
      </c>
      <c r="P33">
        <v>594.34763063519506</v>
      </c>
    </row>
    <row r="34" spans="1:16">
      <c r="A34">
        <v>135</v>
      </c>
      <c r="B34" s="43">
        <v>0.89</v>
      </c>
      <c r="C34">
        <v>0.42</v>
      </c>
      <c r="D34">
        <v>0.67</v>
      </c>
      <c r="E34" s="48">
        <f t="shared" si="4"/>
        <v>0.55791044776119392</v>
      </c>
      <c r="F34" s="48">
        <v>0.30899662300809955</v>
      </c>
      <c r="G34" s="50">
        <f t="shared" si="3"/>
        <v>0.13655205512935328</v>
      </c>
      <c r="H34" s="50">
        <f t="shared" si="1"/>
        <v>0.10816288286796073</v>
      </c>
      <c r="I34" s="53">
        <f t="shared" si="2"/>
        <v>271.84297456726301</v>
      </c>
      <c r="J34" s="50">
        <f t="shared" si="5"/>
        <v>0.24475622508471567</v>
      </c>
      <c r="K34" s="53">
        <f t="shared" si="6"/>
        <v>615.13948691721009</v>
      </c>
      <c r="L34" s="48">
        <f t="shared" si="7"/>
        <v>0.1938714058896033</v>
      </c>
      <c r="M34" s="48">
        <f t="shared" si="8"/>
        <v>487.25198758712219</v>
      </c>
      <c r="N34">
        <v>135</v>
      </c>
      <c r="O34">
        <v>343.19274658157178</v>
      </c>
      <c r="P34">
        <v>615.13948691721009</v>
      </c>
    </row>
    <row r="35" spans="1:16">
      <c r="A35">
        <v>140</v>
      </c>
      <c r="B35" s="43">
        <v>0.87</v>
      </c>
      <c r="C35">
        <v>0.4</v>
      </c>
      <c r="D35">
        <v>0.67</v>
      </c>
      <c r="E35" s="48">
        <f t="shared" si="4"/>
        <v>0.5194029850746269</v>
      </c>
      <c r="F35" s="48">
        <v>0.24612037686190918</v>
      </c>
      <c r="G35" s="50">
        <f t="shared" si="3"/>
        <v>9.6758809865491222E-2</v>
      </c>
      <c r="H35" s="50">
        <f t="shared" si="1"/>
        <v>7.3236743187190312E-2</v>
      </c>
      <c r="I35" s="53">
        <f t="shared" si="2"/>
        <v>184.06401149577553</v>
      </c>
      <c r="J35" s="50">
        <f t="shared" si="5"/>
        <v>0.18628851324677906</v>
      </c>
      <c r="K35" s="53">
        <f t="shared" si="6"/>
        <v>468.19409973139676</v>
      </c>
      <c r="L35" s="48">
        <f t="shared" si="7"/>
        <v>0.14100177567648708</v>
      </c>
      <c r="M35" s="48">
        <f t="shared" si="8"/>
        <v>354.37611408669426</v>
      </c>
      <c r="N35">
        <v>140</v>
      </c>
      <c r="O35">
        <v>243.18141299481508</v>
      </c>
      <c r="P35">
        <v>468.19409973139676</v>
      </c>
    </row>
    <row r="36" spans="1:16">
      <c r="A36">
        <v>145</v>
      </c>
      <c r="B36" s="43">
        <v>0.86</v>
      </c>
      <c r="C36">
        <v>0.38</v>
      </c>
      <c r="D36">
        <v>0.67</v>
      </c>
      <c r="E36" s="48">
        <f t="shared" si="4"/>
        <v>0.48776119402985069</v>
      </c>
      <c r="F36" s="48">
        <v>0.19838991517247778</v>
      </c>
      <c r="G36" s="50">
        <f t="shared" si="3"/>
        <v>7.1568800651163125E-2</v>
      </c>
      <c r="H36" s="50">
        <f t="shared" si="1"/>
        <v>5.293228496160024E-2</v>
      </c>
      <c r="I36" s="53">
        <f t="shared" si="2"/>
        <v>133.03334205846784</v>
      </c>
      <c r="J36" s="50">
        <f t="shared" si="5"/>
        <v>0.14672918126156456</v>
      </c>
      <c r="K36" s="53">
        <f t="shared" si="6"/>
        <v>368.77065433486109</v>
      </c>
      <c r="L36" s="48">
        <f t="shared" si="7"/>
        <v>0.10852090246105314</v>
      </c>
      <c r="M36" s="48">
        <f t="shared" si="8"/>
        <v>272.74277594606326</v>
      </c>
      <c r="N36">
        <v>145</v>
      </c>
      <c r="O36">
        <v>179.8720146815412</v>
      </c>
      <c r="P36">
        <v>368.77065433486109</v>
      </c>
    </row>
    <row r="37" spans="1:16">
      <c r="A37">
        <v>150</v>
      </c>
      <c r="B37" s="43">
        <v>0.86</v>
      </c>
      <c r="C37">
        <v>0.36</v>
      </c>
      <c r="D37">
        <v>0.67</v>
      </c>
      <c r="E37" s="48">
        <f t="shared" si="4"/>
        <v>0.46208955223880593</v>
      </c>
      <c r="F37" s="48">
        <v>0.18063569617716008</v>
      </c>
      <c r="G37" s="50">
        <f t="shared" si="3"/>
        <v>6.1734314346802231E-2</v>
      </c>
      <c r="H37" s="50">
        <f t="shared" si="1"/>
        <v>4.5658698890894925E-2</v>
      </c>
      <c r="I37" s="53">
        <f t="shared" si="2"/>
        <v>114.75282640648315</v>
      </c>
      <c r="J37" s="50">
        <f t="shared" si="5"/>
        <v>0.13359816089262758</v>
      </c>
      <c r="K37" s="53">
        <f t="shared" si="6"/>
        <v>335.76880063470878</v>
      </c>
      <c r="L37" s="48">
        <f t="shared" si="7"/>
        <v>9.8809199796187366E-2</v>
      </c>
      <c r="M37" s="48">
        <f t="shared" si="8"/>
        <v>248.33460494943066</v>
      </c>
      <c r="N37">
        <v>150</v>
      </c>
      <c r="O37">
        <v>155.15525474105348</v>
      </c>
      <c r="P37">
        <v>335.76880063470878</v>
      </c>
    </row>
    <row r="38" spans="1:16">
      <c r="A38">
        <v>155</v>
      </c>
      <c r="B38" s="38">
        <v>0.86</v>
      </c>
      <c r="C38">
        <v>0.34</v>
      </c>
      <c r="D38">
        <v>0.64</v>
      </c>
      <c r="E38" s="48">
        <f t="shared" si="4"/>
        <v>0.45687499999999998</v>
      </c>
      <c r="F38" s="48">
        <v>0.13810064689087198</v>
      </c>
      <c r="G38" s="50">
        <f t="shared" si="3"/>
        <v>4.6664864562498368E-2</v>
      </c>
      <c r="H38" s="50">
        <f t="shared" si="1"/>
        <v>3.4513333830423792E-2</v>
      </c>
      <c r="I38" s="53">
        <f t="shared" si="2"/>
        <v>86.741468810041169</v>
      </c>
      <c r="J38" s="50">
        <f t="shared" si="5"/>
        <v>0.1021392384404889</v>
      </c>
      <c r="K38" s="53">
        <f t="shared" si="6"/>
        <v>256.70390490231694</v>
      </c>
      <c r="L38" s="48">
        <f t="shared" si="7"/>
        <v>7.5542180750585594E-2</v>
      </c>
      <c r="M38" s="48">
        <f t="shared" si="8"/>
        <v>189.85820806575359</v>
      </c>
      <c r="N38">
        <v>155</v>
      </c>
      <c r="O38">
        <v>117.28159655224603</v>
      </c>
      <c r="P38">
        <v>256.70390490231694</v>
      </c>
    </row>
    <row r="39" spans="1:16">
      <c r="A39">
        <v>160</v>
      </c>
      <c r="B39" s="38">
        <v>0.86</v>
      </c>
      <c r="C39">
        <v>0.32</v>
      </c>
      <c r="D39">
        <v>0.62</v>
      </c>
      <c r="E39" s="48">
        <f t="shared" si="4"/>
        <v>0.44387096774193546</v>
      </c>
      <c r="F39" s="48">
        <v>0.1122112642135074</v>
      </c>
      <c r="G39" s="50">
        <f t="shared" si="3"/>
        <v>3.6837495675141503E-2</v>
      </c>
      <c r="H39" s="50">
        <f t="shared" si="1"/>
        <v>2.7245011801334654E-2</v>
      </c>
      <c r="I39" s="53">
        <f t="shared" si="2"/>
        <v>68.474183137632139</v>
      </c>
      <c r="J39" s="50">
        <f t="shared" si="5"/>
        <v>8.2991451012310063E-2</v>
      </c>
      <c r="K39" s="53">
        <f t="shared" si="6"/>
        <v>208.58026624882442</v>
      </c>
      <c r="L39" s="48">
        <f t="shared" si="7"/>
        <v>6.1380477168704525E-2</v>
      </c>
      <c r="M39" s="48">
        <f t="shared" si="8"/>
        <v>154.26596491763053</v>
      </c>
      <c r="N39">
        <v>160</v>
      </c>
      <c r="O39">
        <v>92.582724631736241</v>
      </c>
      <c r="P39">
        <v>208.58026624882442</v>
      </c>
    </row>
    <row r="40" spans="1:16">
      <c r="A40">
        <v>165</v>
      </c>
      <c r="B40" s="38">
        <v>0.86</v>
      </c>
      <c r="C40">
        <v>0.3</v>
      </c>
      <c r="D40">
        <v>0.6</v>
      </c>
      <c r="E40" s="48">
        <f t="shared" si="4"/>
        <v>0.43000000000000005</v>
      </c>
      <c r="F40" s="49">
        <v>0.08</v>
      </c>
      <c r="G40" s="50">
        <f t="shared" si="3"/>
        <v>2.5442240000000005E-2</v>
      </c>
      <c r="H40" s="50">
        <f t="shared" si="1"/>
        <v>1.8817080704000001E-2</v>
      </c>
      <c r="I40" s="53">
        <f t="shared" si="2"/>
        <v>47.292482001354124</v>
      </c>
      <c r="J40" s="50">
        <f t="shared" si="5"/>
        <v>5.9167999999999998E-2</v>
      </c>
      <c r="K40" s="53">
        <f t="shared" si="6"/>
        <v>148.7054033020807</v>
      </c>
      <c r="L40" s="48">
        <f t="shared" si="7"/>
        <v>4.3760652800000001E-2</v>
      </c>
      <c r="M40" s="48">
        <f t="shared" si="8"/>
        <v>109.9825162822189</v>
      </c>
      <c r="N40">
        <v>165</v>
      </c>
      <c r="O40">
        <v>63.94332341989471</v>
      </c>
      <c r="P40">
        <v>148.7054033020807</v>
      </c>
    </row>
    <row r="41" spans="1:16">
      <c r="A41">
        <v>170</v>
      </c>
      <c r="B41" s="38">
        <v>0.86</v>
      </c>
      <c r="C41">
        <v>0.28000000000000003</v>
      </c>
      <c r="D41">
        <v>0.62</v>
      </c>
      <c r="E41" s="48">
        <f t="shared" si="4"/>
        <v>0.38838709677419359</v>
      </c>
      <c r="F41" s="49">
        <v>0.05</v>
      </c>
      <c r="G41" s="50">
        <f t="shared" si="3"/>
        <v>1.4362554838709679E-2</v>
      </c>
      <c r="H41" s="50">
        <f t="shared" si="1"/>
        <v>1.0622545558709678E-2</v>
      </c>
      <c r="I41" s="53">
        <f t="shared" si="2"/>
        <v>26.69736887173217</v>
      </c>
      <c r="J41" s="50">
        <f t="shared" si="5"/>
        <v>3.6979999999999999E-2</v>
      </c>
      <c r="K41" s="53">
        <f t="shared" si="6"/>
        <v>92.940877063800443</v>
      </c>
      <c r="L41" s="48">
        <f t="shared" si="7"/>
        <v>2.7350408E-2</v>
      </c>
      <c r="M41" s="48">
        <f t="shared" si="8"/>
        <v>68.739072676386812</v>
      </c>
      <c r="N41">
        <v>170</v>
      </c>
      <c r="O41">
        <v>36.097037414456693</v>
      </c>
      <c r="P41">
        <v>92.940877063800443</v>
      </c>
    </row>
    <row r="42" spans="1:16">
      <c r="A42">
        <v>175</v>
      </c>
      <c r="B42" s="38">
        <v>0.86</v>
      </c>
      <c r="C42">
        <v>0.28000000000000003</v>
      </c>
      <c r="D42">
        <v>0.64</v>
      </c>
      <c r="E42" s="48">
        <f t="shared" si="4"/>
        <v>0.37625000000000003</v>
      </c>
      <c r="F42" s="49">
        <v>0.03</v>
      </c>
      <c r="G42" s="50">
        <f t="shared" si="3"/>
        <v>8.3482350000000007E-3</v>
      </c>
      <c r="H42" s="50">
        <f t="shared" si="1"/>
        <v>6.1743546060000001E-3</v>
      </c>
      <c r="I42" s="53">
        <f t="shared" si="2"/>
        <v>15.517845656694321</v>
      </c>
      <c r="J42" s="50">
        <f t="shared" si="5"/>
        <v>2.2187999999999996E-2</v>
      </c>
      <c r="K42" s="53">
        <f t="shared" si="6"/>
        <v>55.764526238280254</v>
      </c>
      <c r="L42" s="48">
        <f t="shared" si="7"/>
        <v>1.6410244799999998E-2</v>
      </c>
      <c r="M42" s="48">
        <f t="shared" si="8"/>
        <v>41.243443605832077</v>
      </c>
      <c r="N42">
        <v>175</v>
      </c>
      <c r="O42">
        <v>20.981402997152948</v>
      </c>
      <c r="P42">
        <v>55.764526238280254</v>
      </c>
    </row>
    <row r="43" spans="1:16">
      <c r="A43">
        <v>180</v>
      </c>
      <c r="B43" s="38">
        <v>0.86</v>
      </c>
      <c r="C43">
        <v>0.28000000000000003</v>
      </c>
      <c r="D43">
        <v>0.67</v>
      </c>
      <c r="E43" s="48">
        <f t="shared" si="4"/>
        <v>0.35940298507462687</v>
      </c>
      <c r="F43" s="49">
        <v>0.02</v>
      </c>
      <c r="G43" s="50">
        <f t="shared" si="3"/>
        <v>5.3162889552238806E-3</v>
      </c>
      <c r="H43" s="50">
        <f t="shared" si="1"/>
        <v>3.9319273112835814E-3</v>
      </c>
      <c r="I43" s="53">
        <f t="shared" si="2"/>
        <v>9.8820111644620532</v>
      </c>
      <c r="J43" s="50">
        <f t="shared" si="5"/>
        <v>1.4792E-2</v>
      </c>
      <c r="K43" s="53">
        <f t="shared" si="6"/>
        <v>37.176350825520174</v>
      </c>
      <c r="L43" s="48">
        <f t="shared" si="7"/>
        <v>1.09401632E-2</v>
      </c>
      <c r="M43" s="48">
        <f t="shared" si="8"/>
        <v>27.495629070554724</v>
      </c>
      <c r="N43">
        <v>180</v>
      </c>
      <c r="O43">
        <v>13.36129146087352</v>
      </c>
      <c r="P43">
        <v>37.176350825520174</v>
      </c>
    </row>
    <row r="44" spans="1:16">
      <c r="B44" t="s">
        <v>182</v>
      </c>
      <c r="C44" t="s">
        <v>188</v>
      </c>
      <c r="K44" s="53"/>
      <c r="L44" s="48"/>
      <c r="M44" s="48"/>
    </row>
    <row r="48" spans="1:16">
      <c r="J48" t="s">
        <v>189</v>
      </c>
    </row>
  </sheetData>
  <mergeCells count="19">
    <mergeCell ref="L22:M22"/>
    <mergeCell ref="C16:E16"/>
    <mergeCell ref="C17:E17"/>
    <mergeCell ref="C18:E18"/>
    <mergeCell ref="C19:E19"/>
    <mergeCell ref="C20:E20"/>
    <mergeCell ref="J22:K22"/>
    <mergeCell ref="C15:E15"/>
    <mergeCell ref="C5:E5"/>
    <mergeCell ref="C6:E6"/>
    <mergeCell ref="C7:E7"/>
    <mergeCell ref="F7:F8"/>
    <mergeCell ref="C8:E8"/>
    <mergeCell ref="C9:E9"/>
    <mergeCell ref="C10:E10"/>
    <mergeCell ref="C11:E11"/>
    <mergeCell ref="C12:E12"/>
    <mergeCell ref="C13:E13"/>
    <mergeCell ref="C14:E14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C1D3-43FA-4B4A-93CE-30DB91C98E0B}">
  <dimension ref="A1:R46"/>
  <sheetViews>
    <sheetView topLeftCell="A12" workbookViewId="0">
      <selection activeCell="J32" sqref="J32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238</v>
      </c>
    </row>
    <row r="2" spans="1:6">
      <c r="A2" s="16" t="s">
        <v>241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241">
        <v>40</v>
      </c>
      <c r="D5" s="241"/>
      <c r="E5" s="242"/>
      <c r="F5" s="16"/>
    </row>
    <row r="6" spans="1:6">
      <c r="A6" s="16"/>
      <c r="B6" s="19" t="s">
        <v>82</v>
      </c>
      <c r="C6" s="228">
        <v>20</v>
      </c>
      <c r="D6" s="228"/>
      <c r="E6" s="229"/>
      <c r="F6" s="16" t="s">
        <v>175</v>
      </c>
    </row>
    <row r="7" spans="1:6">
      <c r="A7" s="16"/>
      <c r="B7" s="20" t="s">
        <v>83</v>
      </c>
      <c r="C7" s="193">
        <v>0.75</v>
      </c>
      <c r="D7" s="193"/>
      <c r="E7" s="194"/>
      <c r="F7" s="207" t="s">
        <v>84</v>
      </c>
    </row>
    <row r="8" spans="1:6">
      <c r="A8" s="16"/>
      <c r="B8" s="20" t="s">
        <v>85</v>
      </c>
      <c r="C8" s="193">
        <v>0.75</v>
      </c>
      <c r="D8" s="193"/>
      <c r="E8" s="194"/>
      <c r="F8" s="207"/>
    </row>
    <row r="9" spans="1:6">
      <c r="A9" s="16"/>
      <c r="B9" s="20" t="s">
        <v>86</v>
      </c>
      <c r="C9" s="193">
        <v>1</v>
      </c>
      <c r="D9" s="193"/>
      <c r="E9" s="194"/>
      <c r="F9" s="47" t="s">
        <v>176</v>
      </c>
    </row>
    <row r="10" spans="1:6">
      <c r="A10" s="16"/>
      <c r="B10" s="20" t="s">
        <v>87</v>
      </c>
      <c r="C10" s="214">
        <v>0.5</v>
      </c>
      <c r="D10" s="214"/>
      <c r="E10" s="215"/>
      <c r="F10" s="42" t="s">
        <v>177</v>
      </c>
    </row>
    <row r="11" spans="1:6">
      <c r="A11" s="16"/>
      <c r="B11" s="20" t="s">
        <v>90</v>
      </c>
      <c r="C11" s="214">
        <v>0.36</v>
      </c>
      <c r="D11" s="214"/>
      <c r="E11" s="215"/>
      <c r="F11" s="43" t="s">
        <v>178</v>
      </c>
    </row>
    <row r="12" spans="1:6">
      <c r="A12" s="16"/>
      <c r="B12" s="45" t="s">
        <v>92</v>
      </c>
      <c r="C12" s="233">
        <f>((C5/2)^2*PI()-(C6/2)^2*PI())*C7*C8*C9*C10*C11</f>
        <v>95.425876852789969</v>
      </c>
      <c r="D12" s="233"/>
      <c r="E12" s="234"/>
      <c r="F12" s="16"/>
    </row>
    <row r="13" spans="1:6">
      <c r="A13" s="16"/>
      <c r="B13" s="20" t="s">
        <v>93</v>
      </c>
      <c r="C13" s="197">
        <v>17000</v>
      </c>
      <c r="D13" s="197"/>
      <c r="E13" s="198"/>
      <c r="F13" s="16"/>
    </row>
    <row r="14" spans="1:6">
      <c r="A14" s="16"/>
      <c r="B14" s="20" t="s">
        <v>94</v>
      </c>
      <c r="C14" s="199">
        <v>3</v>
      </c>
      <c r="D14" s="199"/>
      <c r="E14" s="200"/>
      <c r="F14" s="38" t="s">
        <v>126</v>
      </c>
    </row>
    <row r="15" spans="1:6">
      <c r="A15" s="16"/>
      <c r="B15" s="20" t="s">
        <v>95</v>
      </c>
      <c r="C15" s="216">
        <v>0.2</v>
      </c>
      <c r="D15" s="217"/>
      <c r="E15" s="218"/>
      <c r="F15" s="16"/>
    </row>
    <row r="16" spans="1:6">
      <c r="A16" s="16"/>
      <c r="B16" s="20" t="s">
        <v>96</v>
      </c>
      <c r="C16" s="222">
        <f>$C$14/10*C15/10</f>
        <v>6.0000000000000001E-3</v>
      </c>
      <c r="D16" s="223"/>
      <c r="E16" s="224"/>
      <c r="F16" s="16"/>
    </row>
    <row r="17" spans="1:18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</row>
    <row r="18" spans="1:18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</row>
    <row r="19" spans="1:18">
      <c r="A19" s="16"/>
      <c r="B19" s="25" t="s">
        <v>99</v>
      </c>
      <c r="C19" s="201">
        <f>C17/3600</f>
        <v>1.011101980911467E-2</v>
      </c>
      <c r="D19" s="201"/>
      <c r="E19" s="201"/>
      <c r="F19" s="16"/>
    </row>
    <row r="20" spans="1:18">
      <c r="A20" s="16"/>
      <c r="B20" s="26" t="s">
        <v>101</v>
      </c>
      <c r="C20" s="225">
        <f>C18/3600</f>
        <v>6.7406799424045796E-4</v>
      </c>
      <c r="D20" s="226"/>
      <c r="E20" s="227"/>
      <c r="F20" s="16"/>
    </row>
    <row r="22" spans="1:18" ht="65.5" customHeight="1">
      <c r="B22" t="s">
        <v>180</v>
      </c>
      <c r="D22" t="s">
        <v>183</v>
      </c>
      <c r="G22" t="s">
        <v>190</v>
      </c>
      <c r="I22" t="s">
        <v>195</v>
      </c>
      <c r="J22" t="s">
        <v>196</v>
      </c>
      <c r="L22" t="s">
        <v>197</v>
      </c>
      <c r="N22" s="240" t="s">
        <v>232</v>
      </c>
      <c r="O22" s="240"/>
    </row>
    <row r="23" spans="1:18">
      <c r="B23" t="s">
        <v>181</v>
      </c>
      <c r="D23" t="s">
        <v>185</v>
      </c>
      <c r="E23" t="s">
        <v>180</v>
      </c>
      <c r="F23" t="s">
        <v>185</v>
      </c>
      <c r="G23" t="s">
        <v>191</v>
      </c>
    </row>
    <row r="24" spans="1:18">
      <c r="A24" t="s">
        <v>179</v>
      </c>
      <c r="B24" s="55" t="s">
        <v>199</v>
      </c>
      <c r="C24" s="43" t="s">
        <v>200</v>
      </c>
      <c r="D24" s="43" t="s">
        <v>186</v>
      </c>
      <c r="E24" t="s">
        <v>184</v>
      </c>
      <c r="F24" s="55" t="s">
        <v>187</v>
      </c>
      <c r="G24" s="55" t="s">
        <v>192</v>
      </c>
      <c r="H24" s="43" t="s">
        <v>202</v>
      </c>
      <c r="I24" s="43" t="s">
        <v>193</v>
      </c>
      <c r="J24" s="43" t="s">
        <v>193</v>
      </c>
      <c r="K24" s="51" t="s">
        <v>194</v>
      </c>
      <c r="L24" s="43" t="s">
        <v>193</v>
      </c>
      <c r="M24" s="43" t="s">
        <v>194</v>
      </c>
      <c r="N24" s="43" t="s">
        <v>193</v>
      </c>
      <c r="O24" s="51" t="s">
        <v>194</v>
      </c>
    </row>
    <row r="25" spans="1:18">
      <c r="A25">
        <v>100</v>
      </c>
      <c r="B25" s="55">
        <v>0.2</v>
      </c>
      <c r="C25" s="43">
        <f>B25*0.85</f>
        <v>0.17</v>
      </c>
      <c r="D25" s="43"/>
      <c r="F25" s="56"/>
      <c r="G25" s="55"/>
      <c r="H25" s="43"/>
      <c r="K25" s="52"/>
    </row>
    <row r="26" spans="1:18">
      <c r="A26">
        <v>105</v>
      </c>
      <c r="B26" s="55">
        <v>0.25</v>
      </c>
      <c r="C26" s="43">
        <f t="shared" ref="C26:C41" si="0">B26*0.85</f>
        <v>0.21249999999999999</v>
      </c>
      <c r="D26" s="43"/>
      <c r="F26" s="56"/>
      <c r="G26" s="55"/>
      <c r="H26" s="43"/>
      <c r="K26" s="52"/>
    </row>
    <row r="27" spans="1:18">
      <c r="A27">
        <v>110</v>
      </c>
      <c r="B27" s="55">
        <v>0.67</v>
      </c>
      <c r="C27" s="43">
        <f t="shared" si="0"/>
        <v>0.56950000000000001</v>
      </c>
      <c r="D27" s="43"/>
      <c r="F27" s="56"/>
      <c r="G27" s="55"/>
      <c r="H27" s="43"/>
      <c r="K27" s="52"/>
      <c r="P27" t="s">
        <v>113</v>
      </c>
      <c r="Q27" t="s">
        <v>195</v>
      </c>
      <c r="R27" t="s">
        <v>198</v>
      </c>
    </row>
    <row r="28" spans="1:18">
      <c r="A28">
        <v>115</v>
      </c>
      <c r="B28" s="55">
        <v>0.9</v>
      </c>
      <c r="C28" s="43">
        <f t="shared" si="0"/>
        <v>0.76500000000000001</v>
      </c>
      <c r="D28" s="43"/>
      <c r="F28" s="56"/>
      <c r="G28" s="56">
        <v>0.37582648709983441</v>
      </c>
      <c r="H28" s="48">
        <f>G28*0.8</f>
        <v>0.30066118967986755</v>
      </c>
      <c r="K28" s="52"/>
      <c r="P28" t="s">
        <v>179</v>
      </c>
      <c r="Q28" t="s">
        <v>92</v>
      </c>
    </row>
    <row r="29" spans="1:18">
      <c r="A29">
        <v>120</v>
      </c>
      <c r="B29" s="55">
        <v>0.92</v>
      </c>
      <c r="C29" s="43">
        <f t="shared" si="0"/>
        <v>0.78200000000000003</v>
      </c>
      <c r="D29" s="43">
        <v>0.4</v>
      </c>
      <c r="E29">
        <v>0.62</v>
      </c>
      <c r="F29" s="56">
        <f t="shared" ref="F29:F41" si="1">D29*B29/E29</f>
        <v>0.59354838709677427</v>
      </c>
      <c r="G29" s="56">
        <v>0.37102590432052945</v>
      </c>
      <c r="H29" s="48">
        <f t="shared" ref="H29:H41" si="2">G29*0.8</f>
        <v>0.29682072345642357</v>
      </c>
      <c r="I29" s="50">
        <f>D29*H29</f>
        <v>0.11872828938256944</v>
      </c>
      <c r="J29" s="50">
        <f>C29*C29*I29</f>
        <v>7.2605198436386395E-2</v>
      </c>
      <c r="K29" s="53">
        <f>(($C$5/2)^2*PI()-($C$6/2)^2*PI())*J29</f>
        <v>68.428787406054184</v>
      </c>
      <c r="L29" s="50">
        <f>C29*C29*H29</f>
        <v>0.18151299609096599</v>
      </c>
      <c r="M29" s="48">
        <f>(($C$5/2)^2*PI()-($C$6/2)^2*PI())*L29</f>
        <v>171.07196851513547</v>
      </c>
      <c r="N29" s="48">
        <f>C29^5*H29</f>
        <v>8.6801650775637951E-2</v>
      </c>
      <c r="O29" s="53">
        <f>(($C$5/2)^2*PI()-($C$6/2)^2*PI())*N29</f>
        <v>81.808628518863287</v>
      </c>
      <c r="P29">
        <v>120</v>
      </c>
      <c r="Q29">
        <v>468.4636262497292</v>
      </c>
      <c r="R29">
        <v>789.25937031204364</v>
      </c>
    </row>
    <row r="30" spans="1:18">
      <c r="A30">
        <v>125</v>
      </c>
      <c r="B30" s="55">
        <v>0.93</v>
      </c>
      <c r="C30" s="43">
        <f t="shared" si="0"/>
        <v>0.79049999999999998</v>
      </c>
      <c r="D30" s="43">
        <v>0.44</v>
      </c>
      <c r="E30">
        <v>0.67</v>
      </c>
      <c r="F30" s="56">
        <f t="shared" si="1"/>
        <v>0.61074626865671644</v>
      </c>
      <c r="G30" s="57">
        <f>(G29+G31)/2</f>
        <v>0.32829969791945335</v>
      </c>
      <c r="H30" s="48">
        <f t="shared" si="2"/>
        <v>0.26263975833556269</v>
      </c>
      <c r="I30" s="50">
        <f t="shared" ref="I30:I41" si="3">D30*H30</f>
        <v>0.11556149366764758</v>
      </c>
      <c r="J30" s="50">
        <f t="shared" ref="J30:J41" si="4">C30*C30*I30</f>
        <v>7.2213250668349716E-2</v>
      </c>
      <c r="K30" s="53">
        <f t="shared" ref="K30:K41" si="5">(($C$5/2)^2*PI()-($C$6/2)^2*PI())*J30</f>
        <v>68.059385337457698</v>
      </c>
      <c r="L30" s="50">
        <f t="shared" ref="L30:L41" si="6">C30*C30*H30</f>
        <v>0.16412102424624936</v>
      </c>
      <c r="M30" s="48">
        <f t="shared" ref="M30:M41" si="7">(($C$5/2)^2*PI()-($C$6/2)^2*PI())*L30</f>
        <v>154.68042122149478</v>
      </c>
      <c r="N30" s="48">
        <f t="shared" ref="N30:N41" si="8">C30^5*H30</f>
        <v>8.1071804832416647E-2</v>
      </c>
      <c r="O30" s="53">
        <f t="shared" ref="O30:O41" si="9">(($C$5/2)^2*PI()-($C$6/2)^2*PI())*N30</f>
        <v>76.408375942435683</v>
      </c>
      <c r="P30">
        <v>125</v>
      </c>
      <c r="Q30">
        <v>435.85001197359696</v>
      </c>
      <c r="R30">
        <v>713.63516134484337</v>
      </c>
    </row>
    <row r="31" spans="1:18">
      <c r="A31">
        <v>130</v>
      </c>
      <c r="B31" s="55">
        <v>0.91</v>
      </c>
      <c r="C31" s="43">
        <f t="shared" si="0"/>
        <v>0.77349999999999997</v>
      </c>
      <c r="D31" s="43">
        <v>0.44</v>
      </c>
      <c r="E31">
        <v>0.67</v>
      </c>
      <c r="F31" s="56">
        <f t="shared" si="1"/>
        <v>0.5976119402985075</v>
      </c>
      <c r="G31" s="56">
        <v>0.2855734915183773</v>
      </c>
      <c r="H31" s="48">
        <f t="shared" si="2"/>
        <v>0.22845879321470186</v>
      </c>
      <c r="I31" s="50">
        <f t="shared" si="3"/>
        <v>0.10052186901446881</v>
      </c>
      <c r="J31" s="50">
        <f t="shared" si="4"/>
        <v>6.0142460405561968E-2</v>
      </c>
      <c r="K31" s="53">
        <f t="shared" si="5"/>
        <v>56.682933533678543</v>
      </c>
      <c r="L31" s="50">
        <f t="shared" si="6"/>
        <v>0.13668741001264084</v>
      </c>
      <c r="M31" s="48">
        <f t="shared" si="7"/>
        <v>128.82484894017853</v>
      </c>
      <c r="N31" s="48">
        <f t="shared" si="8"/>
        <v>6.3257127764421689E-2</v>
      </c>
      <c r="O31" s="53">
        <f t="shared" si="9"/>
        <v>59.618438361569432</v>
      </c>
      <c r="P31">
        <v>130</v>
      </c>
      <c r="Q31">
        <v>355.1892407557196</v>
      </c>
      <c r="R31">
        <v>594.34763063519506</v>
      </c>
    </row>
    <row r="32" spans="1:18">
      <c r="A32">
        <v>135</v>
      </c>
      <c r="B32" s="55">
        <v>0.89</v>
      </c>
      <c r="C32" s="43">
        <f t="shared" si="0"/>
        <v>0.75649999999999995</v>
      </c>
      <c r="D32" s="43">
        <v>0.42</v>
      </c>
      <c r="E32">
        <v>0.67</v>
      </c>
      <c r="F32" s="56">
        <f t="shared" si="1"/>
        <v>0.55791044776119392</v>
      </c>
      <c r="G32" s="56">
        <v>0.30899662300809955</v>
      </c>
      <c r="H32" s="48">
        <f t="shared" si="2"/>
        <v>0.24719729840647964</v>
      </c>
      <c r="I32" s="50">
        <f t="shared" si="3"/>
        <v>0.10382286533072145</v>
      </c>
      <c r="J32" s="50">
        <f t="shared" si="4"/>
        <v>5.941702120156557E-2</v>
      </c>
      <c r="K32" s="53">
        <f t="shared" si="5"/>
        <v>55.999223191508214</v>
      </c>
      <c r="L32" s="50">
        <f t="shared" si="6"/>
        <v>0.14146909809896563</v>
      </c>
      <c r="M32" s="48">
        <f t="shared" si="7"/>
        <v>133.33148378930525</v>
      </c>
      <c r="N32" s="48">
        <f t="shared" si="8"/>
        <v>6.1247502187363245E-2</v>
      </c>
      <c r="O32" s="53">
        <f t="shared" si="9"/>
        <v>57.724410876763542</v>
      </c>
      <c r="P32">
        <v>135</v>
      </c>
      <c r="Q32">
        <v>343.19274658157178</v>
      </c>
      <c r="R32">
        <v>615.13948691721009</v>
      </c>
    </row>
    <row r="33" spans="1:18">
      <c r="A33">
        <v>140</v>
      </c>
      <c r="B33" s="55">
        <v>0.87</v>
      </c>
      <c r="C33" s="43">
        <f t="shared" si="0"/>
        <v>0.73949999999999994</v>
      </c>
      <c r="D33" s="43">
        <v>0.4</v>
      </c>
      <c r="E33">
        <v>0.67</v>
      </c>
      <c r="F33" s="56">
        <f t="shared" si="1"/>
        <v>0.5194029850746269</v>
      </c>
      <c r="G33" s="56">
        <v>0.24612037686190918</v>
      </c>
      <c r="H33" s="48">
        <f t="shared" si="2"/>
        <v>0.19689630148952736</v>
      </c>
      <c r="I33" s="50">
        <f t="shared" si="3"/>
        <v>7.8758520595810955E-2</v>
      </c>
      <c r="J33" s="50">
        <f t="shared" si="4"/>
        <v>4.306990426265532E-2</v>
      </c>
      <c r="K33" s="53">
        <f t="shared" si="5"/>
        <v>40.592428446712098</v>
      </c>
      <c r="L33" s="50">
        <f t="shared" si="6"/>
        <v>0.10767476065663829</v>
      </c>
      <c r="M33" s="48">
        <f t="shared" si="7"/>
        <v>101.48107111678024</v>
      </c>
      <c r="N33" s="48">
        <f t="shared" si="8"/>
        <v>4.3544012909955049E-2</v>
      </c>
      <c r="O33" s="53">
        <f t="shared" si="9"/>
        <v>41.039265319720165</v>
      </c>
      <c r="P33">
        <v>140</v>
      </c>
      <c r="Q33">
        <v>243.18141299481508</v>
      </c>
      <c r="R33">
        <v>468.19409973139676</v>
      </c>
    </row>
    <row r="34" spans="1:18">
      <c r="A34">
        <v>145</v>
      </c>
      <c r="B34" s="55">
        <v>0.86</v>
      </c>
      <c r="C34" s="43">
        <f t="shared" si="0"/>
        <v>0.73099999999999998</v>
      </c>
      <c r="D34" s="43">
        <v>0.38</v>
      </c>
      <c r="E34">
        <v>0.67</v>
      </c>
      <c r="F34" s="56">
        <f t="shared" si="1"/>
        <v>0.48776119402985069</v>
      </c>
      <c r="G34" s="56">
        <v>0.19838991517247778</v>
      </c>
      <c r="H34" s="48">
        <f t="shared" si="2"/>
        <v>0.15871193213798224</v>
      </c>
      <c r="I34" s="50">
        <f t="shared" si="3"/>
        <v>6.0310534212433251E-2</v>
      </c>
      <c r="J34" s="50">
        <f t="shared" si="4"/>
        <v>3.2227597372290043E-2</v>
      </c>
      <c r="K34" s="53">
        <f t="shared" si="5"/>
        <v>30.373794944290836</v>
      </c>
      <c r="L34" s="50">
        <f t="shared" si="6"/>
        <v>8.4809466769184327E-2</v>
      </c>
      <c r="M34" s="48">
        <f t="shared" si="7"/>
        <v>79.931039327081152</v>
      </c>
      <c r="N34" s="48">
        <f t="shared" si="8"/>
        <v>3.3128095046213363E-2</v>
      </c>
      <c r="O34" s="53">
        <f t="shared" si="9"/>
        <v>31.222494007382494</v>
      </c>
      <c r="P34">
        <v>145</v>
      </c>
      <c r="Q34">
        <v>179.8720146815412</v>
      </c>
      <c r="R34">
        <v>368.77065433486109</v>
      </c>
    </row>
    <row r="35" spans="1:18">
      <c r="A35">
        <v>150</v>
      </c>
      <c r="B35" s="55">
        <v>0.86</v>
      </c>
      <c r="C35" s="43">
        <f t="shared" si="0"/>
        <v>0.73099999999999998</v>
      </c>
      <c r="D35" s="43">
        <v>0.36</v>
      </c>
      <c r="E35">
        <v>0.67</v>
      </c>
      <c r="F35" s="56">
        <f t="shared" si="1"/>
        <v>0.46208955223880593</v>
      </c>
      <c r="G35" s="56">
        <v>0.18063569617716008</v>
      </c>
      <c r="H35" s="48">
        <f t="shared" si="2"/>
        <v>0.14450855694172807</v>
      </c>
      <c r="I35" s="50">
        <f t="shared" si="3"/>
        <v>5.2023080499022101E-2</v>
      </c>
      <c r="J35" s="50">
        <f t="shared" si="4"/>
        <v>2.7799105318537947E-2</v>
      </c>
      <c r="K35" s="53">
        <f t="shared" si="5"/>
        <v>26.200039513526328</v>
      </c>
      <c r="L35" s="50">
        <f t="shared" si="6"/>
        <v>7.7219736995938745E-2</v>
      </c>
      <c r="M35" s="48">
        <f t="shared" si="7"/>
        <v>72.777887537573136</v>
      </c>
      <c r="N35" s="48">
        <f t="shared" si="8"/>
        <v>3.0163410808928266E-2</v>
      </c>
      <c r="O35" s="53">
        <f t="shared" si="9"/>
        <v>28.428344941361999</v>
      </c>
      <c r="P35">
        <v>150</v>
      </c>
      <c r="Q35">
        <v>155.15525474105348</v>
      </c>
      <c r="R35">
        <v>335.76880063470878</v>
      </c>
    </row>
    <row r="36" spans="1:18">
      <c r="A36">
        <v>155</v>
      </c>
      <c r="B36" s="55">
        <v>0.86</v>
      </c>
      <c r="C36" s="43">
        <f t="shared" si="0"/>
        <v>0.73099999999999998</v>
      </c>
      <c r="D36" s="43">
        <v>0.34</v>
      </c>
      <c r="E36">
        <v>0.64</v>
      </c>
      <c r="F36" s="56">
        <f t="shared" si="1"/>
        <v>0.45687499999999998</v>
      </c>
      <c r="G36" s="56">
        <v>0.13810064689087198</v>
      </c>
      <c r="H36" s="48">
        <f t="shared" si="2"/>
        <v>0.11048051751269759</v>
      </c>
      <c r="I36" s="50">
        <f t="shared" si="3"/>
        <v>3.7563375954317184E-2</v>
      </c>
      <c r="J36" s="50">
        <f t="shared" si="4"/>
        <v>2.0072403138324885E-2</v>
      </c>
      <c r="K36" s="53">
        <f t="shared" si="5"/>
        <v>18.917794271776248</v>
      </c>
      <c r="L36" s="50">
        <f t="shared" si="6"/>
        <v>5.9036479818602598E-2</v>
      </c>
      <c r="M36" s="48">
        <f t="shared" si="7"/>
        <v>55.640571387577204</v>
      </c>
      <c r="N36" s="48">
        <f t="shared" si="8"/>
        <v>2.3060705238806607E-2</v>
      </c>
      <c r="O36" s="53">
        <f t="shared" si="9"/>
        <v>21.734202649450349</v>
      </c>
      <c r="P36">
        <v>155</v>
      </c>
      <c r="Q36">
        <v>117.28159655224603</v>
      </c>
      <c r="R36">
        <v>256.70390490231694</v>
      </c>
    </row>
    <row r="37" spans="1:18">
      <c r="A37">
        <v>160</v>
      </c>
      <c r="B37" s="55">
        <v>0.86</v>
      </c>
      <c r="C37" s="43">
        <f t="shared" si="0"/>
        <v>0.73099999999999998</v>
      </c>
      <c r="D37" s="43">
        <v>0.32</v>
      </c>
      <c r="E37">
        <v>0.62</v>
      </c>
      <c r="F37" s="56">
        <f t="shared" si="1"/>
        <v>0.44387096774193546</v>
      </c>
      <c r="G37" s="56">
        <v>0.1122112642135074</v>
      </c>
      <c r="H37" s="48">
        <f t="shared" si="2"/>
        <v>8.9769011370805923E-2</v>
      </c>
      <c r="I37" s="50">
        <f t="shared" si="3"/>
        <v>2.8726083638657897E-2</v>
      </c>
      <c r="J37" s="50">
        <f t="shared" si="4"/>
        <v>1.5350098779236872E-2</v>
      </c>
      <c r="K37" s="53">
        <f t="shared" si="5"/>
        <v>14.467127267018462</v>
      </c>
      <c r="L37" s="50">
        <f t="shared" si="6"/>
        <v>4.7969058685115223E-2</v>
      </c>
      <c r="M37" s="48">
        <f t="shared" si="7"/>
        <v>45.209772709432691</v>
      </c>
      <c r="N37" s="48">
        <f t="shared" si="8"/>
        <v>1.8737572536834939E-2</v>
      </c>
      <c r="O37" s="53">
        <f t="shared" si="9"/>
        <v>17.659746068347953</v>
      </c>
      <c r="P37">
        <v>160</v>
      </c>
      <c r="Q37">
        <v>92.582724631736241</v>
      </c>
      <c r="R37">
        <v>208.58026624882442</v>
      </c>
    </row>
    <row r="38" spans="1:18">
      <c r="A38">
        <v>165</v>
      </c>
      <c r="B38" s="55">
        <v>0.86</v>
      </c>
      <c r="C38" s="43">
        <f t="shared" si="0"/>
        <v>0.73099999999999998</v>
      </c>
      <c r="D38" s="43">
        <v>0.3</v>
      </c>
      <c r="E38">
        <v>0.6</v>
      </c>
      <c r="F38" s="56">
        <f t="shared" si="1"/>
        <v>0.43000000000000005</v>
      </c>
      <c r="G38" s="57">
        <v>0.08</v>
      </c>
      <c r="H38" s="48">
        <f t="shared" si="2"/>
        <v>6.4000000000000001E-2</v>
      </c>
      <c r="I38" s="50">
        <f t="shared" si="3"/>
        <v>1.9199999999999998E-2</v>
      </c>
      <c r="J38" s="50">
        <f t="shared" si="4"/>
        <v>1.0259731199999999E-2</v>
      </c>
      <c r="K38" s="53">
        <f t="shared" si="5"/>
        <v>9.6695688497177965</v>
      </c>
      <c r="L38" s="50">
        <f t="shared" si="6"/>
        <v>3.4199104000000001E-2</v>
      </c>
      <c r="M38" s="48">
        <f t="shared" si="7"/>
        <v>32.231896165725992</v>
      </c>
      <c r="N38" s="48">
        <f t="shared" si="8"/>
        <v>1.3358781878569662E-2</v>
      </c>
      <c r="O38" s="53">
        <f t="shared" si="9"/>
        <v>12.590355303186872</v>
      </c>
      <c r="P38">
        <v>165</v>
      </c>
      <c r="Q38">
        <v>63.94332341989471</v>
      </c>
      <c r="R38">
        <v>148.7054033020807</v>
      </c>
    </row>
    <row r="39" spans="1:18">
      <c r="A39">
        <v>170</v>
      </c>
      <c r="B39" s="55">
        <v>0.86</v>
      </c>
      <c r="C39" s="43">
        <f t="shared" si="0"/>
        <v>0.73099999999999998</v>
      </c>
      <c r="D39" s="43">
        <v>0.28000000000000003</v>
      </c>
      <c r="E39">
        <v>0.62</v>
      </c>
      <c r="F39" s="56">
        <f t="shared" si="1"/>
        <v>0.38838709677419359</v>
      </c>
      <c r="G39" s="57">
        <v>0.05</v>
      </c>
      <c r="H39" s="48">
        <f t="shared" si="2"/>
        <v>4.0000000000000008E-2</v>
      </c>
      <c r="I39" s="50">
        <f t="shared" si="3"/>
        <v>1.1200000000000003E-2</v>
      </c>
      <c r="J39" s="50">
        <f t="shared" si="4"/>
        <v>5.9848432000000019E-3</v>
      </c>
      <c r="K39" s="53">
        <f t="shared" si="5"/>
        <v>5.6405818290020502</v>
      </c>
      <c r="L39" s="50">
        <f t="shared" si="6"/>
        <v>2.1374440000000001E-2</v>
      </c>
      <c r="M39" s="48">
        <f t="shared" si="7"/>
        <v>20.144935103578746</v>
      </c>
      <c r="N39" s="48">
        <f t="shared" si="8"/>
        <v>8.3492386741060402E-3</v>
      </c>
      <c r="O39" s="53">
        <f t="shared" si="9"/>
        <v>7.8689720644917962</v>
      </c>
      <c r="P39">
        <v>170</v>
      </c>
      <c r="Q39">
        <v>36.097037414456693</v>
      </c>
      <c r="R39">
        <v>92.940877063800443</v>
      </c>
    </row>
    <row r="40" spans="1:18">
      <c r="A40">
        <v>175</v>
      </c>
      <c r="B40" s="55">
        <v>0.86</v>
      </c>
      <c r="C40" s="43">
        <f t="shared" si="0"/>
        <v>0.73099999999999998</v>
      </c>
      <c r="D40" s="43">
        <v>0.28000000000000003</v>
      </c>
      <c r="E40">
        <v>0.64</v>
      </c>
      <c r="F40" s="56">
        <f t="shared" si="1"/>
        <v>0.37625000000000003</v>
      </c>
      <c r="G40" s="57">
        <v>0.03</v>
      </c>
      <c r="H40" s="48">
        <f t="shared" si="2"/>
        <v>2.4E-2</v>
      </c>
      <c r="I40" s="50">
        <f t="shared" si="3"/>
        <v>6.7200000000000011E-3</v>
      </c>
      <c r="J40" s="50">
        <f t="shared" si="4"/>
        <v>3.5909059200000004E-3</v>
      </c>
      <c r="K40" s="53">
        <f t="shared" si="5"/>
        <v>3.3843490974012296</v>
      </c>
      <c r="L40" s="50">
        <f t="shared" si="6"/>
        <v>1.2824664E-2</v>
      </c>
      <c r="M40" s="48">
        <f t="shared" si="7"/>
        <v>12.086961062147246</v>
      </c>
      <c r="N40" s="48">
        <f t="shared" si="8"/>
        <v>5.0095432044636231E-3</v>
      </c>
      <c r="O40" s="53">
        <f t="shared" si="9"/>
        <v>4.7213832386950765</v>
      </c>
      <c r="P40">
        <v>175</v>
      </c>
      <c r="Q40">
        <v>20.981402997152948</v>
      </c>
      <c r="R40">
        <v>55.764526238280254</v>
      </c>
    </row>
    <row r="41" spans="1:18">
      <c r="A41">
        <v>180</v>
      </c>
      <c r="B41" s="55">
        <v>0.86</v>
      </c>
      <c r="C41" s="43">
        <f t="shared" si="0"/>
        <v>0.73099999999999998</v>
      </c>
      <c r="D41" s="43">
        <v>0.28000000000000003</v>
      </c>
      <c r="E41">
        <v>0.67</v>
      </c>
      <c r="F41" s="56">
        <f t="shared" si="1"/>
        <v>0.35940298507462687</v>
      </c>
      <c r="G41" s="57">
        <v>0.02</v>
      </c>
      <c r="H41" s="48">
        <f t="shared" si="2"/>
        <v>1.6E-2</v>
      </c>
      <c r="I41" s="50">
        <f t="shared" si="3"/>
        <v>4.4800000000000005E-3</v>
      </c>
      <c r="J41" s="50">
        <f t="shared" si="4"/>
        <v>2.3939372800000002E-3</v>
      </c>
      <c r="K41" s="53">
        <f t="shared" si="5"/>
        <v>2.2562327316008197</v>
      </c>
      <c r="L41" s="50">
        <f t="shared" si="6"/>
        <v>8.5497760000000003E-3</v>
      </c>
      <c r="M41" s="48">
        <f t="shared" si="7"/>
        <v>8.057974041431498</v>
      </c>
      <c r="N41" s="48">
        <f t="shared" si="8"/>
        <v>3.3396954696424154E-3</v>
      </c>
      <c r="O41" s="53">
        <f t="shared" si="9"/>
        <v>3.1475888257967179</v>
      </c>
      <c r="P41">
        <v>180</v>
      </c>
      <c r="Q41">
        <v>13.36129146087352</v>
      </c>
      <c r="R41">
        <v>37.176350825520174</v>
      </c>
    </row>
    <row r="42" spans="1:18">
      <c r="B42" t="s">
        <v>182</v>
      </c>
      <c r="C42" s="43" t="s">
        <v>201</v>
      </c>
      <c r="D42" s="43" t="s">
        <v>188</v>
      </c>
      <c r="H42" s="48" t="s">
        <v>203</v>
      </c>
      <c r="M42" s="48"/>
      <c r="N42" s="48"/>
      <c r="O42" s="48"/>
    </row>
    <row r="46" spans="1:18">
      <c r="K46" t="s">
        <v>189</v>
      </c>
    </row>
  </sheetData>
  <mergeCells count="18">
    <mergeCell ref="C9:E9"/>
    <mergeCell ref="C5:E5"/>
    <mergeCell ref="C6:E6"/>
    <mergeCell ref="C7:E7"/>
    <mergeCell ref="F7:F8"/>
    <mergeCell ref="C8:E8"/>
    <mergeCell ref="N22:O22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</mergeCells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5B25-325B-432B-9E73-CEA87139AE04}">
  <dimension ref="A1:T54"/>
  <sheetViews>
    <sheetView topLeftCell="A22" workbookViewId="0">
      <selection activeCell="B38" sqref="B38:C4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  <col min="16" max="16" width="13.33203125" bestFit="1" customWidth="1"/>
  </cols>
  <sheetData>
    <row r="1" spans="1:7">
      <c r="A1" t="s">
        <v>231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203">
        <v>60</v>
      </c>
      <c r="D5" s="203"/>
      <c r="E5" s="244"/>
      <c r="F5" s="204"/>
      <c r="G5" s="16"/>
    </row>
    <row r="6" spans="1:7">
      <c r="A6" s="16"/>
      <c r="B6" s="19" t="s">
        <v>82</v>
      </c>
      <c r="C6" s="228">
        <v>20</v>
      </c>
      <c r="D6" s="228"/>
      <c r="E6" s="245"/>
      <c r="F6" s="229"/>
      <c r="G6" s="16" t="s">
        <v>175</v>
      </c>
    </row>
    <row r="7" spans="1:7">
      <c r="A7" s="16"/>
      <c r="B7" s="20" t="s">
        <v>83</v>
      </c>
      <c r="C7" s="193">
        <v>0.75</v>
      </c>
      <c r="D7" s="193"/>
      <c r="E7" s="246"/>
      <c r="F7" s="194"/>
      <c r="G7" s="207" t="s">
        <v>84</v>
      </c>
    </row>
    <row r="8" spans="1:7">
      <c r="A8" s="16"/>
      <c r="B8" s="20" t="s">
        <v>85</v>
      </c>
      <c r="C8" s="193">
        <v>0.75</v>
      </c>
      <c r="D8" s="193"/>
      <c r="E8" s="246"/>
      <c r="F8" s="194"/>
      <c r="G8" s="207"/>
    </row>
    <row r="9" spans="1:7">
      <c r="A9" s="16"/>
      <c r="B9" s="20" t="s">
        <v>86</v>
      </c>
      <c r="C9" s="193">
        <v>1</v>
      </c>
      <c r="D9" s="193"/>
      <c r="E9" s="246"/>
      <c r="F9" s="194"/>
      <c r="G9" s="47" t="s">
        <v>176</v>
      </c>
    </row>
    <row r="10" spans="1:7">
      <c r="A10" s="16"/>
      <c r="B10" s="20" t="s">
        <v>87</v>
      </c>
      <c r="C10" s="214">
        <v>0.5</v>
      </c>
      <c r="D10" s="214"/>
      <c r="E10" s="247"/>
      <c r="F10" s="215"/>
      <c r="G10" s="42" t="s">
        <v>177</v>
      </c>
    </row>
    <row r="11" spans="1:7">
      <c r="A11" s="16"/>
      <c r="B11" s="20" t="s">
        <v>90</v>
      </c>
      <c r="C11" s="214">
        <v>0.36</v>
      </c>
      <c r="D11" s="214"/>
      <c r="E11" s="247"/>
      <c r="F11" s="215"/>
      <c r="G11" s="43" t="s">
        <v>178</v>
      </c>
    </row>
    <row r="12" spans="1:7">
      <c r="A12" s="16"/>
      <c r="B12" s="45" t="s">
        <v>92</v>
      </c>
      <c r="C12" s="233">
        <f>((C5/2)^2*PI()-(C6/2)^2*PI())*C7*C8*C9*C10*C11</f>
        <v>254.46900494077323</v>
      </c>
      <c r="D12" s="233"/>
      <c r="E12" s="248"/>
      <c r="F12" s="234"/>
      <c r="G12" s="16"/>
    </row>
    <row r="13" spans="1:7">
      <c r="A13" s="16"/>
      <c r="B13" s="20" t="s">
        <v>93</v>
      </c>
      <c r="C13" s="197">
        <v>17000</v>
      </c>
      <c r="D13" s="197"/>
      <c r="E13" s="249"/>
      <c r="F13" s="198"/>
      <c r="G13" s="16"/>
    </row>
    <row r="14" spans="1:7">
      <c r="A14" s="16"/>
      <c r="B14" s="20" t="s">
        <v>94</v>
      </c>
      <c r="C14" s="199">
        <v>3</v>
      </c>
      <c r="D14" s="199"/>
      <c r="E14" s="243"/>
      <c r="F14" s="200"/>
      <c r="G14" s="38" t="s">
        <v>126</v>
      </c>
    </row>
    <row r="15" spans="1:7">
      <c r="A15" s="16"/>
      <c r="B15" s="20" t="s">
        <v>95</v>
      </c>
      <c r="C15" s="216">
        <v>0.2</v>
      </c>
      <c r="D15" s="217"/>
      <c r="E15" s="217"/>
      <c r="F15" s="218"/>
      <c r="G15" s="16"/>
    </row>
    <row r="16" spans="1:7">
      <c r="A16" s="16"/>
      <c r="B16" s="20" t="s">
        <v>96</v>
      </c>
      <c r="C16" s="222">
        <f>$C$14/10*C15/10</f>
        <v>6.0000000000000001E-3</v>
      </c>
      <c r="D16" s="223"/>
      <c r="E16" s="223"/>
      <c r="F16" s="224"/>
      <c r="G16" s="16"/>
    </row>
    <row r="17" spans="1:20">
      <c r="A17" s="16"/>
      <c r="B17" s="21" t="s">
        <v>97</v>
      </c>
      <c r="C17" s="199">
        <f>DEGREES(ATAN(C14/C13))*3600</f>
        <v>36.399671312812814</v>
      </c>
      <c r="D17" s="199"/>
      <c r="E17" s="243"/>
      <c r="F17" s="200"/>
      <c r="G17" s="38" t="s">
        <v>126</v>
      </c>
    </row>
    <row r="18" spans="1:20" ht="19" thickBot="1">
      <c r="A18" s="16"/>
      <c r="B18" s="24" t="s">
        <v>98</v>
      </c>
      <c r="C18" s="219">
        <f>DEGREES(ATAN(C15/C13))*3600</f>
        <v>2.4266447792656485</v>
      </c>
      <c r="D18" s="220"/>
      <c r="E18" s="220"/>
      <c r="F18" s="221"/>
      <c r="G18" s="16"/>
    </row>
    <row r="19" spans="1:20">
      <c r="A19" s="16"/>
      <c r="B19" s="25" t="s">
        <v>99</v>
      </c>
      <c r="C19" s="201">
        <f>C17/3600</f>
        <v>1.011101980911467E-2</v>
      </c>
      <c r="D19" s="201"/>
      <c r="E19" s="201"/>
      <c r="F19" s="201"/>
      <c r="G19" s="16"/>
    </row>
    <row r="20" spans="1:20">
      <c r="A20" s="16"/>
      <c r="B20" s="26" t="s">
        <v>101</v>
      </c>
      <c r="C20" s="225">
        <f>C18/3600</f>
        <v>6.7406799424045796E-4</v>
      </c>
      <c r="D20" s="226"/>
      <c r="E20" s="226"/>
      <c r="F20" s="227"/>
      <c r="G20" s="16"/>
    </row>
    <row r="22" spans="1:20" ht="76" customHeight="1">
      <c r="B22" t="s">
        <v>180</v>
      </c>
      <c r="D22" t="s">
        <v>183</v>
      </c>
      <c r="G22" t="s">
        <v>190</v>
      </c>
      <c r="H22" t="s">
        <v>195</v>
      </c>
      <c r="I22" t="s">
        <v>196</v>
      </c>
      <c r="K22" s="240" t="s">
        <v>197</v>
      </c>
      <c r="L22" s="240"/>
      <c r="M22" s="240" t="s">
        <v>237</v>
      </c>
      <c r="N22" s="240"/>
      <c r="O22" t="s">
        <v>263</v>
      </c>
      <c r="Q22" s="114"/>
    </row>
    <row r="23" spans="1:20">
      <c r="B23" s="118" t="s">
        <v>181</v>
      </c>
      <c r="C23" s="38" t="s">
        <v>180</v>
      </c>
      <c r="D23" t="s">
        <v>185</v>
      </c>
      <c r="E23" t="s">
        <v>180</v>
      </c>
      <c r="F23" t="s">
        <v>185</v>
      </c>
      <c r="G23" t="s">
        <v>191</v>
      </c>
    </row>
    <row r="24" spans="1:20">
      <c r="A24" t="s">
        <v>179</v>
      </c>
      <c r="B24" s="119" t="s">
        <v>262</v>
      </c>
      <c r="C24" s="38" t="s">
        <v>261</v>
      </c>
      <c r="D24" t="s">
        <v>186</v>
      </c>
      <c r="E24" t="s">
        <v>184</v>
      </c>
      <c r="F24" s="43" t="s">
        <v>187</v>
      </c>
      <c r="G24" s="43" t="s">
        <v>192</v>
      </c>
      <c r="H24" s="43" t="s">
        <v>193</v>
      </c>
      <c r="I24" s="43" t="s">
        <v>193</v>
      </c>
      <c r="J24" s="51" t="s">
        <v>194</v>
      </c>
      <c r="K24" s="43" t="s">
        <v>193</v>
      </c>
      <c r="L24" s="43" t="s">
        <v>194</v>
      </c>
      <c r="M24" s="43" t="s">
        <v>193</v>
      </c>
      <c r="N24" s="51" t="s">
        <v>194</v>
      </c>
      <c r="O24" s="43" t="s">
        <v>193</v>
      </c>
      <c r="P24" s="51" t="s">
        <v>194</v>
      </c>
      <c r="Q24" s="51"/>
    </row>
    <row r="25" spans="1:20">
      <c r="A25">
        <v>100</v>
      </c>
      <c r="B25" s="48">
        <v>0.17045892788276129</v>
      </c>
      <c r="F25" s="48"/>
      <c r="G25" s="43"/>
      <c r="J25" s="52"/>
      <c r="N25" s="52"/>
      <c r="P25" s="52"/>
      <c r="Q25" s="52"/>
    </row>
    <row r="26" spans="1:20">
      <c r="A26">
        <v>105</v>
      </c>
      <c r="B26" s="48">
        <v>0.17641001185304983</v>
      </c>
      <c r="F26" s="48"/>
      <c r="G26" s="43"/>
      <c r="J26" s="52"/>
      <c r="N26" s="52"/>
      <c r="P26" s="52"/>
      <c r="Q26" s="52"/>
    </row>
    <row r="27" spans="1:20">
      <c r="A27">
        <v>110</v>
      </c>
      <c r="B27" s="48">
        <v>0.27570247933884301</v>
      </c>
      <c r="F27" s="48"/>
      <c r="G27" s="43"/>
      <c r="J27" s="52"/>
      <c r="N27" s="52"/>
      <c r="P27" s="52"/>
      <c r="Q27" s="52"/>
      <c r="R27" t="s">
        <v>113</v>
      </c>
      <c r="S27" t="s">
        <v>195</v>
      </c>
      <c r="T27" t="s">
        <v>198</v>
      </c>
    </row>
    <row r="28" spans="1:20">
      <c r="A28">
        <v>115</v>
      </c>
      <c r="B28" s="48">
        <v>0.71937067618835071</v>
      </c>
      <c r="C28" s="50">
        <v>0.49374256752930518</v>
      </c>
      <c r="D28">
        <v>0.4</v>
      </c>
      <c r="E28">
        <v>0.62</v>
      </c>
      <c r="F28" s="48">
        <f t="shared" ref="F28:F41" si="0">D28*B28/E28</f>
        <v>0.46411011366990368</v>
      </c>
      <c r="G28" s="48">
        <v>0.37582648709983441</v>
      </c>
      <c r="H28" s="50">
        <f>F28*G28</f>
        <v>0.17442487364806472</v>
      </c>
      <c r="I28" s="50">
        <f>$B28*$B28*$H28</f>
        <v>9.0263855173943211E-2</v>
      </c>
      <c r="J28" s="53">
        <f>(($C$5/2)^2*PI()-($C$6/2)^2*PI())*I28</f>
        <v>226.85781143932243</v>
      </c>
      <c r="K28" s="50">
        <f t="shared" ref="K28:K41" si="1">B28*B28*G28</f>
        <v>0.19448801591542778</v>
      </c>
      <c r="L28" s="48">
        <f>(($C$5/2)^2*PI()-($C$6/2)^2*PI())*K28</f>
        <v>488.80169760893017</v>
      </c>
      <c r="M28" s="48">
        <f t="shared" ref="M28:M41" si="2">B28^5*G28</f>
        <v>7.2402079128449703E-2</v>
      </c>
      <c r="N28" s="53">
        <f>(($C$5/2)^2*PI()-($C$6/2)^2*PI())*M28</f>
        <v>181.96627191565159</v>
      </c>
      <c r="O28" s="50">
        <f>$B28*$C28*$H28</f>
        <v>6.1952911181783005E-2</v>
      </c>
      <c r="P28" s="53">
        <f>(($C$5/2)^2*PI()-($C$6/2)^2*PI())*O28</f>
        <v>155.70464850975236</v>
      </c>
      <c r="Q28" s="53"/>
      <c r="R28" t="s">
        <v>179</v>
      </c>
      <c r="S28" t="s">
        <v>92</v>
      </c>
    </row>
    <row r="29" spans="1:20">
      <c r="A29">
        <v>120</v>
      </c>
      <c r="B29" s="48">
        <v>0.82490399830674177</v>
      </c>
      <c r="C29" s="50">
        <v>0.67349413633995403</v>
      </c>
      <c r="D29">
        <v>0.4</v>
      </c>
      <c r="E29">
        <v>0.62</v>
      </c>
      <c r="F29" s="48">
        <f t="shared" si="0"/>
        <v>0.53219612793983351</v>
      </c>
      <c r="G29" s="48">
        <v>0.37102590432052945</v>
      </c>
      <c r="H29" s="50">
        <f>F29*G29</f>
        <v>0.19745854964476092</v>
      </c>
      <c r="I29" s="50">
        <f t="shared" ref="I29:I41" si="3">$B29*$B29*$H29</f>
        <v>0.13436394918586914</v>
      </c>
      <c r="J29" s="53">
        <f t="shared" ref="J29:J41" si="4">(($C$5/2)^2*PI()-($C$6/2)^2*PI())*I29</f>
        <v>337.69343653571099</v>
      </c>
      <c r="K29" s="50">
        <f t="shared" si="1"/>
        <v>0.25247073800781095</v>
      </c>
      <c r="L29" s="48">
        <f>(($C$5/2)^2*PI()-($C$6/2)^2*PI())*K29</f>
        <v>634.52817261738585</v>
      </c>
      <c r="M29" s="48">
        <f t="shared" si="2"/>
        <v>0.14171677981844144</v>
      </c>
      <c r="N29" s="53">
        <f>(($C$5/2)^2*PI()-($C$6/2)^2*PI())*M29</f>
        <v>356.17311549441433</v>
      </c>
      <c r="O29" s="50">
        <f t="shared" ref="O29:O41" si="5">$B29*$C29*$H29</f>
        <v>0.10970165267463321</v>
      </c>
      <c r="P29" s="53">
        <f t="shared" ref="P29:P41" si="6">(($C$5/2)^2*PI()-($C$6/2)^2*PI())*O29</f>
        <v>275.71032490342941</v>
      </c>
      <c r="Q29" s="53"/>
      <c r="R29">
        <v>120</v>
      </c>
      <c r="S29">
        <v>468.4636262497292</v>
      </c>
      <c r="T29">
        <v>789.25937031204364</v>
      </c>
    </row>
    <row r="30" spans="1:20">
      <c r="A30">
        <v>125</v>
      </c>
      <c r="B30" s="48">
        <v>0.86132111952688484</v>
      </c>
      <c r="C30" s="50">
        <v>0.80124275747613405</v>
      </c>
      <c r="D30">
        <v>0.44</v>
      </c>
      <c r="E30">
        <v>0.67</v>
      </c>
      <c r="F30" s="48">
        <f t="shared" si="0"/>
        <v>0.56564372028631238</v>
      </c>
      <c r="G30" s="49">
        <f>(G29+G31)/2</f>
        <v>0.32829969791945335</v>
      </c>
      <c r="H30" s="50">
        <f t="shared" ref="H30:H41" si="7">F30*G30</f>
        <v>0.18570066250003212</v>
      </c>
      <c r="I30" s="50">
        <f t="shared" si="3"/>
        <v>0.1377665064657195</v>
      </c>
      <c r="J30" s="53">
        <f t="shared" si="4"/>
        <v>346.24499569874808</v>
      </c>
      <c r="K30" s="50">
        <f t="shared" si="1"/>
        <v>0.24355703338487719</v>
      </c>
      <c r="L30" s="48">
        <f t="shared" ref="L30:L41" si="8">(($C$5/2)^2*PI()-($C$6/2)^2*PI())*K30</f>
        <v>612.12558944964337</v>
      </c>
      <c r="M30" s="48">
        <f t="shared" si="2"/>
        <v>0.15563094846406283</v>
      </c>
      <c r="N30" s="53">
        <f t="shared" ref="N30:N41" si="9">(($C$5/2)^2*PI()-($C$6/2)^2*PI())*M30</f>
        <v>391.14323549272922</v>
      </c>
      <c r="O30" s="50">
        <f t="shared" si="5"/>
        <v>0.12815709846877993</v>
      </c>
      <c r="P30" s="53">
        <f t="shared" si="6"/>
        <v>322.09391924392219</v>
      </c>
      <c r="Q30" s="53"/>
      <c r="R30">
        <v>125</v>
      </c>
      <c r="S30">
        <v>435.85001197359696</v>
      </c>
      <c r="T30">
        <v>713.63516134484337</v>
      </c>
    </row>
    <row r="31" spans="1:20">
      <c r="A31">
        <v>130</v>
      </c>
      <c r="B31" s="48">
        <v>0.86073431922488519</v>
      </c>
      <c r="C31" s="50">
        <v>0.83222289879576472</v>
      </c>
      <c r="D31">
        <v>0.44</v>
      </c>
      <c r="E31">
        <v>0.67</v>
      </c>
      <c r="F31" s="48">
        <f t="shared" si="0"/>
        <v>0.56525835889395437</v>
      </c>
      <c r="G31" s="48">
        <v>0.2855734915183773</v>
      </c>
      <c r="H31" s="50">
        <f t="shared" si="7"/>
        <v>0.16142280315929455</v>
      </c>
      <c r="I31" s="50">
        <f t="shared" si="3"/>
        <v>0.11959227395221567</v>
      </c>
      <c r="J31" s="53">
        <f t="shared" si="4"/>
        <v>300.56816741950297</v>
      </c>
      <c r="K31" s="50">
        <f t="shared" si="1"/>
        <v>0.211570995935775</v>
      </c>
      <c r="L31" s="48">
        <f t="shared" si="8"/>
        <v>531.73590923560539</v>
      </c>
      <c r="M31" s="48">
        <f t="shared" si="2"/>
        <v>0.13491601002187573</v>
      </c>
      <c r="N31" s="53">
        <f t="shared" si="9"/>
        <v>339.08091674909736</v>
      </c>
      <c r="O31" s="50">
        <f t="shared" si="5"/>
        <v>0.11563083599561515</v>
      </c>
      <c r="P31" s="53">
        <f t="shared" si="6"/>
        <v>290.61198791381662</v>
      </c>
      <c r="Q31" s="53"/>
      <c r="R31">
        <v>130</v>
      </c>
      <c r="S31">
        <v>355.1892407557196</v>
      </c>
      <c r="T31">
        <v>594.34763063519506</v>
      </c>
    </row>
    <row r="32" spans="1:20">
      <c r="A32">
        <v>135</v>
      </c>
      <c r="B32" s="50">
        <f>AVERAGE(B31,B33)</f>
        <v>0.85381530656481219</v>
      </c>
      <c r="C32" s="50">
        <f>AVERAGE(C31,C33)</f>
        <v>0.83032179625044633</v>
      </c>
      <c r="D32">
        <v>0.42</v>
      </c>
      <c r="E32">
        <v>0.67</v>
      </c>
      <c r="F32" s="48">
        <f t="shared" si="0"/>
        <v>0.53522750560779264</v>
      </c>
      <c r="G32" s="48">
        <v>0.30899662300809955</v>
      </c>
      <c r="H32" s="50">
        <f t="shared" si="7"/>
        <v>0.16538349177385658</v>
      </c>
      <c r="I32" s="50">
        <f t="shared" si="3"/>
        <v>0.12056466104921408</v>
      </c>
      <c r="J32" s="53">
        <f t="shared" si="4"/>
        <v>303.01204274780355</v>
      </c>
      <c r="K32" s="50">
        <f t="shared" si="1"/>
        <v>0.22525871668778213</v>
      </c>
      <c r="L32" s="48">
        <f t="shared" si="8"/>
        <v>566.13690360272074</v>
      </c>
      <c r="M32" s="48">
        <f t="shared" si="2"/>
        <v>0.14020820015207833</v>
      </c>
      <c r="N32" s="53">
        <f t="shared" si="9"/>
        <v>352.38164125665327</v>
      </c>
      <c r="O32" s="50">
        <f t="shared" si="5"/>
        <v>0.11724721395482575</v>
      </c>
      <c r="P32" s="53">
        <f t="shared" si="6"/>
        <v>294.67438881148104</v>
      </c>
      <c r="Q32" s="53"/>
      <c r="R32">
        <v>135</v>
      </c>
      <c r="S32">
        <v>343.19274658157178</v>
      </c>
      <c r="T32">
        <v>615.13948691721009</v>
      </c>
    </row>
    <row r="33" spans="1:20">
      <c r="A33">
        <v>140</v>
      </c>
      <c r="B33" s="48">
        <v>0.84689629390473931</v>
      </c>
      <c r="C33" s="50">
        <v>0.82842069370512805</v>
      </c>
      <c r="D33">
        <v>0.4</v>
      </c>
      <c r="E33">
        <v>0.67</v>
      </c>
      <c r="F33" s="48">
        <f t="shared" si="0"/>
        <v>0.505609727704322</v>
      </c>
      <c r="G33" s="48">
        <v>0.24612037686190918</v>
      </c>
      <c r="H33" s="50">
        <f t="shared" si="7"/>
        <v>0.12444085672763501</v>
      </c>
      <c r="I33" s="50">
        <f t="shared" si="3"/>
        <v>8.9253130386042073E-2</v>
      </c>
      <c r="J33" s="53">
        <f t="shared" si="4"/>
        <v>224.31758298454537</v>
      </c>
      <c r="K33" s="50">
        <f t="shared" si="1"/>
        <v>0.17652573812471592</v>
      </c>
      <c r="L33" s="48">
        <f t="shared" si="8"/>
        <v>443.65756964969859</v>
      </c>
      <c r="M33" s="48">
        <f t="shared" si="2"/>
        <v>0.10722566125862606</v>
      </c>
      <c r="N33" s="53">
        <f t="shared" si="9"/>
        <v>269.4874797491259</v>
      </c>
      <c r="O33" s="50">
        <f t="shared" si="5"/>
        <v>8.7306014587514594E-2</v>
      </c>
      <c r="P33" s="53">
        <f t="shared" si="6"/>
        <v>219.42394723387133</v>
      </c>
      <c r="Q33" s="53"/>
      <c r="R33">
        <v>140</v>
      </c>
      <c r="S33">
        <v>243.18141299481508</v>
      </c>
      <c r="T33">
        <v>468.19409973139676</v>
      </c>
    </row>
    <row r="34" spans="1:20">
      <c r="A34">
        <v>145</v>
      </c>
      <c r="B34" s="50">
        <f>AVERAGE(B33,B35)</f>
        <v>0.82064686686819976</v>
      </c>
      <c r="C34" s="50">
        <f>AVERAGE(C33,C35)</f>
        <v>0.82296254046685458</v>
      </c>
      <c r="D34">
        <v>0.38</v>
      </c>
      <c r="E34">
        <v>0.67</v>
      </c>
      <c r="F34" s="48">
        <f t="shared" si="0"/>
        <v>0.46544150658196404</v>
      </c>
      <c r="G34" s="48">
        <v>0.19838991517247778</v>
      </c>
      <c r="H34" s="50">
        <f t="shared" si="7"/>
        <v>9.2338901008546109E-2</v>
      </c>
      <c r="I34" s="50">
        <f t="shared" si="3"/>
        <v>6.2186674476297381E-2</v>
      </c>
      <c r="J34" s="53">
        <f t="shared" si="4"/>
        <v>156.29215974873262</v>
      </c>
      <c r="K34" s="50">
        <f t="shared" si="1"/>
        <v>0.1336079262311049</v>
      </c>
      <c r="L34" s="48">
        <f t="shared" si="8"/>
        <v>335.79334360720497</v>
      </c>
      <c r="M34" s="48">
        <f t="shared" si="2"/>
        <v>7.3841612254379158E-2</v>
      </c>
      <c r="N34" s="53">
        <f t="shared" si="9"/>
        <v>185.5842132700669</v>
      </c>
      <c r="O34" s="50">
        <f t="shared" si="5"/>
        <v>6.2362150733000173E-2</v>
      </c>
      <c r="P34" s="53">
        <f t="shared" si="6"/>
        <v>156.73317968388216</v>
      </c>
      <c r="Q34" s="53"/>
      <c r="R34">
        <v>145</v>
      </c>
      <c r="S34">
        <v>179.8720146815412</v>
      </c>
      <c r="T34">
        <v>368.77065433486109</v>
      </c>
    </row>
    <row r="35" spans="1:20">
      <c r="A35">
        <v>150</v>
      </c>
      <c r="B35" s="48">
        <v>0.79439743983166022</v>
      </c>
      <c r="C35" s="50">
        <v>0.8175043872285811</v>
      </c>
      <c r="D35">
        <v>0.36</v>
      </c>
      <c r="E35">
        <v>0.67</v>
      </c>
      <c r="F35" s="48">
        <f t="shared" si="0"/>
        <v>0.42684041543193679</v>
      </c>
      <c r="G35" s="48">
        <v>0.18063569617716008</v>
      </c>
      <c r="H35" s="50">
        <f t="shared" si="7"/>
        <v>7.7102615598096128E-2</v>
      </c>
      <c r="I35" s="50">
        <f t="shared" si="3"/>
        <v>4.8656938863304078E-2</v>
      </c>
      <c r="J35" s="53">
        <f t="shared" si="4"/>
        <v>122.28822534329903</v>
      </c>
      <c r="K35" s="50">
        <f t="shared" si="1"/>
        <v>0.11399327969931382</v>
      </c>
      <c r="L35" s="48">
        <f t="shared" si="8"/>
        <v>286.49636004957665</v>
      </c>
      <c r="M35" s="48">
        <f t="shared" si="2"/>
        <v>5.7146910516305438E-2</v>
      </c>
      <c r="N35" s="53">
        <f t="shared" si="9"/>
        <v>143.62585140270278</v>
      </c>
      <c r="O35" s="50">
        <f t="shared" si="5"/>
        <v>5.0072242174261143E-2</v>
      </c>
      <c r="P35" s="53">
        <f t="shared" si="6"/>
        <v>125.84527053074225</v>
      </c>
      <c r="Q35" s="53"/>
      <c r="R35">
        <v>150</v>
      </c>
      <c r="S35">
        <v>155.15525474105348</v>
      </c>
      <c r="T35">
        <v>335.76880063470878</v>
      </c>
    </row>
    <row r="36" spans="1:20">
      <c r="A36">
        <v>155</v>
      </c>
      <c r="B36" s="50">
        <f>AVERAGE(B35,B37)</f>
        <v>0.77986026455203206</v>
      </c>
      <c r="C36" s="50">
        <f>AVERAGE(C35,C37)</f>
        <v>0.81254884060299859</v>
      </c>
      <c r="D36">
        <v>0.34</v>
      </c>
      <c r="E36">
        <v>0.64</v>
      </c>
      <c r="F36" s="48">
        <f t="shared" si="0"/>
        <v>0.41430076554326706</v>
      </c>
      <c r="G36" s="48">
        <v>0.13810064689087198</v>
      </c>
      <c r="H36" s="50">
        <f t="shared" si="7"/>
        <v>5.7215203728908669E-2</v>
      </c>
      <c r="I36" s="50">
        <f t="shared" si="3"/>
        <v>3.4797258878138962E-2</v>
      </c>
      <c r="J36" s="53">
        <f t="shared" si="4"/>
        <v>87.455050285298853</v>
      </c>
      <c r="K36" s="50">
        <f t="shared" si="1"/>
        <v>8.3990332077976695E-2</v>
      </c>
      <c r="L36" s="48">
        <f t="shared" si="8"/>
        <v>211.090728182991</v>
      </c>
      <c r="M36" s="48">
        <f t="shared" si="2"/>
        <v>3.9836362579654262E-2</v>
      </c>
      <c r="N36" s="53">
        <f t="shared" si="9"/>
        <v>100.11969922078494</v>
      </c>
      <c r="O36" s="50">
        <f t="shared" si="5"/>
        <v>3.6255818693154807E-2</v>
      </c>
      <c r="P36" s="53">
        <f t="shared" si="6"/>
        <v>91.12081092503891</v>
      </c>
      <c r="Q36" s="53"/>
      <c r="R36">
        <v>155</v>
      </c>
      <c r="S36">
        <v>117.28159655224603</v>
      </c>
      <c r="T36">
        <v>256.70390490231694</v>
      </c>
    </row>
    <row r="37" spans="1:20">
      <c r="A37">
        <v>160</v>
      </c>
      <c r="B37" s="48">
        <v>0.765323089272404</v>
      </c>
      <c r="C37" s="50">
        <v>0.80759329397741619</v>
      </c>
      <c r="D37">
        <v>0.32</v>
      </c>
      <c r="E37">
        <v>0.62</v>
      </c>
      <c r="F37" s="48">
        <f t="shared" si="0"/>
        <v>0.39500546543091819</v>
      </c>
      <c r="G37" s="48">
        <v>0.1122112642135074</v>
      </c>
      <c r="H37" s="50">
        <f t="shared" si="7"/>
        <v>4.4324062647248225E-2</v>
      </c>
      <c r="I37" s="50">
        <f t="shared" si="3"/>
        <v>2.5961464752178046E-2</v>
      </c>
      <c r="J37" s="53">
        <f t="shared" si="4"/>
        <v>65.248277553498326</v>
      </c>
      <c r="K37" s="50">
        <f t="shared" si="1"/>
        <v>6.5724317823947678E-2</v>
      </c>
      <c r="L37" s="48">
        <f t="shared" si="8"/>
        <v>165.18322723033179</v>
      </c>
      <c r="M37" s="48">
        <f t="shared" si="2"/>
        <v>2.9461885326148629E-2</v>
      </c>
      <c r="N37" s="53">
        <f t="shared" si="9"/>
        <v>74.045794001226767</v>
      </c>
      <c r="O37" s="50">
        <f t="shared" si="5"/>
        <v>2.7395364297218332E-2</v>
      </c>
      <c r="P37" s="53">
        <f t="shared" si="6"/>
        <v>68.852060174845775</v>
      </c>
      <c r="Q37" s="53"/>
      <c r="R37">
        <v>160</v>
      </c>
      <c r="S37">
        <v>92.582724631736241</v>
      </c>
      <c r="T37">
        <v>208.58026624882442</v>
      </c>
    </row>
    <row r="38" spans="1:20">
      <c r="A38">
        <v>165</v>
      </c>
      <c r="B38" s="126">
        <f>B37</f>
        <v>0.765323089272404</v>
      </c>
      <c r="C38" s="127">
        <f>C37</f>
        <v>0.80759329397741619</v>
      </c>
      <c r="D38">
        <v>0.3</v>
      </c>
      <c r="E38">
        <v>0.6</v>
      </c>
      <c r="F38" s="48">
        <f t="shared" si="0"/>
        <v>0.382661544636202</v>
      </c>
      <c r="G38" s="49">
        <v>0.08</v>
      </c>
      <c r="H38" s="50">
        <f t="shared" si="7"/>
        <v>3.061292357089616E-2</v>
      </c>
      <c r="I38" s="50">
        <f t="shared" si="3"/>
        <v>1.7930584174379198E-2</v>
      </c>
      <c r="J38" s="53">
        <f t="shared" si="4"/>
        <v>45.064473213442476</v>
      </c>
      <c r="K38" s="50">
        <f t="shared" si="1"/>
        <v>4.6857554477876484E-2</v>
      </c>
      <c r="L38" s="48">
        <f t="shared" si="8"/>
        <v>117.76587913030423</v>
      </c>
      <c r="M38" s="48">
        <f t="shared" si="2"/>
        <v>2.1004583119278081E-2</v>
      </c>
      <c r="N38" s="53">
        <f t="shared" si="9"/>
        <v>52.790275215392164</v>
      </c>
      <c r="O38" s="50">
        <f t="shared" si="5"/>
        <v>1.892092338425725E-2</v>
      </c>
      <c r="P38" s="53">
        <f t="shared" si="6"/>
        <v>47.553467122494325</v>
      </c>
      <c r="Q38" s="53"/>
      <c r="R38">
        <v>165</v>
      </c>
      <c r="S38">
        <v>63.94332341989471</v>
      </c>
      <c r="T38">
        <v>148.7054033020807</v>
      </c>
    </row>
    <row r="39" spans="1:20">
      <c r="A39">
        <v>170</v>
      </c>
      <c r="B39" s="126">
        <f t="shared" ref="B39:B41" si="10">B38</f>
        <v>0.765323089272404</v>
      </c>
      <c r="C39" s="127">
        <f t="shared" ref="C39:C41" si="11">C38</f>
        <v>0.80759329397741619</v>
      </c>
      <c r="D39">
        <v>0.28000000000000003</v>
      </c>
      <c r="E39">
        <v>0.62</v>
      </c>
      <c r="F39" s="48">
        <f t="shared" si="0"/>
        <v>0.34562978225205343</v>
      </c>
      <c r="G39" s="49">
        <v>0.05</v>
      </c>
      <c r="H39" s="50">
        <f t="shared" si="7"/>
        <v>1.7281489112602671E-2</v>
      </c>
      <c r="I39" s="50">
        <f t="shared" si="3"/>
        <v>1.0122103969407612E-2</v>
      </c>
      <c r="J39" s="53">
        <f t="shared" si="4"/>
        <v>25.439621975330432</v>
      </c>
      <c r="K39" s="50">
        <f t="shared" si="1"/>
        <v>2.9285971548672803E-2</v>
      </c>
      <c r="L39" s="48">
        <f t="shared" si="8"/>
        <v>73.603674456440146</v>
      </c>
      <c r="M39" s="48">
        <f t="shared" si="2"/>
        <v>1.3127864449548802E-2</v>
      </c>
      <c r="N39" s="53">
        <f t="shared" si="9"/>
        <v>32.993922009620107</v>
      </c>
      <c r="O39" s="50">
        <f t="shared" si="5"/>
        <v>1.0681166426596835E-2</v>
      </c>
      <c r="P39" s="53">
        <f t="shared" si="6"/>
        <v>26.844699182053247</v>
      </c>
      <c r="Q39" s="53"/>
      <c r="R39">
        <v>170</v>
      </c>
      <c r="S39">
        <v>36.097037414456693</v>
      </c>
      <c r="T39">
        <v>92.940877063800443</v>
      </c>
    </row>
    <row r="40" spans="1:20">
      <c r="A40">
        <v>175</v>
      </c>
      <c r="B40" s="126">
        <f t="shared" si="10"/>
        <v>0.765323089272404</v>
      </c>
      <c r="C40" s="127">
        <f t="shared" si="11"/>
        <v>0.80759329397741619</v>
      </c>
      <c r="D40">
        <v>0.28000000000000003</v>
      </c>
      <c r="E40">
        <v>0.64</v>
      </c>
      <c r="F40" s="48">
        <f t="shared" si="0"/>
        <v>0.33482885155667674</v>
      </c>
      <c r="G40" s="49">
        <v>0.03</v>
      </c>
      <c r="H40" s="50">
        <f t="shared" si="7"/>
        <v>1.0044865546700301E-2</v>
      </c>
      <c r="I40" s="50">
        <f t="shared" si="3"/>
        <v>5.883472932218174E-3</v>
      </c>
      <c r="J40" s="53">
        <f t="shared" si="4"/>
        <v>14.786780273160812</v>
      </c>
      <c r="K40" s="50">
        <f t="shared" si="1"/>
        <v>1.7571582929203682E-2</v>
      </c>
      <c r="L40" s="48">
        <f t="shared" si="8"/>
        <v>44.162204673864082</v>
      </c>
      <c r="M40" s="48">
        <f t="shared" si="2"/>
        <v>7.8767186697292803E-3</v>
      </c>
      <c r="N40" s="53">
        <f t="shared" si="9"/>
        <v>19.796353205772061</v>
      </c>
      <c r="O40" s="50">
        <f t="shared" si="5"/>
        <v>6.2084279854594093E-3</v>
      </c>
      <c r="P40" s="53">
        <f t="shared" si="6"/>
        <v>15.603481399568448</v>
      </c>
      <c r="Q40" s="53"/>
      <c r="R40">
        <v>175</v>
      </c>
      <c r="S40">
        <v>20.981402997152948</v>
      </c>
      <c r="T40">
        <v>55.764526238280254</v>
      </c>
    </row>
    <row r="41" spans="1:20">
      <c r="A41">
        <v>180</v>
      </c>
      <c r="B41" s="126">
        <f t="shared" si="10"/>
        <v>0.765323089272404</v>
      </c>
      <c r="C41" s="127">
        <f t="shared" si="11"/>
        <v>0.80759329397741619</v>
      </c>
      <c r="D41">
        <v>0.28000000000000003</v>
      </c>
      <c r="E41">
        <v>0.67</v>
      </c>
      <c r="F41" s="48">
        <f t="shared" si="0"/>
        <v>0.31983651491981063</v>
      </c>
      <c r="G41" s="49">
        <v>0.02</v>
      </c>
      <c r="H41" s="50">
        <f t="shared" si="7"/>
        <v>6.3967302983962129E-3</v>
      </c>
      <c r="I41" s="50">
        <f t="shared" si="3"/>
        <v>3.7466892304672955E-3</v>
      </c>
      <c r="J41" s="53">
        <f t="shared" si="4"/>
        <v>9.416457089376042</v>
      </c>
      <c r="K41" s="50">
        <f t="shared" si="1"/>
        <v>1.1714388619469121E-2</v>
      </c>
      <c r="L41" s="48">
        <f t="shared" si="8"/>
        <v>29.441469782576057</v>
      </c>
      <c r="M41" s="48">
        <f t="shared" si="2"/>
        <v>5.2511457798195202E-3</v>
      </c>
      <c r="N41" s="53">
        <f t="shared" si="9"/>
        <v>13.197568803848041</v>
      </c>
      <c r="O41" s="50">
        <f t="shared" si="5"/>
        <v>3.9536257817850973E-3</v>
      </c>
      <c r="P41" s="53">
        <f t="shared" si="6"/>
        <v>9.9365453688794112</v>
      </c>
      <c r="Q41" s="53"/>
      <c r="R41">
        <v>180</v>
      </c>
      <c r="S41">
        <v>13.36129146087352</v>
      </c>
      <c r="T41">
        <v>37.176350825520174</v>
      </c>
    </row>
    <row r="42" spans="1:20">
      <c r="B42" t="s">
        <v>182</v>
      </c>
      <c r="C42" s="50"/>
      <c r="D42" t="s">
        <v>188</v>
      </c>
      <c r="L42" s="53"/>
      <c r="M42" s="48"/>
      <c r="N42" s="48"/>
      <c r="O42" s="48"/>
      <c r="P42" s="48"/>
      <c r="Q42" s="48"/>
    </row>
    <row r="44" spans="1:20">
      <c r="C44" t="s">
        <v>264</v>
      </c>
      <c r="D44" t="s">
        <v>265</v>
      </c>
      <c r="E44" t="s">
        <v>266</v>
      </c>
      <c r="F44" t="s">
        <v>267</v>
      </c>
    </row>
    <row r="45" spans="1:20">
      <c r="C45">
        <v>115</v>
      </c>
      <c r="D45" s="120">
        <v>226.85781143932243</v>
      </c>
      <c r="E45" s="120">
        <v>155.70464850975236</v>
      </c>
      <c r="F45" s="50">
        <f>E45/D45</f>
        <v>0.68635348071934754</v>
      </c>
    </row>
    <row r="46" spans="1:20">
      <c r="C46">
        <v>120</v>
      </c>
      <c r="D46" s="120">
        <v>337.69343653571099</v>
      </c>
      <c r="E46" s="120">
        <v>275.71032490342941</v>
      </c>
      <c r="F46" s="50">
        <f t="shared" ref="F46:F54" si="12">E46/D46</f>
        <v>0.81645153584225238</v>
      </c>
      <c r="K46" t="s">
        <v>189</v>
      </c>
    </row>
    <row r="47" spans="1:20">
      <c r="C47">
        <v>125</v>
      </c>
      <c r="D47" s="120">
        <v>346.24499569874808</v>
      </c>
      <c r="E47" s="120">
        <v>322.09391924392219</v>
      </c>
      <c r="F47" s="50">
        <f t="shared" si="12"/>
        <v>0.93024859057937503</v>
      </c>
    </row>
    <row r="48" spans="1:20">
      <c r="C48">
        <v>130</v>
      </c>
      <c r="D48" s="120">
        <v>300.56816741950297</v>
      </c>
      <c r="E48" s="120">
        <v>290.61198791381662</v>
      </c>
      <c r="F48" s="50">
        <f t="shared" si="12"/>
        <v>0.96687546924491674</v>
      </c>
    </row>
    <row r="49" spans="3:6">
      <c r="C49">
        <v>135</v>
      </c>
      <c r="D49" s="120">
        <v>303.01204274780355</v>
      </c>
      <c r="E49" s="120">
        <v>294.67438881148104</v>
      </c>
      <c r="F49" s="50">
        <f t="shared" si="12"/>
        <v>0.97248408393041352</v>
      </c>
    </row>
    <row r="50" spans="3:6">
      <c r="C50">
        <v>140</v>
      </c>
      <c r="D50" s="120">
        <v>224.31758298454537</v>
      </c>
      <c r="E50" s="120">
        <v>219.42394723387133</v>
      </c>
      <c r="F50" s="50">
        <f t="shared" si="12"/>
        <v>0.9781843416571977</v>
      </c>
    </row>
    <row r="51" spans="3:6">
      <c r="C51">
        <v>145</v>
      </c>
      <c r="D51" s="120">
        <v>156.29215974873262</v>
      </c>
      <c r="E51" s="120">
        <v>156.73317968388216</v>
      </c>
      <c r="F51" s="50">
        <f t="shared" si="12"/>
        <v>1.0028217662092491</v>
      </c>
    </row>
    <row r="52" spans="3:6">
      <c r="C52">
        <v>150</v>
      </c>
      <c r="D52" s="120">
        <v>122.28822534329903</v>
      </c>
      <c r="E52" s="120">
        <v>125.84527053074225</v>
      </c>
      <c r="F52" s="50">
        <f t="shared" si="12"/>
        <v>1.0290873890553041</v>
      </c>
    </row>
    <row r="53" spans="3:6">
      <c r="C53">
        <v>155</v>
      </c>
      <c r="D53" s="120">
        <v>87.455050285298853</v>
      </c>
      <c r="E53" s="120">
        <v>91.12081092503891</v>
      </c>
      <c r="F53" s="50">
        <f t="shared" si="12"/>
        <v>1.0419159399918185</v>
      </c>
    </row>
    <row r="54" spans="3:6">
      <c r="C54">
        <v>160</v>
      </c>
      <c r="D54" s="120">
        <v>65.248277553498326</v>
      </c>
      <c r="E54" s="120">
        <v>68.852060174845775</v>
      </c>
      <c r="F54" s="50">
        <f t="shared" si="12"/>
        <v>1.0552318429922174</v>
      </c>
    </row>
  </sheetData>
  <mergeCells count="19">
    <mergeCell ref="C15:F15"/>
    <mergeCell ref="C5:F5"/>
    <mergeCell ref="C6:F6"/>
    <mergeCell ref="C7:F7"/>
    <mergeCell ref="G7:G8"/>
    <mergeCell ref="C8:F8"/>
    <mergeCell ref="C9:F9"/>
    <mergeCell ref="C10:F10"/>
    <mergeCell ref="C11:F11"/>
    <mergeCell ref="C12:F12"/>
    <mergeCell ref="C13:F13"/>
    <mergeCell ref="C14:F14"/>
    <mergeCell ref="M22:N22"/>
    <mergeCell ref="C16:F16"/>
    <mergeCell ref="C17:F17"/>
    <mergeCell ref="C18:F18"/>
    <mergeCell ref="C19:F19"/>
    <mergeCell ref="C20:F20"/>
    <mergeCell ref="K22:L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opLeftCell="B1" zoomScaleNormal="100" workbookViewId="0">
      <selection activeCell="F15" sqref="F15"/>
    </sheetView>
  </sheetViews>
  <sheetFormatPr baseColWidth="10" defaultColWidth="8.83203125" defaultRowHeight="18"/>
  <cols>
    <col min="1" max="1" width="21.1640625" bestFit="1" customWidth="1"/>
    <col min="2" max="2" width="30.83203125" bestFit="1" customWidth="1"/>
    <col min="3" max="3" width="22.5" bestFit="1" customWidth="1"/>
    <col min="4" max="5" width="19" bestFit="1" customWidth="1"/>
    <col min="6" max="6" width="17.6640625" bestFit="1" customWidth="1"/>
    <col min="7" max="7" width="11.1640625" customWidth="1"/>
    <col min="8" max="8" width="17.6640625" bestFit="1" customWidth="1"/>
    <col min="9" max="9" width="8.83203125" bestFit="1" customWidth="1"/>
    <col min="10" max="10" width="17.6640625" bestFit="1" customWidth="1"/>
    <col min="11" max="11" width="8.83203125" customWidth="1"/>
    <col min="12" max="12" width="17.6640625" bestFit="1" customWidth="1"/>
    <col min="14" max="14" width="17.6640625" bestFit="1" customWidth="1"/>
  </cols>
  <sheetData>
    <row r="1" spans="1:5">
      <c r="A1" t="s">
        <v>0</v>
      </c>
    </row>
    <row r="2" spans="1:5">
      <c r="B2" t="s">
        <v>1</v>
      </c>
      <c r="C2" s="1">
        <v>6.626068E-34</v>
      </c>
    </row>
    <row r="3" spans="1:5">
      <c r="B3" t="s">
        <v>2</v>
      </c>
      <c r="C3" s="1">
        <v>299792458</v>
      </c>
    </row>
    <row r="4" spans="1:5">
      <c r="B4" t="s">
        <v>3</v>
      </c>
      <c r="C4" s="1">
        <v>9.9999999999999995E-8</v>
      </c>
      <c r="D4" t="s">
        <v>4</v>
      </c>
    </row>
    <row r="5" spans="1:5">
      <c r="B5" s="2"/>
      <c r="C5" s="2" t="s">
        <v>5</v>
      </c>
      <c r="D5" s="2" t="s">
        <v>6</v>
      </c>
    </row>
    <row r="6" spans="1:5">
      <c r="B6" s="3" t="s">
        <v>7</v>
      </c>
      <c r="C6" s="181">
        <v>170</v>
      </c>
      <c r="D6" s="182"/>
    </row>
    <row r="7" spans="1:5">
      <c r="B7" s="3" t="s">
        <v>8</v>
      </c>
      <c r="C7" s="181">
        <v>0.74</v>
      </c>
      <c r="D7" s="182"/>
      <c r="E7" s="184" t="s">
        <v>9</v>
      </c>
    </row>
    <row r="8" spans="1:5">
      <c r="B8" s="3" t="s">
        <v>10</v>
      </c>
      <c r="C8" s="181">
        <v>0.3</v>
      </c>
      <c r="D8" s="182"/>
      <c r="E8" s="184"/>
    </row>
    <row r="9" spans="1:5">
      <c r="B9" s="3" t="s">
        <v>11</v>
      </c>
      <c r="C9" s="181">
        <v>0.36</v>
      </c>
      <c r="D9" s="182"/>
      <c r="E9" s="184"/>
    </row>
    <row r="10" spans="1:5">
      <c r="B10" s="3" t="s">
        <v>12</v>
      </c>
      <c r="C10" s="181">
        <v>0.56000000000000005</v>
      </c>
      <c r="D10" s="182"/>
      <c r="E10" s="184"/>
    </row>
    <row r="11" spans="1:5">
      <c r="B11" s="2" t="s">
        <v>13</v>
      </c>
      <c r="C11" s="185">
        <v>0.25</v>
      </c>
      <c r="D11" s="182"/>
      <c r="E11" s="184"/>
    </row>
    <row r="12" spans="1:5">
      <c r="B12" s="4" t="s">
        <v>14</v>
      </c>
      <c r="C12" s="181">
        <f>C7^3*C8*C9*C10*C11</f>
        <v>6.12698688E-3</v>
      </c>
      <c r="D12" s="182"/>
    </row>
    <row r="13" spans="1:5">
      <c r="B13" s="2" t="s">
        <v>15</v>
      </c>
      <c r="C13" s="182">
        <f>PI()*(C6/2)^2*C12</f>
        <v>139.07039061438437</v>
      </c>
      <c r="D13" s="188"/>
    </row>
    <row r="14" spans="1:5">
      <c r="B14" s="5" t="s">
        <v>16</v>
      </c>
      <c r="C14" s="188">
        <v>12</v>
      </c>
      <c r="D14" s="188"/>
    </row>
    <row r="15" spans="1:5">
      <c r="B15" s="2" t="s">
        <v>17</v>
      </c>
      <c r="C15" s="188">
        <v>9</v>
      </c>
      <c r="D15" s="188"/>
    </row>
    <row r="16" spans="1:5">
      <c r="B16" s="3" t="s">
        <v>18</v>
      </c>
      <c r="C16" s="188">
        <v>3</v>
      </c>
      <c r="D16" s="188"/>
    </row>
    <row r="17" spans="1:15">
      <c r="B17" s="3" t="s">
        <v>19</v>
      </c>
      <c r="C17" s="181">
        <v>2</v>
      </c>
      <c r="D17" s="182"/>
    </row>
    <row r="18" spans="1:15">
      <c r="B18" s="3" t="s">
        <v>20</v>
      </c>
      <c r="C18" s="181">
        <v>6</v>
      </c>
      <c r="D18" s="182"/>
    </row>
    <row r="19" spans="1:15">
      <c r="B19" s="3" t="s">
        <v>21</v>
      </c>
      <c r="C19" s="181">
        <v>60</v>
      </c>
      <c r="D19" s="182"/>
    </row>
    <row r="20" spans="1:15">
      <c r="B20" s="3" t="s">
        <v>22</v>
      </c>
      <c r="C20" s="181">
        <f>C15*C17*C16^2</f>
        <v>162</v>
      </c>
      <c r="D20" s="182"/>
    </row>
    <row r="21" spans="1:15">
      <c r="B21" s="3" t="s">
        <v>23</v>
      </c>
      <c r="C21" s="181">
        <f>C15*C18*C16^2</f>
        <v>486</v>
      </c>
      <c r="D21" s="182"/>
      <c r="E21" s="7"/>
    </row>
    <row r="22" spans="1:15">
      <c r="B22" s="3" t="s">
        <v>24</v>
      </c>
      <c r="C22" s="181">
        <f>C15*C19*C16^2</f>
        <v>4860</v>
      </c>
      <c r="D22" s="182"/>
    </row>
    <row r="23" spans="1:15">
      <c r="B23" s="3" t="s">
        <v>25</v>
      </c>
      <c r="C23" s="2">
        <v>12</v>
      </c>
      <c r="D23" s="2">
        <v>36</v>
      </c>
    </row>
    <row r="24" spans="1:15">
      <c r="B24" s="3" t="s">
        <v>26</v>
      </c>
      <c r="C24" s="6">
        <f>C23*C15/6</f>
        <v>18</v>
      </c>
      <c r="D24" s="6">
        <f>D23*C15/6</f>
        <v>54</v>
      </c>
    </row>
    <row r="25" spans="1:15">
      <c r="B25" s="3" t="s">
        <v>27</v>
      </c>
      <c r="C25" s="6">
        <f>C23*C15*1</f>
        <v>108</v>
      </c>
      <c r="D25" s="6">
        <f>D23*C15*1</f>
        <v>324</v>
      </c>
    </row>
    <row r="26" spans="1:15">
      <c r="B26" s="3" t="s">
        <v>28</v>
      </c>
      <c r="C26" s="6">
        <f>C23*C15*10</f>
        <v>1080</v>
      </c>
      <c r="D26" s="6">
        <f>C15*D23*10</f>
        <v>3240</v>
      </c>
    </row>
    <row r="28" spans="1:15">
      <c r="D28" s="189" t="s">
        <v>29</v>
      </c>
      <c r="E28" s="189"/>
      <c r="F28" s="189" t="s">
        <v>30</v>
      </c>
      <c r="G28" s="189"/>
      <c r="H28" s="189" t="s">
        <v>31</v>
      </c>
      <c r="I28" s="189"/>
      <c r="J28" s="189" t="s">
        <v>32</v>
      </c>
      <c r="K28" s="189"/>
      <c r="L28" s="189" t="s">
        <v>33</v>
      </c>
      <c r="M28" s="189"/>
      <c r="N28" s="189" t="s">
        <v>34</v>
      </c>
      <c r="O28" s="189"/>
    </row>
    <row r="29" spans="1:15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39</v>
      </c>
      <c r="H29" t="s">
        <v>40</v>
      </c>
      <c r="I29" t="s">
        <v>39</v>
      </c>
      <c r="J29" t="s">
        <v>40</v>
      </c>
      <c r="K29" t="s">
        <v>41</v>
      </c>
      <c r="L29" t="s">
        <v>42</v>
      </c>
      <c r="M29" t="s">
        <v>43</v>
      </c>
      <c r="N29" t="s">
        <v>40</v>
      </c>
      <c r="O29" t="s">
        <v>39</v>
      </c>
    </row>
    <row r="30" spans="1:15">
      <c r="A30" s="1">
        <v>5.0000000000000002E-11</v>
      </c>
      <c r="B30" s="1">
        <f t="shared" ref="B30:B41" si="0">A30*$C$4/($C$2*$C$3/(1.2*10^-7))</f>
        <v>3.0204709205956108</v>
      </c>
      <c r="C30" s="1">
        <f>B30*PI()*($C$6/2)^2*$C$7^3*$C$8*$C$9*$C$10*3600</f>
        <v>6048836.2190393396</v>
      </c>
      <c r="D30" s="1">
        <f>C30*$C$11/6</f>
        <v>252034.84245997248</v>
      </c>
      <c r="E30" s="1">
        <f>D30/SQRT(D30+($C$24+$C$20)*2)</f>
        <v>501.67255848924646</v>
      </c>
      <c r="F30" s="1">
        <f t="shared" ref="F30:F93" si="1">C30*$C$11*1</f>
        <v>1512209.0547598349</v>
      </c>
      <c r="G30" s="1">
        <f>F30/SQRT(F30+($C$25+$C$21)*2)</f>
        <v>1229.2363431524204</v>
      </c>
      <c r="H30" s="1">
        <f t="shared" ref="H30:H93" si="2">C30*$C$11*10</f>
        <v>15122090.547598349</v>
      </c>
      <c r="I30" s="1">
        <f>H30/SQRT(H30+($C$26+$C$22)*2)</f>
        <v>3887.1866270179712</v>
      </c>
      <c r="J30" s="1">
        <f>C30*$C$11/6</f>
        <v>252034.84245997248</v>
      </c>
      <c r="K30" s="1">
        <f>J30/SQRT(J30+($D$24+$C$20)*2)</f>
        <v>501.60101840206903</v>
      </c>
      <c r="L30" s="1">
        <f>C30*$C$11*1</f>
        <v>1512209.0547598349</v>
      </c>
      <c r="M30" s="1">
        <f>L30/SQRT(L30+($D$25+$C$21)*2)</f>
        <v>1229.0609376174061</v>
      </c>
      <c r="N30" s="1">
        <f>C30*$C$11*10</f>
        <v>15122090.547598349</v>
      </c>
      <c r="O30" s="1">
        <f>N30/SQRT(N30+($D$26+$C$22)*2)</f>
        <v>3886.6319460131253</v>
      </c>
    </row>
    <row r="31" spans="1:15">
      <c r="A31" s="1">
        <v>4.5E-11</v>
      </c>
      <c r="B31" s="1">
        <f t="shared" si="0"/>
        <v>2.71842382853605</v>
      </c>
      <c r="C31" s="1">
        <f t="shared" ref="C31:C94" si="3">B31*PI()*($C$6/2)^2*$C$7^3*$C$8*$C$9*$C$10*3600</f>
        <v>5443952.597135406</v>
      </c>
      <c r="D31" s="1">
        <f t="shared" ref="D31:D94" si="4">C31*$C$11/6</f>
        <v>226831.35821397524</v>
      </c>
      <c r="E31" s="1">
        <f t="shared" ref="E31:E94" si="5">D31/SQRT(D31+($C$24+$C$20)*2)</f>
        <v>475.89066880766626</v>
      </c>
      <c r="F31" s="1">
        <f t="shared" si="1"/>
        <v>1360988.1492838515</v>
      </c>
      <c r="G31" s="1">
        <f t="shared" ref="G31:G94" si="6">F31/SQRT(F31+($C$25+$C$21)*2)</f>
        <v>1166.1051347879945</v>
      </c>
      <c r="H31" s="1">
        <f t="shared" si="2"/>
        <v>13609881.492838515</v>
      </c>
      <c r="I31" s="1">
        <f t="shared" ref="I31:I94" si="7">H31/SQRT(H31+($C$26+$C$22)*2)</f>
        <v>3687.548217147712</v>
      </c>
      <c r="J31" s="1">
        <f t="shared" ref="J31:J94" si="8">C31*$C$11/6</f>
        <v>226831.35821397524</v>
      </c>
      <c r="K31" s="1">
        <f t="shared" ref="K31:K94" si="9">J31/SQRT(J31+($D$24+$C$20)*2)</f>
        <v>475.81527864648007</v>
      </c>
      <c r="L31" s="1">
        <f t="shared" ref="L31:L94" si="10">C31*$C$11*1</f>
        <v>1360988.1492838515</v>
      </c>
      <c r="M31" s="1">
        <f t="shared" ref="M31:M94" si="11">L31/SQRT(L31+($D$25+$C$21)*2)</f>
        <v>1165.9202696994812</v>
      </c>
      <c r="N31" s="1">
        <f>C31*$C$11*10</f>
        <v>13609881.492838515</v>
      </c>
      <c r="O31" s="1">
        <f t="shared" ref="O31:O94" si="12">N31/SQRT(N31+($D$26+$C$22)*2)</f>
        <v>3686.963622408161</v>
      </c>
    </row>
    <row r="32" spans="1:15">
      <c r="A32" s="1">
        <v>3.9999999999999998E-11</v>
      </c>
      <c r="B32" s="1">
        <f t="shared" si="0"/>
        <v>2.4163767364764888</v>
      </c>
      <c r="C32" s="1">
        <f t="shared" si="3"/>
        <v>4839068.9752314715</v>
      </c>
      <c r="D32" s="1">
        <f t="shared" si="4"/>
        <v>201627.87396797797</v>
      </c>
      <c r="E32" s="1">
        <f t="shared" si="5"/>
        <v>448.62959731904994</v>
      </c>
      <c r="F32" s="1">
        <f t="shared" si="1"/>
        <v>1209767.2438078679</v>
      </c>
      <c r="G32" s="1">
        <f t="shared" si="6"/>
        <v>1099.354542123591</v>
      </c>
      <c r="H32" s="1">
        <f t="shared" si="2"/>
        <v>12097672.438078679</v>
      </c>
      <c r="I32" s="1">
        <f t="shared" si="7"/>
        <v>3476.4643091620701</v>
      </c>
      <c r="J32" s="1">
        <f t="shared" si="8"/>
        <v>201627.87396797797</v>
      </c>
      <c r="K32" s="1">
        <f t="shared" si="9"/>
        <v>448.54966009952955</v>
      </c>
      <c r="L32" s="1">
        <f t="shared" si="10"/>
        <v>1209767.2438078679</v>
      </c>
      <c r="M32" s="1">
        <f t="shared" si="11"/>
        <v>1099.1585009677631</v>
      </c>
      <c r="N32" s="1">
        <f t="shared" ref="N32:N95" si="13">C32*$C$11*10</f>
        <v>12097672.438078679</v>
      </c>
      <c r="O32" s="1">
        <f t="shared" si="12"/>
        <v>3475.8443725945217</v>
      </c>
    </row>
    <row r="33" spans="1:15">
      <c r="A33" s="1">
        <v>3.5000000000000002E-11</v>
      </c>
      <c r="B33" s="1">
        <f t="shared" si="0"/>
        <v>2.1143296444169275</v>
      </c>
      <c r="C33" s="1">
        <f t="shared" si="3"/>
        <v>4234185.353327536</v>
      </c>
      <c r="D33" s="1">
        <f t="shared" si="4"/>
        <v>176424.38972198067</v>
      </c>
      <c r="E33" s="1">
        <f t="shared" si="5"/>
        <v>419.60114730346305</v>
      </c>
      <c r="F33" s="1">
        <f t="shared" si="1"/>
        <v>1058546.338331884</v>
      </c>
      <c r="G33" s="1">
        <f t="shared" si="6"/>
        <v>1028.2799570750501</v>
      </c>
      <c r="H33" s="1">
        <f t="shared" si="2"/>
        <v>10585463.38331884</v>
      </c>
      <c r="I33" s="1">
        <f t="shared" si="7"/>
        <v>3251.7067366573306</v>
      </c>
      <c r="J33" s="1">
        <f>C33*$C$11/6</f>
        <v>176424.38972198067</v>
      </c>
      <c r="K33" s="1">
        <f t="shared" si="9"/>
        <v>419.51572670286157</v>
      </c>
      <c r="L33" s="1">
        <f t="shared" si="10"/>
        <v>1058546.338331884</v>
      </c>
      <c r="M33" s="1">
        <f t="shared" si="11"/>
        <v>1028.070432311174</v>
      </c>
      <c r="N33" s="1">
        <f t="shared" si="13"/>
        <v>10585463.38331884</v>
      </c>
      <c r="O33" s="1">
        <f t="shared" si="12"/>
        <v>3251.0441611772735</v>
      </c>
    </row>
    <row r="34" spans="1:15">
      <c r="A34" s="1">
        <v>3E-11</v>
      </c>
      <c r="B34" s="1">
        <f t="shared" si="0"/>
        <v>1.8122825523573667</v>
      </c>
      <c r="C34" s="1">
        <f t="shared" si="3"/>
        <v>3629301.7314236043</v>
      </c>
      <c r="D34" s="1">
        <f t="shared" si="4"/>
        <v>151220.90547598351</v>
      </c>
      <c r="E34" s="1">
        <f t="shared" si="5"/>
        <v>388.40926928298029</v>
      </c>
      <c r="F34" s="1">
        <f t="shared" si="1"/>
        <v>907325.43285590108</v>
      </c>
      <c r="G34" s="1">
        <f t="shared" si="6"/>
        <v>951.91332920655088</v>
      </c>
      <c r="H34" s="1">
        <f t="shared" si="2"/>
        <v>9073254.3285590112</v>
      </c>
      <c r="I34" s="1">
        <f t="shared" si="7"/>
        <v>3010.2142553663839</v>
      </c>
      <c r="J34" s="1">
        <f t="shared" si="8"/>
        <v>151220.90547598351</v>
      </c>
      <c r="K34" s="1">
        <f t="shared" si="9"/>
        <v>388.31705612238017</v>
      </c>
      <c r="L34" s="1">
        <f t="shared" si="10"/>
        <v>907325.43285590108</v>
      </c>
      <c r="M34" s="1">
        <f t="shared" si="11"/>
        <v>951.68709151587132</v>
      </c>
      <c r="N34" s="1">
        <f t="shared" si="13"/>
        <v>9073254.3285590112</v>
      </c>
      <c r="O34" s="1">
        <f t="shared" si="12"/>
        <v>3009.4988289712596</v>
      </c>
    </row>
    <row r="35" spans="1:15">
      <c r="A35" s="1">
        <v>2.5000000000000001E-11</v>
      </c>
      <c r="B35" s="1">
        <f t="shared" si="0"/>
        <v>1.5102354602978054</v>
      </c>
      <c r="C35" s="1">
        <f t="shared" si="3"/>
        <v>3024418.1095196698</v>
      </c>
      <c r="D35" s="1">
        <f t="shared" si="4"/>
        <v>126017.42122998624</v>
      </c>
      <c r="E35" s="1">
        <f t="shared" si="5"/>
        <v>354.48335183704523</v>
      </c>
      <c r="F35" s="1">
        <f t="shared" si="1"/>
        <v>756104.52737991745</v>
      </c>
      <c r="G35" s="1">
        <f t="shared" si="6"/>
        <v>868.86039790679638</v>
      </c>
      <c r="H35" s="1">
        <f t="shared" si="2"/>
        <v>7561045.2737991745</v>
      </c>
      <c r="I35" s="1">
        <f t="shared" si="7"/>
        <v>2747.5778261056712</v>
      </c>
      <c r="J35" s="1">
        <f t="shared" si="8"/>
        <v>126017.42122998624</v>
      </c>
      <c r="K35" s="1">
        <f t="shared" si="9"/>
        <v>354.38241647777556</v>
      </c>
      <c r="L35" s="1">
        <f t="shared" si="10"/>
        <v>756104.52737991745</v>
      </c>
      <c r="M35" s="1">
        <f t="shared" si="11"/>
        <v>868.61268175623775</v>
      </c>
      <c r="N35" s="1">
        <f t="shared" si="13"/>
        <v>7561045.2737991745</v>
      </c>
      <c r="O35" s="1">
        <f t="shared" si="12"/>
        <v>2746.794478856697</v>
      </c>
    </row>
    <row r="36" spans="1:15">
      <c r="A36" s="1">
        <v>1.9999999999999999E-11</v>
      </c>
      <c r="B36" s="1">
        <f t="shared" si="0"/>
        <v>1.2081883682382444</v>
      </c>
      <c r="C36" s="1">
        <f t="shared" si="3"/>
        <v>2419534.4876157357</v>
      </c>
      <c r="D36" s="1">
        <f t="shared" si="4"/>
        <v>100813.93698398898</v>
      </c>
      <c r="E36" s="1">
        <f t="shared" si="5"/>
        <v>316.94671152466412</v>
      </c>
      <c r="F36" s="1">
        <f t="shared" si="1"/>
        <v>604883.62190393393</v>
      </c>
      <c r="G36" s="1">
        <f t="shared" si="6"/>
        <v>776.98001942083908</v>
      </c>
      <c r="H36" s="1">
        <f t="shared" si="2"/>
        <v>6048836.2190393396</v>
      </c>
      <c r="I36" s="1">
        <f t="shared" si="7"/>
        <v>2457.0265578117132</v>
      </c>
      <c r="J36" s="1">
        <f t="shared" si="8"/>
        <v>100813.93698398898</v>
      </c>
      <c r="K36" s="1">
        <f t="shared" si="9"/>
        <v>316.83399479531374</v>
      </c>
      <c r="L36" s="1">
        <f t="shared" si="10"/>
        <v>604883.62190393393</v>
      </c>
      <c r="M36" s="1">
        <f t="shared" si="11"/>
        <v>776.70325672094964</v>
      </c>
      <c r="N36" s="1">
        <f t="shared" si="13"/>
        <v>6048836.2190393396</v>
      </c>
      <c r="O36" s="1">
        <f t="shared" si="12"/>
        <v>2456.1513573086845</v>
      </c>
    </row>
    <row r="37" spans="1:15">
      <c r="A37" s="1">
        <v>1.5E-11</v>
      </c>
      <c r="B37" s="1">
        <f t="shared" si="0"/>
        <v>0.90614127617868334</v>
      </c>
      <c r="C37" s="1">
        <f t="shared" si="3"/>
        <v>1814650.8657118022</v>
      </c>
      <c r="D37" s="1">
        <f t="shared" si="4"/>
        <v>75610.452737991756</v>
      </c>
      <c r="E37" s="1">
        <f t="shared" si="5"/>
        <v>274.32126907037178</v>
      </c>
      <c r="F37" s="1">
        <f t="shared" si="1"/>
        <v>453662.71642795054</v>
      </c>
      <c r="G37" s="1">
        <f t="shared" si="6"/>
        <v>672.6647153678681</v>
      </c>
      <c r="H37" s="1">
        <f t="shared" si="2"/>
        <v>4536627.1642795056</v>
      </c>
      <c r="I37" s="1">
        <f t="shared" si="7"/>
        <v>2127.152602191331</v>
      </c>
      <c r="J37" s="1">
        <f t="shared" si="8"/>
        <v>75610.452737991756</v>
      </c>
      <c r="K37" s="1">
        <f t="shared" si="9"/>
        <v>274.19136920414974</v>
      </c>
      <c r="L37" s="1">
        <f t="shared" si="10"/>
        <v>453662.71642795054</v>
      </c>
      <c r="M37" s="1">
        <f t="shared" si="11"/>
        <v>672.34550698159956</v>
      </c>
      <c r="N37" s="1">
        <f t="shared" si="13"/>
        <v>4536627.1642795056</v>
      </c>
      <c r="O37" s="1">
        <f t="shared" si="12"/>
        <v>2126.1431766424953</v>
      </c>
    </row>
    <row r="38" spans="1:15">
      <c r="A38" s="1">
        <v>9.9999999999999994E-12</v>
      </c>
      <c r="B38" s="1">
        <f t="shared" si="0"/>
        <v>0.60409418411912219</v>
      </c>
      <c r="C38" s="1">
        <f t="shared" si="3"/>
        <v>1209767.2438078679</v>
      </c>
      <c r="D38" s="1">
        <f t="shared" si="4"/>
        <v>50406.968491994492</v>
      </c>
      <c r="E38" s="1">
        <f t="shared" si="5"/>
        <v>223.71750341227622</v>
      </c>
      <c r="F38" s="1">
        <f t="shared" si="1"/>
        <v>302441.81095196697</v>
      </c>
      <c r="G38" s="1">
        <f t="shared" si="6"/>
        <v>548.87016606042766</v>
      </c>
      <c r="H38" s="1">
        <f t="shared" si="2"/>
        <v>3024418.1095196698</v>
      </c>
      <c r="I38" s="1">
        <f t="shared" si="7"/>
        <v>1735.6798644657988</v>
      </c>
      <c r="J38" s="1">
        <f t="shared" si="8"/>
        <v>50406.968491994492</v>
      </c>
      <c r="K38" s="1">
        <f t="shared" si="9"/>
        <v>223.5590288421823</v>
      </c>
      <c r="L38" s="1">
        <f t="shared" si="10"/>
        <v>302441.81095196697</v>
      </c>
      <c r="M38" s="1">
        <f t="shared" si="11"/>
        <v>548.48012005155942</v>
      </c>
      <c r="N38" s="1">
        <f t="shared" si="13"/>
        <v>3024418.1095196698</v>
      </c>
      <c r="O38" s="1">
        <f t="shared" si="12"/>
        <v>1734.446430685517</v>
      </c>
    </row>
    <row r="39" spans="1:15">
      <c r="A39" s="1">
        <v>9.4999999999999995E-12</v>
      </c>
      <c r="B39" s="1">
        <f t="shared" si="0"/>
        <v>0.57388947491316611</v>
      </c>
      <c r="C39" s="1">
        <f t="shared" si="3"/>
        <v>1149278.8816174744</v>
      </c>
      <c r="D39" s="1">
        <f t="shared" si="4"/>
        <v>47886.620067394768</v>
      </c>
      <c r="E39" s="1">
        <f t="shared" si="5"/>
        <v>218.01216999499542</v>
      </c>
      <c r="F39" s="1">
        <f t="shared" si="1"/>
        <v>287319.72040436859</v>
      </c>
      <c r="G39" s="1">
        <f t="shared" si="6"/>
        <v>534.91738827635049</v>
      </c>
      <c r="H39" s="1">
        <f t="shared" si="2"/>
        <v>2873197.2040436859</v>
      </c>
      <c r="I39" s="1">
        <f t="shared" si="7"/>
        <v>1691.5573069819181</v>
      </c>
      <c r="J39" s="1">
        <f t="shared" si="8"/>
        <v>47886.620067394768</v>
      </c>
      <c r="K39" s="1">
        <f t="shared" si="9"/>
        <v>217.84967851560518</v>
      </c>
      <c r="L39" s="1">
        <f t="shared" si="10"/>
        <v>287319.72040436859</v>
      </c>
      <c r="M39" s="1">
        <f t="shared" si="11"/>
        <v>534.51735544108351</v>
      </c>
      <c r="N39" s="1">
        <f t="shared" si="13"/>
        <v>2873197.2040436859</v>
      </c>
      <c r="O39" s="1">
        <f t="shared" si="12"/>
        <v>1690.2922920836195</v>
      </c>
    </row>
    <row r="40" spans="1:15">
      <c r="A40" s="1">
        <v>8.9999999999999996E-12</v>
      </c>
      <c r="B40" s="1">
        <f t="shared" si="0"/>
        <v>0.54368476570720992</v>
      </c>
      <c r="C40" s="1">
        <f t="shared" si="3"/>
        <v>1088790.5194270811</v>
      </c>
      <c r="D40" s="1">
        <f t="shared" si="4"/>
        <v>45366.271642795044</v>
      </c>
      <c r="E40" s="1">
        <f t="shared" si="5"/>
        <v>212.15349608166969</v>
      </c>
      <c r="F40" s="1">
        <f t="shared" si="1"/>
        <v>272197.62985677028</v>
      </c>
      <c r="G40" s="1">
        <f t="shared" si="6"/>
        <v>520.59081083198225</v>
      </c>
      <c r="H40" s="1">
        <f t="shared" si="2"/>
        <v>2721976.298567703</v>
      </c>
      <c r="I40" s="1">
        <f t="shared" si="7"/>
        <v>1646.2526911829202</v>
      </c>
      <c r="J40" s="1">
        <f t="shared" si="8"/>
        <v>45366.271642795044</v>
      </c>
      <c r="K40" s="1">
        <f t="shared" si="9"/>
        <v>211.98666598726351</v>
      </c>
      <c r="L40" s="1">
        <f t="shared" si="10"/>
        <v>272197.62985677028</v>
      </c>
      <c r="M40" s="1">
        <f t="shared" si="11"/>
        <v>520.17998263893435</v>
      </c>
      <c r="N40" s="1">
        <f t="shared" si="13"/>
        <v>2721976.298567703</v>
      </c>
      <c r="O40" s="1">
        <f t="shared" si="12"/>
        <v>1644.9535383658776</v>
      </c>
    </row>
    <row r="41" spans="1:15">
      <c r="A41" s="1">
        <v>8.4999999999999997E-12</v>
      </c>
      <c r="B41" s="1">
        <f t="shared" si="0"/>
        <v>0.51348005650125383</v>
      </c>
      <c r="C41" s="1">
        <f t="shared" si="3"/>
        <v>1028302.1572366876</v>
      </c>
      <c r="D41" s="1">
        <f t="shared" si="4"/>
        <v>42845.923218195319</v>
      </c>
      <c r="E41" s="1">
        <f t="shared" si="5"/>
        <v>206.12841339057823</v>
      </c>
      <c r="F41" s="1">
        <f t="shared" si="1"/>
        <v>257075.5393091719</v>
      </c>
      <c r="G41" s="1">
        <f t="shared" si="6"/>
        <v>505.85867992224934</v>
      </c>
      <c r="H41" s="1">
        <f t="shared" si="2"/>
        <v>2570755.3930917191</v>
      </c>
      <c r="I41" s="1">
        <f t="shared" si="7"/>
        <v>1599.6656027203958</v>
      </c>
      <c r="J41" s="1">
        <f t="shared" si="8"/>
        <v>42845.923218195319</v>
      </c>
      <c r="K41" s="1">
        <f t="shared" si="9"/>
        <v>205.95687762224358</v>
      </c>
      <c r="L41" s="1">
        <f t="shared" si="10"/>
        <v>257075.5393091719</v>
      </c>
      <c r="M41" s="1">
        <f t="shared" si="11"/>
        <v>505.43613251635827</v>
      </c>
      <c r="N41" s="1">
        <f t="shared" si="13"/>
        <v>2570755.3930917191</v>
      </c>
      <c r="O41" s="1">
        <f t="shared" si="12"/>
        <v>1598.3293904983846</v>
      </c>
    </row>
    <row r="42" spans="1:15">
      <c r="A42" s="1">
        <v>7.9999999999999998E-12</v>
      </c>
      <c r="B42" s="1">
        <f>A42*$C$4/($C$2*$C$3/(1.2*10^-7))</f>
        <v>0.48327534729529775</v>
      </c>
      <c r="C42" s="1">
        <f t="shared" si="3"/>
        <v>967813.79504629434</v>
      </c>
      <c r="D42" s="1">
        <f t="shared" si="4"/>
        <v>40325.574793595595</v>
      </c>
      <c r="E42" s="1">
        <f t="shared" si="5"/>
        <v>199.92188523964873</v>
      </c>
      <c r="F42" s="1">
        <f t="shared" si="1"/>
        <v>241953.44876157359</v>
      </c>
      <c r="G42" s="1">
        <f t="shared" si="6"/>
        <v>490.68447436488185</v>
      </c>
      <c r="H42" s="1">
        <f t="shared" si="2"/>
        <v>2419534.4876157357</v>
      </c>
      <c r="I42" s="1">
        <f t="shared" si="7"/>
        <v>1551.6805514755295</v>
      </c>
      <c r="J42" s="1">
        <f t="shared" si="8"/>
        <v>40325.574793595595</v>
      </c>
      <c r="K42" s="1">
        <f t="shared" si="9"/>
        <v>199.74522190158717</v>
      </c>
      <c r="L42" s="1">
        <f t="shared" si="10"/>
        <v>241953.44876157359</v>
      </c>
      <c r="M42" s="1">
        <f t="shared" si="11"/>
        <v>490.24914414506173</v>
      </c>
      <c r="N42" s="1">
        <f t="shared" si="13"/>
        <v>2419534.4876157357</v>
      </c>
      <c r="O42" s="1">
        <f t="shared" si="12"/>
        <v>1550.3039164465961</v>
      </c>
    </row>
    <row r="43" spans="1:15">
      <c r="A43" s="1">
        <v>7.5E-12</v>
      </c>
      <c r="B43" s="1">
        <f>A43*$C$4/($C$2*$C$3/(1.2*10^-7))</f>
        <v>0.45307063808934167</v>
      </c>
      <c r="C43" s="1">
        <f t="shared" si="3"/>
        <v>907325.43285590108</v>
      </c>
      <c r="D43" s="1">
        <f t="shared" si="4"/>
        <v>37805.226368995878</v>
      </c>
      <c r="E43" s="1">
        <f t="shared" si="5"/>
        <v>193.51646475256229</v>
      </c>
      <c r="F43" s="1">
        <f t="shared" si="1"/>
        <v>226831.35821397527</v>
      </c>
      <c r="G43" s="1">
        <f t="shared" si="6"/>
        <v>475.02583908006056</v>
      </c>
      <c r="H43" s="1">
        <f t="shared" si="2"/>
        <v>2268313.5821397528</v>
      </c>
      <c r="I43" s="1">
        <f t="shared" si="7"/>
        <v>1502.1635989256149</v>
      </c>
      <c r="J43" s="1">
        <f t="shared" si="8"/>
        <v>37805.226368995878</v>
      </c>
      <c r="K43" s="1">
        <f t="shared" si="9"/>
        <v>193.33418491754367</v>
      </c>
      <c r="L43" s="1">
        <f t="shared" si="10"/>
        <v>226831.35821397527</v>
      </c>
      <c r="M43" s="1">
        <f t="shared" si="11"/>
        <v>474.57649119883541</v>
      </c>
      <c r="N43" s="1">
        <f t="shared" si="13"/>
        <v>2268313.5821397528</v>
      </c>
      <c r="O43" s="1">
        <f t="shared" si="12"/>
        <v>1500.7426361591727</v>
      </c>
    </row>
    <row r="44" spans="1:15">
      <c r="A44" s="1">
        <v>7.0000000000000001E-12</v>
      </c>
      <c r="B44" s="1">
        <f t="shared" ref="B44:B107" si="14">A44*$C$4/($C$2*$C$3/(1.2*10^-7))</f>
        <v>0.42286592888338553</v>
      </c>
      <c r="C44" s="1">
        <f t="shared" si="3"/>
        <v>846837.07066550746</v>
      </c>
      <c r="D44" s="1">
        <f t="shared" si="4"/>
        <v>35284.877944396147</v>
      </c>
      <c r="E44" s="1">
        <f t="shared" si="5"/>
        <v>186.89171680521846</v>
      </c>
      <c r="F44" s="1">
        <f t="shared" si="1"/>
        <v>211709.26766637687</v>
      </c>
      <c r="G44" s="1">
        <f t="shared" si="6"/>
        <v>458.83319070430935</v>
      </c>
      <c r="H44" s="1">
        <f t="shared" si="2"/>
        <v>2117092.6766637685</v>
      </c>
      <c r="I44" s="1">
        <f t="shared" si="7"/>
        <v>1450.957948708015</v>
      </c>
      <c r="J44" s="1">
        <f t="shared" si="8"/>
        <v>35284.877944396147</v>
      </c>
      <c r="K44" s="1">
        <f t="shared" si="9"/>
        <v>186.70324859826664</v>
      </c>
      <c r="L44" s="1">
        <f t="shared" si="10"/>
        <v>211709.26766637687</v>
      </c>
      <c r="M44" s="1">
        <f t="shared" si="11"/>
        <v>458.36837780962617</v>
      </c>
      <c r="N44" s="1">
        <f t="shared" si="13"/>
        <v>2117092.6766637685</v>
      </c>
      <c r="O44" s="1">
        <f t="shared" si="12"/>
        <v>1449.4880812750002</v>
      </c>
    </row>
    <row r="45" spans="1:15">
      <c r="A45" s="1">
        <v>6.5000000000000002E-12</v>
      </c>
      <c r="B45" s="1">
        <f t="shared" si="14"/>
        <v>0.39266121967742945</v>
      </c>
      <c r="C45" s="1">
        <f t="shared" si="3"/>
        <v>786348.7084751142</v>
      </c>
      <c r="D45" s="1">
        <f t="shared" si="4"/>
        <v>32764.529519796426</v>
      </c>
      <c r="E45" s="1">
        <f t="shared" si="5"/>
        <v>180.02344855100588</v>
      </c>
      <c r="F45" s="1">
        <f t="shared" si="1"/>
        <v>196587.17711877855</v>
      </c>
      <c r="G45" s="1">
        <f t="shared" si="6"/>
        <v>442.04786304381429</v>
      </c>
      <c r="H45" s="1">
        <f t="shared" si="2"/>
        <v>1965871.7711877855</v>
      </c>
      <c r="I45" s="1">
        <f t="shared" si="7"/>
        <v>1397.8780820286252</v>
      </c>
      <c r="J45" s="1">
        <f t="shared" si="8"/>
        <v>32764.529519796426</v>
      </c>
      <c r="K45" s="1">
        <f t="shared" si="9"/>
        <v>179.82811602270633</v>
      </c>
      <c r="L45" s="1">
        <f t="shared" si="10"/>
        <v>196587.17711877855</v>
      </c>
      <c r="M45" s="1">
        <f t="shared" si="11"/>
        <v>441.56587029552918</v>
      </c>
      <c r="N45" s="1">
        <f t="shared" si="13"/>
        <v>1965871.7711877855</v>
      </c>
      <c r="O45" s="1">
        <f t="shared" si="12"/>
        <v>1396.3538871283602</v>
      </c>
    </row>
    <row r="46" spans="1:15">
      <c r="A46" s="1">
        <v>6.0000000000000003E-12</v>
      </c>
      <c r="B46" s="1">
        <f t="shared" si="14"/>
        <v>0.36245651047147331</v>
      </c>
      <c r="C46" s="1">
        <f t="shared" si="3"/>
        <v>725860.3462847207</v>
      </c>
      <c r="D46" s="1">
        <f t="shared" si="4"/>
        <v>30244.181095196695</v>
      </c>
      <c r="E46" s="1">
        <f t="shared" si="5"/>
        <v>172.88266486462749</v>
      </c>
      <c r="F46" s="1">
        <f t="shared" si="1"/>
        <v>181465.08657118017</v>
      </c>
      <c r="G46" s="1">
        <f t="shared" si="6"/>
        <v>424.59959194680448</v>
      </c>
      <c r="H46" s="1">
        <f t="shared" si="2"/>
        <v>1814650.8657118017</v>
      </c>
      <c r="I46" s="1">
        <f t="shared" si="7"/>
        <v>1342.7018041299893</v>
      </c>
      <c r="J46" s="1">
        <f t="shared" si="8"/>
        <v>30244.181095196695</v>
      </c>
      <c r="K46" s="1">
        <f t="shared" si="9"/>
        <v>172.67965940704823</v>
      </c>
      <c r="L46" s="1">
        <f t="shared" si="10"/>
        <v>181465.08657118017</v>
      </c>
      <c r="M46" s="1">
        <f t="shared" si="11"/>
        <v>424.09836228166301</v>
      </c>
      <c r="N46" s="1">
        <f t="shared" si="13"/>
        <v>1814650.8657118017</v>
      </c>
      <c r="O46" s="1">
        <f t="shared" si="12"/>
        <v>1341.1167767572992</v>
      </c>
    </row>
    <row r="47" spans="1:15">
      <c r="A47" s="1">
        <v>5.5000000000000004E-12</v>
      </c>
      <c r="B47" s="1">
        <f t="shared" si="14"/>
        <v>0.33225180126551723</v>
      </c>
      <c r="C47" s="1">
        <f t="shared" si="3"/>
        <v>665371.9840943272</v>
      </c>
      <c r="D47" s="1">
        <f t="shared" si="4"/>
        <v>27723.832670596967</v>
      </c>
      <c r="E47" s="1">
        <f t="shared" si="5"/>
        <v>165.43411808130546</v>
      </c>
      <c r="F47" s="1">
        <f t="shared" si="1"/>
        <v>166342.9960235818</v>
      </c>
      <c r="G47" s="1">
        <f t="shared" si="6"/>
        <v>406.40302705439098</v>
      </c>
      <c r="H47" s="1">
        <f t="shared" si="2"/>
        <v>1663429.9602358181</v>
      </c>
      <c r="I47" s="1">
        <f t="shared" si="7"/>
        <v>1285.1592134789062</v>
      </c>
      <c r="J47" s="1">
        <f t="shared" si="8"/>
        <v>27723.832670596967</v>
      </c>
      <c r="K47" s="1">
        <f t="shared" si="9"/>
        <v>165.22245889776383</v>
      </c>
      <c r="L47" s="1">
        <f t="shared" si="10"/>
        <v>166342.9960235818</v>
      </c>
      <c r="M47" s="1">
        <f t="shared" si="11"/>
        <v>405.88005727519391</v>
      </c>
      <c r="N47" s="1">
        <f t="shared" si="13"/>
        <v>1663429.9602358181</v>
      </c>
      <c r="O47" s="1">
        <f t="shared" si="12"/>
        <v>1283.5054378292079</v>
      </c>
    </row>
    <row r="48" spans="1:15">
      <c r="A48" s="1">
        <v>4.9999999999999997E-12</v>
      </c>
      <c r="B48" s="1">
        <f t="shared" si="14"/>
        <v>0.3020470920595611</v>
      </c>
      <c r="C48" s="1">
        <f t="shared" si="3"/>
        <v>604883.62190393393</v>
      </c>
      <c r="D48" s="1">
        <f t="shared" si="4"/>
        <v>25203.484245997246</v>
      </c>
      <c r="E48" s="1">
        <f t="shared" si="5"/>
        <v>157.63424113258247</v>
      </c>
      <c r="F48" s="1">
        <f t="shared" si="1"/>
        <v>151220.90547598348</v>
      </c>
      <c r="G48" s="1">
        <f t="shared" si="6"/>
        <v>387.35276650911334</v>
      </c>
      <c r="H48" s="1">
        <f t="shared" si="2"/>
        <v>1512209.0547598349</v>
      </c>
      <c r="I48" s="1">
        <f t="shared" si="7"/>
        <v>1224.9170001361877</v>
      </c>
      <c r="J48" s="1">
        <f t="shared" si="8"/>
        <v>25203.484245997246</v>
      </c>
      <c r="K48" s="1">
        <f t="shared" si="9"/>
        <v>157.41271916617958</v>
      </c>
      <c r="L48" s="1">
        <f t="shared" si="10"/>
        <v>151220.90547598348</v>
      </c>
      <c r="M48" s="1">
        <f t="shared" si="11"/>
        <v>386.80495895467607</v>
      </c>
      <c r="N48" s="1">
        <f t="shared" si="13"/>
        <v>1512209.0547598349</v>
      </c>
      <c r="O48" s="1">
        <f t="shared" si="12"/>
        <v>1223.1846805447192</v>
      </c>
    </row>
    <row r="49" spans="1:15">
      <c r="A49" s="1">
        <v>4.4999999999999998E-12</v>
      </c>
      <c r="B49" s="1">
        <f t="shared" si="14"/>
        <v>0.27184238285360496</v>
      </c>
      <c r="C49" s="1">
        <f t="shared" si="3"/>
        <v>544395.25971354055</v>
      </c>
      <c r="D49" s="1">
        <f t="shared" si="4"/>
        <v>22683.135821397522</v>
      </c>
      <c r="E49" s="1">
        <f t="shared" si="5"/>
        <v>149.42810999246529</v>
      </c>
      <c r="F49" s="1">
        <f t="shared" si="1"/>
        <v>136098.81492838514</v>
      </c>
      <c r="G49" s="1">
        <f t="shared" si="6"/>
        <v>367.31606987345072</v>
      </c>
      <c r="H49" s="1">
        <f t="shared" si="2"/>
        <v>1360988.1492838515</v>
      </c>
      <c r="I49" s="1">
        <f t="shared" si="7"/>
        <v>1161.5554019816607</v>
      </c>
      <c r="J49" s="1">
        <f t="shared" si="8"/>
        <v>22683.135821397522</v>
      </c>
      <c r="K49" s="1">
        <f t="shared" si="9"/>
        <v>149.19520599644665</v>
      </c>
      <c r="L49" s="1">
        <f t="shared" si="10"/>
        <v>136098.81492838514</v>
      </c>
      <c r="M49" s="1">
        <f t="shared" si="11"/>
        <v>366.73951402613812</v>
      </c>
      <c r="N49" s="1">
        <f t="shared" si="13"/>
        <v>1360988.1492838515</v>
      </c>
      <c r="O49" s="1">
        <f t="shared" si="12"/>
        <v>1159.7321723058647</v>
      </c>
    </row>
    <row r="50" spans="1:15">
      <c r="A50" s="1">
        <v>3.9999999999999999E-12</v>
      </c>
      <c r="B50" s="1">
        <f t="shared" si="14"/>
        <v>0.24163767364764888</v>
      </c>
      <c r="C50" s="1">
        <f t="shared" si="3"/>
        <v>483906.89752314717</v>
      </c>
      <c r="D50" s="1">
        <f t="shared" si="4"/>
        <v>20162.787396797798</v>
      </c>
      <c r="E50" s="1">
        <f t="shared" si="5"/>
        <v>140.74481279416119</v>
      </c>
      <c r="F50" s="1">
        <f t="shared" si="1"/>
        <v>120976.72438078679</v>
      </c>
      <c r="G50" s="1">
        <f t="shared" si="6"/>
        <v>346.12176639969869</v>
      </c>
      <c r="H50" s="1">
        <f t="shared" si="2"/>
        <v>1209767.2438078679</v>
      </c>
      <c r="I50" s="1">
        <f t="shared" si="7"/>
        <v>1094.5331295837857</v>
      </c>
      <c r="J50" s="1">
        <f t="shared" si="8"/>
        <v>20162.787396797798</v>
      </c>
      <c r="K50" s="1">
        <f t="shared" si="9"/>
        <v>140.49857332812883</v>
      </c>
      <c r="L50" s="1">
        <f t="shared" si="10"/>
        <v>120976.72438078679</v>
      </c>
      <c r="M50" s="1">
        <f t="shared" si="11"/>
        <v>345.51140524120586</v>
      </c>
      <c r="N50" s="1">
        <f t="shared" si="13"/>
        <v>1209767.2438078679</v>
      </c>
      <c r="O50" s="1">
        <f t="shared" si="12"/>
        <v>1092.6029981276492</v>
      </c>
    </row>
    <row r="51" spans="1:15">
      <c r="A51" s="1">
        <v>3.5E-12</v>
      </c>
      <c r="B51" s="1">
        <f t="shared" si="14"/>
        <v>0.21143296444169277</v>
      </c>
      <c r="C51" s="1">
        <f t="shared" si="3"/>
        <v>423418.53533275373</v>
      </c>
      <c r="D51" s="1">
        <f t="shared" si="4"/>
        <v>17642.438972198073</v>
      </c>
      <c r="E51" s="1">
        <f t="shared" si="5"/>
        <v>131.49006805360384</v>
      </c>
      <c r="F51" s="1">
        <f t="shared" si="1"/>
        <v>105854.63383318843</v>
      </c>
      <c r="G51" s="1">
        <f t="shared" si="6"/>
        <v>323.5426072568406</v>
      </c>
      <c r="H51" s="1">
        <f t="shared" si="2"/>
        <v>1058546.3383318842</v>
      </c>
      <c r="I51" s="1">
        <f t="shared" si="7"/>
        <v>1023.1315590409388</v>
      </c>
      <c r="J51" s="1">
        <f t="shared" si="8"/>
        <v>17642.438972198073</v>
      </c>
      <c r="K51" s="1">
        <f t="shared" si="9"/>
        <v>131.2279096531563</v>
      </c>
      <c r="L51" s="1">
        <f t="shared" si="10"/>
        <v>105854.63383318843</v>
      </c>
      <c r="M51" s="1">
        <f t="shared" si="11"/>
        <v>322.89170416473519</v>
      </c>
      <c r="N51" s="1">
        <f t="shared" si="13"/>
        <v>1058546.3383318842</v>
      </c>
      <c r="O51" s="1">
        <f t="shared" si="12"/>
        <v>1021.0732227338392</v>
      </c>
    </row>
    <row r="52" spans="1:15">
      <c r="A52" s="1">
        <v>3.0000000000000001E-12</v>
      </c>
      <c r="B52" s="1">
        <f t="shared" si="14"/>
        <v>0.18122825523573666</v>
      </c>
      <c r="C52" s="1">
        <f t="shared" si="3"/>
        <v>362930.17314236035</v>
      </c>
      <c r="D52" s="1">
        <f t="shared" si="4"/>
        <v>15122.090547598347</v>
      </c>
      <c r="E52" s="1">
        <f t="shared" si="5"/>
        <v>121.53378752485825</v>
      </c>
      <c r="F52" s="1">
        <f t="shared" si="1"/>
        <v>90732.543285590087</v>
      </c>
      <c r="G52" s="1">
        <f t="shared" si="6"/>
        <v>299.26559648887002</v>
      </c>
      <c r="H52" s="1">
        <f t="shared" si="2"/>
        <v>907325.43285590084</v>
      </c>
      <c r="I52" s="1">
        <f t="shared" si="7"/>
        <v>946.3609102337183</v>
      </c>
      <c r="J52" s="1">
        <f t="shared" si="8"/>
        <v>15122.090547598347</v>
      </c>
      <c r="K52" s="1">
        <f t="shared" si="9"/>
        <v>121.25217084546694</v>
      </c>
      <c r="L52" s="1">
        <f t="shared" si="10"/>
        <v>90732.543285590087</v>
      </c>
      <c r="M52" s="1">
        <f t="shared" si="11"/>
        <v>298.56483463074755</v>
      </c>
      <c r="N52" s="1">
        <f t="shared" si="13"/>
        <v>907325.43285590084</v>
      </c>
      <c r="O52" s="1">
        <f t="shared" si="12"/>
        <v>944.14490666467941</v>
      </c>
    </row>
    <row r="53" spans="1:15">
      <c r="A53" s="1">
        <v>2.4999999999999998E-12</v>
      </c>
      <c r="B53" s="1">
        <f t="shared" si="14"/>
        <v>0.15102354602978055</v>
      </c>
      <c r="C53" s="1">
        <f t="shared" si="3"/>
        <v>302441.81095196697</v>
      </c>
      <c r="D53" s="1">
        <f t="shared" si="4"/>
        <v>12601.742122998623</v>
      </c>
      <c r="E53" s="1">
        <f t="shared" si="5"/>
        <v>110.68758186422082</v>
      </c>
      <c r="F53" s="1">
        <f t="shared" si="1"/>
        <v>75610.452737991742</v>
      </c>
      <c r="G53" s="1">
        <f t="shared" si="6"/>
        <v>272.83846866457725</v>
      </c>
      <c r="H53" s="1">
        <f t="shared" si="2"/>
        <v>756104.52737991745</v>
      </c>
      <c r="I53" s="1">
        <f t="shared" si="7"/>
        <v>862.79099429254302</v>
      </c>
      <c r="J53" s="1">
        <f t="shared" si="8"/>
        <v>12601.742122998623</v>
      </c>
      <c r="K53" s="1">
        <f t="shared" si="9"/>
        <v>110.38143254588159</v>
      </c>
      <c r="L53" s="1">
        <f t="shared" si="10"/>
        <v>75610.452737991742</v>
      </c>
      <c r="M53" s="1">
        <f t="shared" si="11"/>
        <v>272.07431733287223</v>
      </c>
      <c r="N53" s="1">
        <f t="shared" si="13"/>
        <v>756104.52737991745</v>
      </c>
      <c r="O53" s="1">
        <f t="shared" si="12"/>
        <v>860.37453560730432</v>
      </c>
    </row>
    <row r="54" spans="1:15">
      <c r="A54" s="1">
        <v>2E-12</v>
      </c>
      <c r="B54" s="1">
        <f t="shared" si="14"/>
        <v>0.12081883682382444</v>
      </c>
      <c r="C54" s="1">
        <f t="shared" si="3"/>
        <v>241953.44876157359</v>
      </c>
      <c r="D54" s="1">
        <f t="shared" si="4"/>
        <v>10081.393698398899</v>
      </c>
      <c r="E54" s="1">
        <f t="shared" si="5"/>
        <v>98.660051867671513</v>
      </c>
      <c r="F54" s="1">
        <f t="shared" si="1"/>
        <v>60488.362190393396</v>
      </c>
      <c r="G54" s="1">
        <f t="shared" si="6"/>
        <v>243.56363696592751</v>
      </c>
      <c r="H54" s="1">
        <f t="shared" si="2"/>
        <v>604883.62190393393</v>
      </c>
      <c r="I54" s="1">
        <f t="shared" si="7"/>
        <v>770.21584800671383</v>
      </c>
      <c r="J54" s="1">
        <f t="shared" si="8"/>
        <v>10081.393698398899</v>
      </c>
      <c r="K54" s="1">
        <f t="shared" si="9"/>
        <v>98.321639376029353</v>
      </c>
      <c r="L54" s="1">
        <f t="shared" si="10"/>
        <v>60488.362190393396</v>
      </c>
      <c r="M54" s="1">
        <f t="shared" si="11"/>
        <v>242.71509506005026</v>
      </c>
      <c r="N54" s="1">
        <f t="shared" si="13"/>
        <v>604883.62190393393</v>
      </c>
      <c r="O54" s="1">
        <f t="shared" si="12"/>
        <v>767.53252289404145</v>
      </c>
    </row>
    <row r="55" spans="1:15">
      <c r="A55" s="1">
        <v>1.5000000000000001E-12</v>
      </c>
      <c r="B55" s="1">
        <f t="shared" si="14"/>
        <v>9.0614127617868329E-2</v>
      </c>
      <c r="C55" s="1">
        <f t="shared" si="3"/>
        <v>181465.08657118017</v>
      </c>
      <c r="D55" s="1">
        <f t="shared" si="4"/>
        <v>7561.0452737991736</v>
      </c>
      <c r="E55" s="1">
        <f t="shared" si="5"/>
        <v>84.955322086324827</v>
      </c>
      <c r="F55" s="1">
        <f t="shared" si="1"/>
        <v>45366.271642795044</v>
      </c>
      <c r="G55" s="1">
        <f t="shared" si="6"/>
        <v>210.25838329011123</v>
      </c>
      <c r="H55" s="1">
        <f t="shared" si="2"/>
        <v>453662.71642795042</v>
      </c>
      <c r="I55" s="1">
        <f t="shared" si="7"/>
        <v>664.89538834143923</v>
      </c>
      <c r="J55" s="1">
        <f t="shared" si="8"/>
        <v>7561.0452737991736</v>
      </c>
      <c r="K55" s="1">
        <f t="shared" si="9"/>
        <v>84.571824926664135</v>
      </c>
      <c r="L55" s="1">
        <f t="shared" si="10"/>
        <v>45366.271642795044</v>
      </c>
      <c r="M55" s="1">
        <f t="shared" si="11"/>
        <v>209.28957512354108</v>
      </c>
      <c r="N55" s="1">
        <f t="shared" si="13"/>
        <v>453662.71642795042</v>
      </c>
      <c r="O55" s="1">
        <f t="shared" si="12"/>
        <v>661.83174791930571</v>
      </c>
    </row>
    <row r="56" spans="1:15">
      <c r="A56" s="1">
        <v>9.9999999999999998E-13</v>
      </c>
      <c r="B56" s="1">
        <f t="shared" si="14"/>
        <v>6.0409418411912219E-2</v>
      </c>
      <c r="C56" s="1">
        <f t="shared" si="3"/>
        <v>120976.72438078679</v>
      </c>
      <c r="D56" s="1">
        <f t="shared" si="4"/>
        <v>5040.6968491994494</v>
      </c>
      <c r="E56" s="1">
        <f t="shared" si="5"/>
        <v>68.590770169837825</v>
      </c>
      <c r="F56" s="1">
        <f t="shared" si="1"/>
        <v>30244.181095196698</v>
      </c>
      <c r="G56" s="1">
        <f t="shared" si="6"/>
        <v>170.59039345213125</v>
      </c>
      <c r="H56" s="1">
        <f t="shared" si="2"/>
        <v>302441.81095196697</v>
      </c>
      <c r="I56" s="1">
        <f t="shared" si="7"/>
        <v>539.45419025300885</v>
      </c>
      <c r="J56" s="1">
        <f t="shared" si="8"/>
        <v>5040.6968491994494</v>
      </c>
      <c r="K56" s="1">
        <f t="shared" si="9"/>
        <v>68.138078705430516</v>
      </c>
      <c r="L56" s="1">
        <f t="shared" si="10"/>
        <v>30244.181095196698</v>
      </c>
      <c r="M56" s="1">
        <f t="shared" si="11"/>
        <v>169.43005390986627</v>
      </c>
      <c r="N56" s="1">
        <f t="shared" si="13"/>
        <v>302441.81095196697</v>
      </c>
      <c r="O56" s="1">
        <f t="shared" si="12"/>
        <v>535.78487444029429</v>
      </c>
    </row>
    <row r="57" spans="1:15">
      <c r="A57" s="1">
        <v>9.4999999999999999E-13</v>
      </c>
      <c r="B57" s="1">
        <f t="shared" si="14"/>
        <v>5.7388947491316608E-2</v>
      </c>
      <c r="C57" s="1">
        <f t="shared" si="3"/>
        <v>114927.88816174743</v>
      </c>
      <c r="D57" s="1">
        <f t="shared" si="4"/>
        <v>4788.6620067394761</v>
      </c>
      <c r="E57" s="1">
        <f t="shared" si="5"/>
        <v>66.737048144006778</v>
      </c>
      <c r="F57" s="1">
        <f t="shared" si="1"/>
        <v>28731.972040436856</v>
      </c>
      <c r="G57" s="1">
        <f t="shared" si="6"/>
        <v>166.10581769688875</v>
      </c>
      <c r="H57" s="1">
        <f t="shared" si="2"/>
        <v>287319.72040436859</v>
      </c>
      <c r="I57" s="1">
        <f t="shared" si="7"/>
        <v>525.27271652687284</v>
      </c>
      <c r="J57" s="1">
        <f t="shared" si="8"/>
        <v>4788.6620067394761</v>
      </c>
      <c r="K57" s="1">
        <f t="shared" si="9"/>
        <v>66.275253280355543</v>
      </c>
      <c r="L57" s="1">
        <f t="shared" si="10"/>
        <v>28731.972040436856</v>
      </c>
      <c r="M57" s="1">
        <f t="shared" si="11"/>
        <v>164.9194882113224</v>
      </c>
      <c r="N57" s="1">
        <f t="shared" si="13"/>
        <v>287319.72040436859</v>
      </c>
      <c r="O57" s="1">
        <f t="shared" si="12"/>
        <v>521.52121329706722</v>
      </c>
    </row>
    <row r="58" spans="1:15">
      <c r="A58" s="1">
        <v>9E-13</v>
      </c>
      <c r="B58" s="1">
        <f t="shared" si="14"/>
        <v>5.4368476570720997E-2</v>
      </c>
      <c r="C58" s="1">
        <f t="shared" si="3"/>
        <v>108879.0519427081</v>
      </c>
      <c r="D58" s="1">
        <f t="shared" si="4"/>
        <v>4536.6271642795045</v>
      </c>
      <c r="E58" s="1">
        <f t="shared" si="5"/>
        <v>64.831276110676399</v>
      </c>
      <c r="F58" s="1">
        <f t="shared" si="1"/>
        <v>27219.762985677025</v>
      </c>
      <c r="G58" s="1">
        <f t="shared" si="6"/>
        <v>161.49750653412809</v>
      </c>
      <c r="H58" s="1">
        <f t="shared" si="2"/>
        <v>272197.62985677028</v>
      </c>
      <c r="I58" s="1">
        <f t="shared" si="7"/>
        <v>510.69995708577017</v>
      </c>
      <c r="J58" s="1">
        <f t="shared" si="8"/>
        <v>4536.6271642795045</v>
      </c>
      <c r="K58" s="1">
        <f t="shared" si="9"/>
        <v>64.359829396964827</v>
      </c>
      <c r="L58" s="1">
        <f t="shared" si="10"/>
        <v>27219.762985677025</v>
      </c>
      <c r="M58" s="1">
        <f t="shared" si="11"/>
        <v>160.28338137988587</v>
      </c>
      <c r="N58" s="1">
        <f t="shared" si="13"/>
        <v>272197.62985677028</v>
      </c>
      <c r="O58" s="1">
        <f t="shared" si="12"/>
        <v>506.86055623386147</v>
      </c>
    </row>
    <row r="59" spans="1:15">
      <c r="A59" s="1">
        <v>8.5000000000000001E-13</v>
      </c>
      <c r="B59" s="1">
        <f t="shared" si="14"/>
        <v>5.1348005650125386E-2</v>
      </c>
      <c r="C59" s="1">
        <f t="shared" si="3"/>
        <v>102830.21572366876</v>
      </c>
      <c r="D59" s="1">
        <f t="shared" si="4"/>
        <v>4284.5923218195321</v>
      </c>
      <c r="E59" s="1">
        <f t="shared" si="5"/>
        <v>62.868877352830438</v>
      </c>
      <c r="F59" s="1">
        <f t="shared" si="1"/>
        <v>25707.553930917191</v>
      </c>
      <c r="G59" s="1">
        <f t="shared" si="6"/>
        <v>156.75467751795779</v>
      </c>
      <c r="H59" s="1">
        <f t="shared" si="2"/>
        <v>257075.5393091719</v>
      </c>
      <c r="I59" s="1">
        <f t="shared" si="7"/>
        <v>495.70181484193648</v>
      </c>
      <c r="J59" s="1">
        <f t="shared" si="8"/>
        <v>4284.5923218195321</v>
      </c>
      <c r="K59" s="1">
        <f t="shared" si="9"/>
        <v>62.387177138291548</v>
      </c>
      <c r="L59" s="1">
        <f t="shared" si="10"/>
        <v>25707.553930917191</v>
      </c>
      <c r="M59" s="1">
        <f t="shared" si="11"/>
        <v>155.5107355485153</v>
      </c>
      <c r="N59" s="1">
        <f t="shared" si="13"/>
        <v>257075.5393091719</v>
      </c>
      <c r="O59" s="1">
        <f t="shared" si="12"/>
        <v>491.76812494142257</v>
      </c>
    </row>
    <row r="60" spans="1:15">
      <c r="A60" s="1">
        <v>8.0000000000000002E-13</v>
      </c>
      <c r="B60" s="1">
        <f t="shared" si="14"/>
        <v>4.8327534729529775E-2</v>
      </c>
      <c r="C60" s="1">
        <f t="shared" si="3"/>
        <v>96781.379504629396</v>
      </c>
      <c r="D60" s="1">
        <f t="shared" si="4"/>
        <v>4032.5574793595583</v>
      </c>
      <c r="E60" s="1">
        <f t="shared" si="5"/>
        <v>60.844571911239612</v>
      </c>
      <c r="F60" s="1">
        <f t="shared" si="1"/>
        <v>24195.344876157349</v>
      </c>
      <c r="G60" s="1">
        <f t="shared" si="6"/>
        <v>151.86489409674337</v>
      </c>
      <c r="H60" s="1">
        <f t="shared" si="2"/>
        <v>241953.4487615735</v>
      </c>
      <c r="I60" s="1">
        <f t="shared" si="7"/>
        <v>480.23896196596831</v>
      </c>
      <c r="J60" s="1">
        <f t="shared" si="8"/>
        <v>4032.5574793595583</v>
      </c>
      <c r="K60" s="1">
        <f t="shared" si="9"/>
        <v>60.351956974847639</v>
      </c>
      <c r="L60" s="1">
        <f t="shared" si="10"/>
        <v>24195.344876157349</v>
      </c>
      <c r="M60" s="1">
        <f t="shared" si="11"/>
        <v>150.58886194716513</v>
      </c>
      <c r="N60" s="1">
        <f t="shared" si="13"/>
        <v>241953.4487615735</v>
      </c>
      <c r="O60" s="1">
        <f t="shared" si="12"/>
        <v>476.20379400570044</v>
      </c>
    </row>
    <row r="61" spans="1:15">
      <c r="A61" s="1">
        <v>7.5000000000000004E-13</v>
      </c>
      <c r="B61" s="1">
        <f t="shared" si="14"/>
        <v>4.5307063808934164E-2</v>
      </c>
      <c r="C61" s="1">
        <f t="shared" si="3"/>
        <v>90732.543285590087</v>
      </c>
      <c r="D61" s="1">
        <f t="shared" si="4"/>
        <v>3780.5226368995868</v>
      </c>
      <c r="E61" s="1">
        <f t="shared" si="5"/>
        <v>58.752217263169577</v>
      </c>
      <c r="F61" s="1">
        <f t="shared" si="1"/>
        <v>22683.135821397522</v>
      </c>
      <c r="G61" s="1">
        <f t="shared" si="6"/>
        <v>146.81368899176161</v>
      </c>
      <c r="H61" s="1">
        <f t="shared" si="2"/>
        <v>226831.35821397521</v>
      </c>
      <c r="I61" s="1">
        <f t="shared" si="7"/>
        <v>464.26564890555602</v>
      </c>
      <c r="J61" s="1">
        <f t="shared" si="8"/>
        <v>3780.5226368995868</v>
      </c>
      <c r="K61" s="1">
        <f t="shared" si="9"/>
        <v>58.247959896165639</v>
      </c>
      <c r="L61" s="1">
        <f t="shared" si="10"/>
        <v>22683.135821397522</v>
      </c>
      <c r="M61" s="1">
        <f t="shared" si="11"/>
        <v>145.50299614170086</v>
      </c>
      <c r="N61" s="1">
        <f t="shared" si="13"/>
        <v>226831.35821397521</v>
      </c>
      <c r="O61" s="1">
        <f t="shared" si="12"/>
        <v>460.12087418646649</v>
      </c>
    </row>
    <row r="62" spans="1:15">
      <c r="A62" s="1">
        <v>7.0000000000000005E-13</v>
      </c>
      <c r="B62" s="1">
        <f t="shared" si="14"/>
        <v>4.2286592888338553E-2</v>
      </c>
      <c r="C62" s="1">
        <f t="shared" si="3"/>
        <v>84683.70706655072</v>
      </c>
      <c r="D62" s="1">
        <f t="shared" si="4"/>
        <v>3528.4877944396135</v>
      </c>
      <c r="E62" s="1">
        <f t="shared" si="5"/>
        <v>56.584599903564516</v>
      </c>
      <c r="F62" s="1">
        <f t="shared" si="1"/>
        <v>21170.92676663768</v>
      </c>
      <c r="G62" s="1">
        <f t="shared" si="6"/>
        <v>141.58407021163794</v>
      </c>
      <c r="H62" s="1">
        <f t="shared" si="2"/>
        <v>211709.26766637681</v>
      </c>
      <c r="I62" s="1">
        <f t="shared" si="7"/>
        <v>447.72814226597404</v>
      </c>
      <c r="J62" s="1">
        <f t="shared" si="8"/>
        <v>3528.4877944396135</v>
      </c>
      <c r="K62" s="1">
        <f t="shared" si="9"/>
        <v>56.067898682980015</v>
      </c>
      <c r="L62" s="1">
        <f t="shared" si="10"/>
        <v>21170.92676663768</v>
      </c>
      <c r="M62" s="1">
        <f t="shared" si="11"/>
        <v>140.23579376905266</v>
      </c>
      <c r="N62" s="1">
        <f t="shared" si="13"/>
        <v>211709.26766637681</v>
      </c>
      <c r="O62" s="1">
        <f t="shared" si="12"/>
        <v>443.46451779185526</v>
      </c>
    </row>
    <row r="63" spans="1:15">
      <c r="A63" s="1">
        <v>6.4999999999999996E-13</v>
      </c>
      <c r="B63" s="1">
        <f t="shared" si="14"/>
        <v>3.9266121967742942E-2</v>
      </c>
      <c r="C63" s="1">
        <f t="shared" si="3"/>
        <v>78634.870847511411</v>
      </c>
      <c r="D63" s="1">
        <f t="shared" si="4"/>
        <v>3276.452951979642</v>
      </c>
      <c r="E63" s="1">
        <f t="shared" si="5"/>
        <v>54.333158169011213</v>
      </c>
      <c r="F63" s="1">
        <f t="shared" si="1"/>
        <v>19658.717711877853</v>
      </c>
      <c r="G63" s="1">
        <f t="shared" si="6"/>
        <v>136.15586189858908</v>
      </c>
      <c r="H63" s="1">
        <f t="shared" si="2"/>
        <v>196587.17711877852</v>
      </c>
      <c r="I63" s="1">
        <f t="shared" si="7"/>
        <v>430.56264038287924</v>
      </c>
      <c r="J63" s="1">
        <f t="shared" si="8"/>
        <v>3276.452951979642</v>
      </c>
      <c r="K63" s="1">
        <f t="shared" si="9"/>
        <v>53.803130965847281</v>
      </c>
      <c r="L63" s="1">
        <f t="shared" si="10"/>
        <v>19658.717711877853</v>
      </c>
      <c r="M63" s="1">
        <f t="shared" si="11"/>
        <v>134.76665838190476</v>
      </c>
      <c r="N63" s="1">
        <f t="shared" si="13"/>
        <v>196587.17711877852</v>
      </c>
      <c r="O63" s="1">
        <f t="shared" si="12"/>
        <v>426.16959313664114</v>
      </c>
    </row>
    <row r="64" spans="1:15">
      <c r="A64" s="1">
        <v>5.9999999999999997E-13</v>
      </c>
      <c r="B64" s="1">
        <f t="shared" si="14"/>
        <v>3.6245651047147331E-2</v>
      </c>
      <c r="C64" s="1">
        <f t="shared" si="3"/>
        <v>72586.034628472073</v>
      </c>
      <c r="D64" s="1">
        <f t="shared" si="4"/>
        <v>3024.4181095196695</v>
      </c>
      <c r="E64" s="1">
        <f t="shared" si="5"/>
        <v>51.987606701576937</v>
      </c>
      <c r="F64" s="1">
        <f t="shared" si="1"/>
        <v>18146.508657118018</v>
      </c>
      <c r="G64" s="1">
        <f t="shared" si="6"/>
        <v>130.50480746400834</v>
      </c>
      <c r="H64" s="1">
        <f t="shared" si="2"/>
        <v>181465.08657118017</v>
      </c>
      <c r="I64" s="1">
        <f t="shared" si="7"/>
        <v>412.69243718800925</v>
      </c>
      <c r="J64" s="1">
        <f t="shared" si="8"/>
        <v>3024.4181095196695</v>
      </c>
      <c r="K64" s="1">
        <f t="shared" si="9"/>
        <v>51.443285055959358</v>
      </c>
      <c r="L64" s="1">
        <f t="shared" si="10"/>
        <v>18146.508657118018</v>
      </c>
      <c r="M64" s="1">
        <f t="shared" si="11"/>
        <v>129.0708281904902</v>
      </c>
      <c r="N64" s="1">
        <f t="shared" si="13"/>
        <v>181465.08657118017</v>
      </c>
      <c r="O64" s="1">
        <f t="shared" si="12"/>
        <v>408.15779656621828</v>
      </c>
    </row>
    <row r="65" spans="1:15">
      <c r="A65" s="1">
        <v>5.4999999999999998E-13</v>
      </c>
      <c r="B65" s="1">
        <f t="shared" si="14"/>
        <v>3.322518012655172E-2</v>
      </c>
      <c r="C65" s="1">
        <f t="shared" si="3"/>
        <v>66537.198409432734</v>
      </c>
      <c r="D65" s="1">
        <f t="shared" si="4"/>
        <v>2772.3832670596971</v>
      </c>
      <c r="E65" s="1">
        <f t="shared" si="5"/>
        <v>49.535416768027062</v>
      </c>
      <c r="F65" s="1">
        <f t="shared" si="1"/>
        <v>16634.299602358184</v>
      </c>
      <c r="G65" s="1">
        <f t="shared" si="6"/>
        <v>124.6013217555175</v>
      </c>
      <c r="H65" s="1">
        <f t="shared" si="2"/>
        <v>166342.99602358183</v>
      </c>
      <c r="I65" s="1">
        <f t="shared" si="7"/>
        <v>394.0239762149252</v>
      </c>
      <c r="J65" s="1">
        <f t="shared" si="8"/>
        <v>2772.3832670596971</v>
      </c>
      <c r="K65" s="1">
        <f t="shared" si="9"/>
        <v>48.975743907490198</v>
      </c>
      <c r="L65" s="1">
        <f t="shared" si="10"/>
        <v>16634.299602358184</v>
      </c>
      <c r="M65" s="1">
        <f t="shared" si="11"/>
        <v>123.11810781078459</v>
      </c>
      <c r="N65" s="1">
        <f t="shared" si="13"/>
        <v>166342.99602358183</v>
      </c>
      <c r="O65" s="1">
        <f t="shared" si="12"/>
        <v>389.33364189224619</v>
      </c>
    </row>
    <row r="66" spans="1:15">
      <c r="A66" s="1">
        <v>4.9999999999999999E-13</v>
      </c>
      <c r="B66" s="1">
        <f t="shared" si="14"/>
        <v>3.020470920595611E-2</v>
      </c>
      <c r="C66" s="1">
        <f t="shared" si="3"/>
        <v>60488.362190393396</v>
      </c>
      <c r="D66" s="1">
        <f t="shared" si="4"/>
        <v>2520.3484245997247</v>
      </c>
      <c r="E66" s="1">
        <f t="shared" si="5"/>
        <v>46.961079428862256</v>
      </c>
      <c r="F66" s="1">
        <f t="shared" si="1"/>
        <v>15122.090547598349</v>
      </c>
      <c r="G66" s="1">
        <f t="shared" si="6"/>
        <v>118.40870956687162</v>
      </c>
      <c r="H66" s="1">
        <f t="shared" si="2"/>
        <v>151220.90547598348</v>
      </c>
      <c r="I66" s="1">
        <f t="shared" si="7"/>
        <v>374.44121703268394</v>
      </c>
      <c r="J66" s="1">
        <f t="shared" si="8"/>
        <v>2520.3484245997247</v>
      </c>
      <c r="K66" s="1">
        <f t="shared" si="9"/>
        <v>46.384916469425534</v>
      </c>
      <c r="L66" s="1">
        <f t="shared" si="10"/>
        <v>15122.090547598349</v>
      </c>
      <c r="M66" s="1">
        <f t="shared" si="11"/>
        <v>116.87106213730577</v>
      </c>
      <c r="N66" s="1">
        <f t="shared" si="13"/>
        <v>151220.90547598348</v>
      </c>
      <c r="O66" s="1">
        <f t="shared" si="12"/>
        <v>369.57874891695252</v>
      </c>
    </row>
    <row r="67" spans="1:15">
      <c r="A67" s="1">
        <v>4.5E-13</v>
      </c>
      <c r="B67" s="1">
        <f t="shared" si="14"/>
        <v>2.7184238285360499E-2</v>
      </c>
      <c r="C67" s="1">
        <f t="shared" si="3"/>
        <v>54439.525971354051</v>
      </c>
      <c r="D67" s="1">
        <f t="shared" si="4"/>
        <v>2268.3135821397523</v>
      </c>
      <c r="E67" s="1">
        <f t="shared" si="5"/>
        <v>44.245030985283975</v>
      </c>
      <c r="F67" s="1">
        <f t="shared" si="1"/>
        <v>13609.881492838513</v>
      </c>
      <c r="G67" s="1">
        <f t="shared" si="6"/>
        <v>111.88054444846745</v>
      </c>
      <c r="H67" s="1">
        <f t="shared" si="2"/>
        <v>136098.81492838514</v>
      </c>
      <c r="I67" s="1">
        <f t="shared" si="7"/>
        <v>353.79734631686398</v>
      </c>
      <c r="J67" s="1">
        <f t="shared" si="8"/>
        <v>2268.3135821397523</v>
      </c>
      <c r="K67" s="1">
        <f t="shared" si="9"/>
        <v>43.651180457912197</v>
      </c>
      <c r="L67" s="1">
        <f t="shared" si="10"/>
        <v>13609.881492838513</v>
      </c>
      <c r="M67" s="1">
        <f t="shared" si="11"/>
        <v>110.28236770903277</v>
      </c>
      <c r="N67" s="1">
        <f t="shared" si="13"/>
        <v>136098.81492838514</v>
      </c>
      <c r="O67" s="1">
        <f t="shared" si="12"/>
        <v>348.74346771674897</v>
      </c>
    </row>
    <row r="68" spans="1:15">
      <c r="A68" s="1">
        <v>4.0000000000000001E-13</v>
      </c>
      <c r="B68" s="1">
        <f t="shared" si="14"/>
        <v>2.4163767364764888E-2</v>
      </c>
      <c r="C68" s="1">
        <f t="shared" si="3"/>
        <v>48390.689752314698</v>
      </c>
      <c r="D68" s="1">
        <f t="shared" si="4"/>
        <v>2016.2787396797792</v>
      </c>
      <c r="E68" s="1">
        <f t="shared" si="5"/>
        <v>41.362033267155674</v>
      </c>
      <c r="F68" s="1">
        <f t="shared" si="1"/>
        <v>12097.672438078675</v>
      </c>
      <c r="G68" s="1">
        <f t="shared" si="6"/>
        <v>104.95667185193288</v>
      </c>
      <c r="H68" s="1">
        <f t="shared" si="2"/>
        <v>120976.72438078675</v>
      </c>
      <c r="I68" s="1">
        <f t="shared" si="7"/>
        <v>331.90213868299071</v>
      </c>
      <c r="J68" s="1">
        <f t="shared" si="8"/>
        <v>2016.2787396797792</v>
      </c>
      <c r="K68" s="1">
        <f t="shared" si="9"/>
        <v>40.749298819872379</v>
      </c>
      <c r="L68" s="1">
        <f t="shared" si="10"/>
        <v>12097.672438078675</v>
      </c>
      <c r="M68" s="1">
        <f t="shared" si="11"/>
        <v>103.29079190829358</v>
      </c>
      <c r="N68" s="1">
        <f t="shared" si="13"/>
        <v>120976.72438078675</v>
      </c>
      <c r="O68" s="1">
        <f t="shared" si="12"/>
        <v>326.63416375269759</v>
      </c>
    </row>
    <row r="69" spans="1:15">
      <c r="A69" s="1">
        <v>3.5000000000000002E-13</v>
      </c>
      <c r="B69" s="1">
        <f t="shared" si="14"/>
        <v>2.1143296444169277E-2</v>
      </c>
      <c r="C69" s="1">
        <f t="shared" si="3"/>
        <v>42341.85353327536</v>
      </c>
      <c r="D69" s="1">
        <f t="shared" si="4"/>
        <v>1764.2438972198067</v>
      </c>
      <c r="E69" s="1">
        <f t="shared" si="5"/>
        <v>38.278634257890936</v>
      </c>
      <c r="F69" s="1">
        <f t="shared" si="1"/>
        <v>10585.46338331884</v>
      </c>
      <c r="G69" s="1">
        <f t="shared" si="6"/>
        <v>97.556846965513245</v>
      </c>
      <c r="H69" s="1">
        <f t="shared" si="2"/>
        <v>105854.6338331884</v>
      </c>
      <c r="I69" s="1">
        <f t="shared" si="7"/>
        <v>308.50183775550789</v>
      </c>
      <c r="J69" s="1">
        <f t="shared" si="8"/>
        <v>1764.2438972198067</v>
      </c>
      <c r="K69" s="1">
        <f t="shared" si="9"/>
        <v>37.645956837088519</v>
      </c>
      <c r="L69" s="1">
        <f t="shared" si="10"/>
        <v>10585.46338331884</v>
      </c>
      <c r="M69" s="1">
        <f t="shared" si="11"/>
        <v>95.814831045161</v>
      </c>
      <c r="N69" s="1">
        <f t="shared" si="13"/>
        <v>105854.6338331884</v>
      </c>
      <c r="O69" s="1">
        <f t="shared" si="12"/>
        <v>302.99309972692032</v>
      </c>
    </row>
    <row r="70" spans="1:15">
      <c r="A70" s="1">
        <v>2.9999999999999998E-13</v>
      </c>
      <c r="B70" s="1">
        <f>A70*$C$4/($C$2*$C$3/(1.2*10^-7))</f>
        <v>1.8122825523573666E-2</v>
      </c>
      <c r="C70" s="1">
        <f t="shared" si="3"/>
        <v>36293.017314236036</v>
      </c>
      <c r="D70" s="1">
        <f t="shared" si="4"/>
        <v>1512.2090547598348</v>
      </c>
      <c r="E70" s="1">
        <f t="shared" si="5"/>
        <v>34.948992739974869</v>
      </c>
      <c r="F70" s="1">
        <f t="shared" si="1"/>
        <v>9073.2543285590091</v>
      </c>
      <c r="G70" s="1">
        <f t="shared" si="6"/>
        <v>89.570058659771561</v>
      </c>
      <c r="H70" s="1">
        <f t="shared" si="2"/>
        <v>90732.543285590087</v>
      </c>
      <c r="I70" s="1">
        <f t="shared" si="7"/>
        <v>283.24539551976687</v>
      </c>
      <c r="J70" s="1">
        <f t="shared" si="8"/>
        <v>1512.2090547598348</v>
      </c>
      <c r="K70" s="1">
        <f t="shared" si="9"/>
        <v>34.295753850558029</v>
      </c>
      <c r="L70" s="1">
        <f t="shared" si="10"/>
        <v>9073.2543285590091</v>
      </c>
      <c r="M70" s="1">
        <f t="shared" si="11"/>
        <v>87.742122620608058</v>
      </c>
      <c r="N70" s="1">
        <f t="shared" si="13"/>
        <v>90732.543285590087</v>
      </c>
      <c r="O70" s="1">
        <f t="shared" si="12"/>
        <v>277.46495421890342</v>
      </c>
    </row>
    <row r="71" spans="1:15">
      <c r="A71" s="1">
        <v>2.4999999999999999E-13</v>
      </c>
      <c r="B71" s="1">
        <f t="shared" si="14"/>
        <v>1.5102354602978055E-2</v>
      </c>
      <c r="C71" s="1">
        <f t="shared" si="3"/>
        <v>30244.181095196698</v>
      </c>
      <c r="D71" s="1">
        <f t="shared" si="4"/>
        <v>1260.1742122998623</v>
      </c>
      <c r="E71" s="1">
        <f t="shared" si="5"/>
        <v>31.307596684325485</v>
      </c>
      <c r="F71" s="1">
        <f t="shared" si="1"/>
        <v>7561.0452737991745</v>
      </c>
      <c r="G71" s="1">
        <f t="shared" si="6"/>
        <v>80.835384159237648</v>
      </c>
      <c r="H71" s="1">
        <f t="shared" si="2"/>
        <v>75610.452737991742</v>
      </c>
      <c r="I71" s="1">
        <f t="shared" si="7"/>
        <v>255.62392947788607</v>
      </c>
      <c r="J71" s="1">
        <f t="shared" si="8"/>
        <v>1260.1742122998623</v>
      </c>
      <c r="K71" s="1">
        <f t="shared" si="9"/>
        <v>30.634306410968204</v>
      </c>
      <c r="L71" s="1">
        <f t="shared" si="10"/>
        <v>7561.0452737991745</v>
      </c>
      <c r="M71" s="1">
        <f t="shared" si="11"/>
        <v>78.91067784949766</v>
      </c>
      <c r="N71" s="1">
        <f t="shared" si="13"/>
        <v>75610.452737991742</v>
      </c>
      <c r="O71" s="1">
        <f t="shared" si="12"/>
        <v>249.53747371221019</v>
      </c>
    </row>
    <row r="72" spans="1:15">
      <c r="A72" s="1">
        <v>2.0000000000000001E-13</v>
      </c>
      <c r="B72" s="1">
        <f t="shared" si="14"/>
        <v>1.2081883682382444E-2</v>
      </c>
      <c r="C72" s="1">
        <f t="shared" si="3"/>
        <v>24195.344876157349</v>
      </c>
      <c r="D72" s="1">
        <f t="shared" si="4"/>
        <v>1008.1393698398896</v>
      </c>
      <c r="E72" s="1">
        <f t="shared" si="5"/>
        <v>27.255578534996957</v>
      </c>
      <c r="F72" s="1">
        <f t="shared" si="1"/>
        <v>6048.8362190393373</v>
      </c>
      <c r="G72" s="1">
        <f t="shared" si="6"/>
        <v>71.10456003425098</v>
      </c>
      <c r="H72" s="1">
        <f t="shared" si="2"/>
        <v>60488.362190393374</v>
      </c>
      <c r="I72" s="1">
        <f t="shared" si="7"/>
        <v>224.85236173241321</v>
      </c>
      <c r="J72" s="1">
        <f t="shared" si="8"/>
        <v>1008.1393698398896</v>
      </c>
      <c r="K72" s="1">
        <f t="shared" si="9"/>
        <v>26.565519527541316</v>
      </c>
      <c r="L72" s="1">
        <f t="shared" si="10"/>
        <v>6048.8362190393373</v>
      </c>
      <c r="M72" s="1">
        <f t="shared" si="11"/>
        <v>69.072805216194396</v>
      </c>
      <c r="N72" s="1">
        <f t="shared" si="13"/>
        <v>60488.362190393374</v>
      </c>
      <c r="O72" s="1">
        <f t="shared" si="12"/>
        <v>218.42738886033345</v>
      </c>
    </row>
    <row r="73" spans="1:15">
      <c r="A73" s="1">
        <v>1.4999999999999999E-13</v>
      </c>
      <c r="B73" s="1">
        <f t="shared" si="14"/>
        <v>9.0614127617868329E-3</v>
      </c>
      <c r="C73" s="1">
        <f t="shared" si="3"/>
        <v>18146.508657118018</v>
      </c>
      <c r="D73" s="1">
        <f t="shared" si="4"/>
        <v>756.10452737991739</v>
      </c>
      <c r="E73" s="1">
        <f t="shared" si="5"/>
        <v>22.632337124522756</v>
      </c>
      <c r="F73" s="1">
        <f t="shared" si="1"/>
        <v>4536.6271642795045</v>
      </c>
      <c r="G73" s="1">
        <f t="shared" si="6"/>
        <v>59.959704713704369</v>
      </c>
      <c r="H73" s="1">
        <f t="shared" si="2"/>
        <v>45366.271642795044</v>
      </c>
      <c r="I73" s="1">
        <f t="shared" si="7"/>
        <v>189.60923472643998</v>
      </c>
      <c r="J73" s="1">
        <f t="shared" si="8"/>
        <v>756.10452737991739</v>
      </c>
      <c r="K73" s="1">
        <f t="shared" si="9"/>
        <v>21.935852294464002</v>
      </c>
      <c r="L73" s="1">
        <f t="shared" si="10"/>
        <v>4536.6271642795045</v>
      </c>
      <c r="M73" s="1">
        <f t="shared" si="11"/>
        <v>57.817813221776575</v>
      </c>
      <c r="N73" s="1">
        <f t="shared" si="13"/>
        <v>45366.271642795044</v>
      </c>
      <c r="O73" s="1">
        <f t="shared" si="12"/>
        <v>182.83597911101199</v>
      </c>
    </row>
    <row r="74" spans="1:15">
      <c r="A74" s="1">
        <v>1E-13</v>
      </c>
      <c r="B74" s="1">
        <f t="shared" si="14"/>
        <v>6.0409418411912219E-3</v>
      </c>
      <c r="C74" s="1">
        <f t="shared" si="3"/>
        <v>12097.672438078675</v>
      </c>
      <c r="D74" s="1">
        <f t="shared" si="4"/>
        <v>504.06968491994479</v>
      </c>
      <c r="E74" s="1">
        <f t="shared" si="5"/>
        <v>17.148107412167768</v>
      </c>
      <c r="F74" s="1">
        <f t="shared" si="1"/>
        <v>3024.4181095196686</v>
      </c>
      <c r="G74" s="1">
        <f t="shared" si="6"/>
        <v>46.598946061713534</v>
      </c>
      <c r="H74" s="1">
        <f t="shared" si="2"/>
        <v>30244.181095196687</v>
      </c>
      <c r="I74" s="1">
        <f t="shared" si="7"/>
        <v>147.35880611834796</v>
      </c>
      <c r="J74" s="1">
        <f t="shared" si="8"/>
        <v>504.06968491994479</v>
      </c>
      <c r="K74" s="1">
        <f t="shared" si="9"/>
        <v>16.475419790847816</v>
      </c>
      <c r="L74" s="1">
        <f t="shared" si="10"/>
        <v>3024.4181095196686</v>
      </c>
      <c r="M74" s="1">
        <f t="shared" si="11"/>
        <v>44.378863375597675</v>
      </c>
      <c r="N74" s="1">
        <f t="shared" si="13"/>
        <v>30244.181095196687</v>
      </c>
      <c r="O74" s="1">
        <f t="shared" si="12"/>
        <v>140.33828823631723</v>
      </c>
    </row>
    <row r="75" spans="1:15">
      <c r="A75" s="1">
        <v>9.4999999999999999E-14</v>
      </c>
      <c r="B75" s="1">
        <f t="shared" si="14"/>
        <v>5.7388947491316608E-3</v>
      </c>
      <c r="C75" s="1">
        <f t="shared" si="3"/>
        <v>11492.788816174741</v>
      </c>
      <c r="D75" s="1">
        <f t="shared" si="4"/>
        <v>478.86620067394756</v>
      </c>
      <c r="E75" s="1">
        <f t="shared" si="5"/>
        <v>16.533615614304832</v>
      </c>
      <c r="F75" s="1">
        <f t="shared" si="1"/>
        <v>2873.1972040436854</v>
      </c>
      <c r="G75" s="1">
        <f t="shared" si="6"/>
        <v>45.085656291204046</v>
      </c>
      <c r="H75" s="1">
        <f t="shared" si="2"/>
        <v>28731.972040436853</v>
      </c>
      <c r="I75" s="1">
        <f t="shared" si="7"/>
        <v>142.57336368370451</v>
      </c>
      <c r="J75" s="1">
        <f t="shared" si="8"/>
        <v>478.86620067394756</v>
      </c>
      <c r="K75" s="1">
        <f t="shared" si="9"/>
        <v>15.866710259842973</v>
      </c>
      <c r="L75" s="1">
        <f t="shared" si="10"/>
        <v>2873.1972040436854</v>
      </c>
      <c r="M75" s="1">
        <f t="shared" si="11"/>
        <v>42.863506403756425</v>
      </c>
      <c r="N75" s="1">
        <f t="shared" si="13"/>
        <v>28731.972040436853</v>
      </c>
      <c r="O75" s="1">
        <f t="shared" si="12"/>
        <v>135.54630873708319</v>
      </c>
    </row>
    <row r="76" spans="1:15">
      <c r="A76" s="1">
        <v>8.9999999999999995E-14</v>
      </c>
      <c r="B76" s="1">
        <f t="shared" si="14"/>
        <v>5.4368476570720997E-3</v>
      </c>
      <c r="C76" s="1">
        <f t="shared" si="3"/>
        <v>10887.905194270808</v>
      </c>
      <c r="D76" s="1">
        <f t="shared" si="4"/>
        <v>453.66271642795033</v>
      </c>
      <c r="E76" s="1">
        <f t="shared" si="5"/>
        <v>15.90416529504151</v>
      </c>
      <c r="F76" s="1">
        <f t="shared" si="1"/>
        <v>2721.9762985677021</v>
      </c>
      <c r="G76" s="1">
        <f t="shared" si="6"/>
        <v>43.5308629752668</v>
      </c>
      <c r="H76" s="1">
        <f t="shared" si="2"/>
        <v>27219.762985677022</v>
      </c>
      <c r="I76" s="1">
        <f t="shared" si="7"/>
        <v>137.65667551453703</v>
      </c>
      <c r="J76" s="1">
        <f t="shared" si="8"/>
        <v>453.66271642795033</v>
      </c>
      <c r="K76" s="1">
        <f t="shared" si="9"/>
        <v>15.243998858634766</v>
      </c>
      <c r="L76" s="1">
        <f t="shared" si="10"/>
        <v>2721.9762985677021</v>
      </c>
      <c r="M76" s="1">
        <f t="shared" si="11"/>
        <v>41.308613185264939</v>
      </c>
      <c r="N76" s="1">
        <f t="shared" si="13"/>
        <v>27219.762985677022</v>
      </c>
      <c r="O76" s="1">
        <f t="shared" si="12"/>
        <v>130.62930464830029</v>
      </c>
    </row>
    <row r="77" spans="1:15">
      <c r="A77" s="1">
        <v>8.5000000000000004E-14</v>
      </c>
      <c r="B77" s="1">
        <f t="shared" si="14"/>
        <v>5.1348005650125386E-3</v>
      </c>
      <c r="C77" s="1">
        <f t="shared" si="3"/>
        <v>10283.021572366873</v>
      </c>
      <c r="D77" s="1">
        <f t="shared" si="4"/>
        <v>428.45923218195304</v>
      </c>
      <c r="E77" s="1">
        <f t="shared" si="5"/>
        <v>15.258782542563296</v>
      </c>
      <c r="F77" s="1">
        <f t="shared" si="1"/>
        <v>2570.7553930917184</v>
      </c>
      <c r="G77" s="1">
        <f t="shared" si="6"/>
        <v>41.93133826911788</v>
      </c>
      <c r="H77" s="1">
        <f t="shared" si="2"/>
        <v>25707.553930917184</v>
      </c>
      <c r="I77" s="1">
        <f t="shared" si="7"/>
        <v>132.59853426939492</v>
      </c>
      <c r="J77" s="1">
        <f t="shared" si="8"/>
        <v>428.45923218195304</v>
      </c>
      <c r="K77" s="1">
        <f t="shared" si="9"/>
        <v>14.606439219700505</v>
      </c>
      <c r="L77" s="1">
        <f t="shared" si="10"/>
        <v>2570.7553930917184</v>
      </c>
      <c r="M77" s="1">
        <f t="shared" si="11"/>
        <v>39.711345243663978</v>
      </c>
      <c r="N77" s="1">
        <f t="shared" si="13"/>
        <v>25707.553930917184</v>
      </c>
      <c r="O77" s="1">
        <f t="shared" si="12"/>
        <v>125.57829991927242</v>
      </c>
    </row>
    <row r="78" spans="1:15">
      <c r="A78" s="1">
        <v>8E-14</v>
      </c>
      <c r="B78" s="1">
        <f t="shared" si="14"/>
        <v>4.8327534729529775E-3</v>
      </c>
      <c r="C78" s="1">
        <f t="shared" si="3"/>
        <v>9678.1379504629422</v>
      </c>
      <c r="D78" s="1">
        <f t="shared" si="4"/>
        <v>403.25574793595592</v>
      </c>
      <c r="E78" s="1">
        <f t="shared" si="5"/>
        <v>14.596392216246871</v>
      </c>
      <c r="F78" s="1">
        <f t="shared" si="1"/>
        <v>2419.5344876157355</v>
      </c>
      <c r="G78" s="1">
        <f t="shared" si="6"/>
        <v>40.283441952929913</v>
      </c>
      <c r="H78" s="1">
        <f t="shared" si="2"/>
        <v>24195.344876157356</v>
      </c>
      <c r="I78" s="1">
        <f t="shared" si="7"/>
        <v>127.38742856243994</v>
      </c>
      <c r="J78" s="1">
        <f t="shared" si="8"/>
        <v>403.25574793595592</v>
      </c>
      <c r="K78" s="1">
        <f t="shared" si="9"/>
        <v>13.953103958125915</v>
      </c>
      <c r="L78" s="1">
        <f t="shared" si="10"/>
        <v>2419.5344876157355</v>
      </c>
      <c r="M78" s="1">
        <f t="shared" si="11"/>
        <v>38.068534353164424</v>
      </c>
      <c r="N78" s="1">
        <f t="shared" si="13"/>
        <v>24195.344876157356</v>
      </c>
      <c r="O78" s="1">
        <f t="shared" si="12"/>
        <v>120.38327574036435</v>
      </c>
    </row>
    <row r="79" spans="1:15">
      <c r="A79" s="1">
        <v>7.4999999999999996E-14</v>
      </c>
      <c r="B79" s="1">
        <f t="shared" si="14"/>
        <v>4.5307063808934164E-3</v>
      </c>
      <c r="C79" s="1">
        <f t="shared" si="3"/>
        <v>9073.2543285590091</v>
      </c>
      <c r="D79" s="1">
        <f t="shared" si="4"/>
        <v>378.05226368995869</v>
      </c>
      <c r="E79" s="1">
        <f t="shared" si="5"/>
        <v>13.915803402428782</v>
      </c>
      <c r="F79" s="1">
        <f t="shared" si="1"/>
        <v>2268.3135821397523</v>
      </c>
      <c r="G79" s="1">
        <f t="shared" si="6"/>
        <v>38.583047201614534</v>
      </c>
      <c r="H79" s="1">
        <f t="shared" si="2"/>
        <v>22683.135821397522</v>
      </c>
      <c r="I79" s="1">
        <f t="shared" si="7"/>
        <v>122.01030822688774</v>
      </c>
      <c r="J79" s="1">
        <f t="shared" si="8"/>
        <v>378.05226368995869</v>
      </c>
      <c r="K79" s="1">
        <f t="shared" si="9"/>
        <v>13.282974009341787</v>
      </c>
      <c r="L79" s="1">
        <f t="shared" si="10"/>
        <v>2268.3135821397523</v>
      </c>
      <c r="M79" s="1">
        <f t="shared" si="11"/>
        <v>36.37662910697739</v>
      </c>
      <c r="N79" s="1">
        <f t="shared" si="13"/>
        <v>22683.135821397522</v>
      </c>
      <c r="O79" s="1">
        <f t="shared" si="12"/>
        <v>115.03300157722543</v>
      </c>
    </row>
    <row r="80" spans="1:15">
      <c r="A80" s="1">
        <v>7.0000000000000005E-14</v>
      </c>
      <c r="B80" s="1">
        <f t="shared" si="14"/>
        <v>4.2286592888338562E-3</v>
      </c>
      <c r="C80" s="1">
        <f t="shared" si="3"/>
        <v>8468.370706655076</v>
      </c>
      <c r="D80" s="1">
        <f t="shared" si="4"/>
        <v>352.84877944396152</v>
      </c>
      <c r="E80" s="1">
        <f t="shared" si="5"/>
        <v>13.215692174362349</v>
      </c>
      <c r="F80" s="1">
        <f t="shared" si="1"/>
        <v>2117.092676663769</v>
      </c>
      <c r="G80" s="1">
        <f t="shared" si="6"/>
        <v>36.825448846563269</v>
      </c>
      <c r="H80" s="1">
        <f t="shared" si="2"/>
        <v>21170.926766637691</v>
      </c>
      <c r="I80" s="1">
        <f t="shared" si="7"/>
        <v>116.45229421316044</v>
      </c>
      <c r="J80" s="1">
        <f t="shared" si="8"/>
        <v>352.84877944396152</v>
      </c>
      <c r="K80" s="1">
        <f t="shared" si="9"/>
        <v>12.594926164716311</v>
      </c>
      <c r="L80" s="1">
        <f t="shared" si="10"/>
        <v>2117.092676663769</v>
      </c>
      <c r="M80" s="1">
        <f t="shared" si="11"/>
        <v>34.631630233678514</v>
      </c>
      <c r="N80" s="1">
        <f t="shared" si="13"/>
        <v>21170.926766637691</v>
      </c>
      <c r="O80" s="1">
        <f t="shared" si="12"/>
        <v>109.5148306231734</v>
      </c>
    </row>
    <row r="81" spans="1:15">
      <c r="A81" s="1">
        <v>6.5000000000000001E-14</v>
      </c>
      <c r="B81" s="1">
        <f t="shared" si="14"/>
        <v>3.9266121967742942E-3</v>
      </c>
      <c r="C81" s="1">
        <f t="shared" si="3"/>
        <v>7863.4870847511402</v>
      </c>
      <c r="D81" s="1">
        <f t="shared" si="4"/>
        <v>327.64529519796417</v>
      </c>
      <c r="E81" s="1">
        <f t="shared" si="5"/>
        <v>12.494581037474877</v>
      </c>
      <c r="F81" s="1">
        <f t="shared" si="1"/>
        <v>1965.871771187785</v>
      </c>
      <c r="G81" s="1">
        <f t="shared" si="6"/>
        <v>35.00524894133985</v>
      </c>
      <c r="H81" s="1">
        <f t="shared" si="2"/>
        <v>19658.717711877849</v>
      </c>
      <c r="I81" s="1">
        <f t="shared" si="7"/>
        <v>110.69631671583181</v>
      </c>
      <c r="J81" s="1">
        <f t="shared" si="8"/>
        <v>327.64529519796417</v>
      </c>
      <c r="K81" s="1">
        <f t="shared" si="9"/>
        <v>11.887718429294107</v>
      </c>
      <c r="L81" s="1">
        <f t="shared" si="10"/>
        <v>1965.871771187785</v>
      </c>
      <c r="M81" s="1">
        <f t="shared" si="11"/>
        <v>32.829011706797871</v>
      </c>
      <c r="N81" s="1">
        <f t="shared" si="13"/>
        <v>19658.717711877849</v>
      </c>
      <c r="O81" s="1">
        <f t="shared" si="12"/>
        <v>103.81445032581311</v>
      </c>
    </row>
    <row r="82" spans="1:15">
      <c r="A82" s="1">
        <v>5.9999999999999997E-14</v>
      </c>
      <c r="B82" s="1">
        <f t="shared" si="14"/>
        <v>3.6245651047147327E-3</v>
      </c>
      <c r="C82" s="1">
        <f t="shared" si="3"/>
        <v>7258.6034628472062</v>
      </c>
      <c r="D82" s="1">
        <f t="shared" si="4"/>
        <v>302.44181095196694</v>
      </c>
      <c r="E82" s="1">
        <f t="shared" si="5"/>
        <v>11.750814269713</v>
      </c>
      <c r="F82" s="1">
        <f t="shared" si="1"/>
        <v>1814.6508657118015</v>
      </c>
      <c r="G82" s="1">
        <f t="shared" si="6"/>
        <v>33.116212563486961</v>
      </c>
      <c r="H82" s="1">
        <f t="shared" si="2"/>
        <v>18146.508657118015</v>
      </c>
      <c r="I82" s="1">
        <f t="shared" si="7"/>
        <v>104.72265917890222</v>
      </c>
      <c r="J82" s="1">
        <f t="shared" si="8"/>
        <v>302.44181095196694</v>
      </c>
      <c r="K82" s="1">
        <f t="shared" si="9"/>
        <v>11.159972731910175</v>
      </c>
      <c r="L82" s="1">
        <f t="shared" si="10"/>
        <v>1814.6508657118015</v>
      </c>
      <c r="M82" s="1">
        <f t="shared" si="11"/>
        <v>30.963623750900105</v>
      </c>
      <c r="N82" s="1">
        <f t="shared" si="13"/>
        <v>18146.508657118015</v>
      </c>
      <c r="O82" s="1">
        <f t="shared" si="12"/>
        <v>97.915575665330437</v>
      </c>
    </row>
    <row r="83" spans="1:15">
      <c r="A83" s="1">
        <v>5.4999999999999999E-14</v>
      </c>
      <c r="B83" s="1">
        <f t="shared" si="14"/>
        <v>3.322518012655172E-3</v>
      </c>
      <c r="C83" s="1">
        <f t="shared" si="3"/>
        <v>6653.7198409432731</v>
      </c>
      <c r="D83" s="1">
        <f t="shared" si="4"/>
        <v>277.23832670596971</v>
      </c>
      <c r="E83" s="1">
        <f t="shared" si="5"/>
        <v>10.982528139318141</v>
      </c>
      <c r="F83" s="1">
        <f t="shared" si="1"/>
        <v>1663.4299602358183</v>
      </c>
      <c r="G83" s="1">
        <f t="shared" si="6"/>
        <v>31.151084087130943</v>
      </c>
      <c r="H83" s="1">
        <f t="shared" si="2"/>
        <v>16634.299602358184</v>
      </c>
      <c r="I83" s="1">
        <f t="shared" si="7"/>
        <v>98.508377298760891</v>
      </c>
      <c r="J83" s="1">
        <f t="shared" si="8"/>
        <v>277.23832670596971</v>
      </c>
      <c r="K83" s="1">
        <f t="shared" si="9"/>
        <v>10.410154396093477</v>
      </c>
      <c r="L83" s="1">
        <f t="shared" si="10"/>
        <v>1663.4299602358183</v>
      </c>
      <c r="M83" s="1">
        <f t="shared" si="11"/>
        <v>29.029572547734688</v>
      </c>
      <c r="N83" s="1">
        <f t="shared" si="13"/>
        <v>16634.299602358184</v>
      </c>
      <c r="O83" s="1">
        <f t="shared" si="12"/>
        <v>91.799568751938679</v>
      </c>
    </row>
    <row r="84" spans="1:15">
      <c r="A84" s="1">
        <v>5.0000000000000002E-14</v>
      </c>
      <c r="B84" s="1">
        <f t="shared" si="14"/>
        <v>3.020470920595611E-3</v>
      </c>
      <c r="C84" s="1">
        <f t="shared" si="3"/>
        <v>6048.8362190393373</v>
      </c>
      <c r="D84" s="1">
        <f t="shared" si="4"/>
        <v>252.0348424599724</v>
      </c>
      <c r="E84" s="1">
        <f t="shared" si="5"/>
        <v>10.187614677349591</v>
      </c>
      <c r="F84" s="1">
        <f t="shared" si="1"/>
        <v>1512.2090547598343</v>
      </c>
      <c r="G84" s="1">
        <f t="shared" si="6"/>
        <v>29.101350224548323</v>
      </c>
      <c r="H84" s="1">
        <f t="shared" si="2"/>
        <v>15122.090547598344</v>
      </c>
      <c r="I84" s="1">
        <f t="shared" si="7"/>
        <v>92.02654969582521</v>
      </c>
      <c r="J84" s="1">
        <f t="shared" si="8"/>
        <v>252.0348424599724</v>
      </c>
      <c r="K84" s="1">
        <f t="shared" si="9"/>
        <v>9.6365476210976251</v>
      </c>
      <c r="L84" s="1">
        <f t="shared" si="10"/>
        <v>1512.2090547598343</v>
      </c>
      <c r="M84" s="1">
        <f t="shared" si="11"/>
        <v>27.020069628861226</v>
      </c>
      <c r="N84" s="1">
        <f t="shared" si="13"/>
        <v>15122.090547598344</v>
      </c>
      <c r="O84" s="1">
        <f t="shared" si="12"/>
        <v>85.444962563541964</v>
      </c>
    </row>
    <row r="85" spans="1:15">
      <c r="A85" s="1">
        <v>4.4999999999999998E-14</v>
      </c>
      <c r="B85" s="1">
        <f t="shared" si="14"/>
        <v>2.7184238285360499E-3</v>
      </c>
      <c r="C85" s="1">
        <f t="shared" si="3"/>
        <v>5443.9525971354042</v>
      </c>
      <c r="D85" s="1">
        <f t="shared" si="4"/>
        <v>226.83135821397516</v>
      </c>
      <c r="E85" s="1">
        <f t="shared" si="5"/>
        <v>9.3636772687378489</v>
      </c>
      <c r="F85" s="1">
        <f t="shared" si="1"/>
        <v>1360.988149283851</v>
      </c>
      <c r="G85" s="1">
        <f t="shared" si="6"/>
        <v>26.956930282949138</v>
      </c>
      <c r="H85" s="1">
        <f t="shared" si="2"/>
        <v>13609.881492838511</v>
      </c>
      <c r="I85" s="1">
        <f t="shared" si="7"/>
        <v>85.245298420486534</v>
      </c>
      <c r="J85" s="1">
        <f t="shared" si="8"/>
        <v>226.83135821397516</v>
      </c>
      <c r="K85" s="1">
        <f t="shared" si="9"/>
        <v>8.8372260127916036</v>
      </c>
      <c r="L85" s="1">
        <f t="shared" si="10"/>
        <v>1360.988149283851</v>
      </c>
      <c r="M85" s="1">
        <f t="shared" si="11"/>
        <v>24.927241363733131</v>
      </c>
      <c r="N85" s="1">
        <f t="shared" si="13"/>
        <v>13609.881492838511</v>
      </c>
      <c r="O85" s="1">
        <f t="shared" si="12"/>
        <v>78.826858494158444</v>
      </c>
    </row>
    <row r="86" spans="1:15">
      <c r="A86" s="1">
        <v>4E-14</v>
      </c>
      <c r="B86" s="1">
        <f t="shared" si="14"/>
        <v>2.4163767364764888E-3</v>
      </c>
      <c r="C86" s="1">
        <f t="shared" si="3"/>
        <v>4839.0689752314711</v>
      </c>
      <c r="D86" s="1">
        <f t="shared" si="4"/>
        <v>201.62787396797796</v>
      </c>
      <c r="E86" s="1">
        <f t="shared" si="5"/>
        <v>8.5079757584014111</v>
      </c>
      <c r="F86" s="1">
        <f t="shared" si="1"/>
        <v>1209.7672438078678</v>
      </c>
      <c r="G86" s="1">
        <f t="shared" si="6"/>
        <v>24.705765204210152</v>
      </c>
      <c r="H86" s="1">
        <f t="shared" si="2"/>
        <v>12097.672438078678</v>
      </c>
      <c r="I86" s="1">
        <f t="shared" si="7"/>
        <v>78.126489382639051</v>
      </c>
      <c r="J86" s="1">
        <f t="shared" si="8"/>
        <v>201.62787396797796</v>
      </c>
      <c r="K86" s="1">
        <f t="shared" si="9"/>
        <v>8.0100169253133888</v>
      </c>
      <c r="L86" s="1">
        <f t="shared" si="10"/>
        <v>1209.7672438078678</v>
      </c>
      <c r="M86" s="1">
        <f t="shared" si="11"/>
        <v>22.741885238925398</v>
      </c>
      <c r="N86" s="1">
        <f t="shared" si="13"/>
        <v>12097.672438078678</v>
      </c>
      <c r="O86" s="1">
        <f t="shared" si="12"/>
        <v>71.91615564116681</v>
      </c>
    </row>
    <row r="87" spans="1:15">
      <c r="A87" s="1">
        <v>3.5000000000000002E-14</v>
      </c>
      <c r="B87" s="1">
        <f t="shared" si="14"/>
        <v>2.1143296444169281E-3</v>
      </c>
      <c r="C87" s="1">
        <f t="shared" si="3"/>
        <v>4234.185353327538</v>
      </c>
      <c r="D87" s="1">
        <f t="shared" si="4"/>
        <v>176.42438972198076</v>
      </c>
      <c r="E87" s="1">
        <f t="shared" si="5"/>
        <v>7.6173579809614624</v>
      </c>
      <c r="F87" s="1">
        <f t="shared" si="1"/>
        <v>1058.5463383318845</v>
      </c>
      <c r="G87" s="1">
        <f t="shared" si="6"/>
        <v>22.333263176658544</v>
      </c>
      <c r="H87" s="1">
        <f t="shared" si="2"/>
        <v>10585.463383318845</v>
      </c>
      <c r="I87" s="1">
        <f t="shared" si="7"/>
        <v>70.623979222208419</v>
      </c>
      <c r="J87" s="1">
        <f t="shared" si="8"/>
        <v>176.42438972198076</v>
      </c>
      <c r="K87" s="1">
        <f t="shared" si="9"/>
        <v>7.1524579996565407</v>
      </c>
      <c r="L87" s="1">
        <f t="shared" si="10"/>
        <v>1058.5463383318845</v>
      </c>
      <c r="M87" s="1">
        <f t="shared" si="11"/>
        <v>20.453154182226921</v>
      </c>
      <c r="N87" s="1">
        <f t="shared" si="13"/>
        <v>10585.463383318845</v>
      </c>
      <c r="O87" s="1">
        <f t="shared" si="12"/>
        <v>64.678552550435668</v>
      </c>
    </row>
    <row r="88" spans="1:15">
      <c r="A88" s="1">
        <v>2.9999999999999998E-14</v>
      </c>
      <c r="B88" s="1">
        <f t="shared" si="14"/>
        <v>1.8122825523573664E-3</v>
      </c>
      <c r="C88" s="1">
        <f t="shared" si="3"/>
        <v>3629.3017314236031</v>
      </c>
      <c r="D88" s="1">
        <f t="shared" si="4"/>
        <v>151.22090547598347</v>
      </c>
      <c r="E88" s="1">
        <f t="shared" si="5"/>
        <v>6.6881735128397111</v>
      </c>
      <c r="F88" s="1">
        <f t="shared" si="1"/>
        <v>907.32543285590077</v>
      </c>
      <c r="G88" s="1">
        <f t="shared" si="6"/>
        <v>19.821537678566827</v>
      </c>
      <c r="H88" s="1">
        <f t="shared" si="2"/>
        <v>9073.2543285590073</v>
      </c>
      <c r="I88" s="1">
        <f t="shared" si="7"/>
        <v>62.681205791117662</v>
      </c>
      <c r="J88" s="1">
        <f t="shared" si="8"/>
        <v>151.22090547598347</v>
      </c>
      <c r="K88" s="1">
        <f t="shared" si="9"/>
        <v>6.2617437761726116</v>
      </c>
      <c r="L88" s="1">
        <f t="shared" si="10"/>
        <v>907.32543285590077</v>
      </c>
      <c r="M88" s="1">
        <f t="shared" si="11"/>
        <v>18.048142058809191</v>
      </c>
      <c r="N88" s="1">
        <f t="shared" si="13"/>
        <v>9073.2543285590073</v>
      </c>
      <c r="O88" s="1">
        <f t="shared" si="12"/>
        <v>57.07323644011764</v>
      </c>
    </row>
    <row r="89" spans="1:15">
      <c r="A89" s="1">
        <v>2.5000000000000001E-14</v>
      </c>
      <c r="B89" s="1">
        <f t="shared" si="14"/>
        <v>1.5102354602978055E-3</v>
      </c>
      <c r="C89" s="1">
        <f t="shared" si="3"/>
        <v>3024.4181095196686</v>
      </c>
      <c r="D89" s="1">
        <f t="shared" si="4"/>
        <v>126.0174212299862</v>
      </c>
      <c r="E89" s="1">
        <f t="shared" si="5"/>
        <v>5.7161638592121982</v>
      </c>
      <c r="F89" s="1">
        <f t="shared" si="1"/>
        <v>756.10452737991716</v>
      </c>
      <c r="G89" s="1">
        <f t="shared" si="6"/>
        <v>17.14833790835079</v>
      </c>
      <c r="H89" s="1">
        <f t="shared" si="2"/>
        <v>7561.0452737991718</v>
      </c>
      <c r="I89" s="1">
        <f t="shared" si="7"/>
        <v>54.227805876596257</v>
      </c>
      <c r="J89" s="1">
        <f t="shared" si="8"/>
        <v>126.0174212299862</v>
      </c>
      <c r="K89" s="1">
        <f t="shared" si="9"/>
        <v>5.3346595578492542</v>
      </c>
      <c r="L89" s="1">
        <f t="shared" si="10"/>
        <v>756.10452737991716</v>
      </c>
      <c r="M89" s="1">
        <f t="shared" si="11"/>
        <v>15.511331077289144</v>
      </c>
      <c r="N89" s="1">
        <f t="shared" si="13"/>
        <v>7561.0452737991718</v>
      </c>
      <c r="O89" s="1">
        <f t="shared" si="12"/>
        <v>49.051135745186983</v>
      </c>
    </row>
    <row r="90" spans="1:15">
      <c r="A90" s="1">
        <v>2E-14</v>
      </c>
      <c r="B90" s="1">
        <f t="shared" si="14"/>
        <v>1.2081883682382444E-3</v>
      </c>
      <c r="C90" s="1">
        <f t="shared" si="3"/>
        <v>2419.5344876157355</v>
      </c>
      <c r="D90" s="1">
        <f t="shared" si="4"/>
        <v>100.81393698398898</v>
      </c>
      <c r="E90" s="1">
        <f t="shared" si="5"/>
        <v>4.6963209836324529</v>
      </c>
      <c r="F90" s="1">
        <f t="shared" si="1"/>
        <v>604.88362190393389</v>
      </c>
      <c r="G90" s="1">
        <f t="shared" si="6"/>
        <v>14.285510855913397</v>
      </c>
      <c r="H90" s="1">
        <f t="shared" si="2"/>
        <v>6048.8362190393391</v>
      </c>
      <c r="I90" s="1">
        <f t="shared" si="7"/>
        <v>45.174751843747799</v>
      </c>
      <c r="J90" s="1">
        <f t="shared" si="8"/>
        <v>100.81393698398898</v>
      </c>
      <c r="K90" s="1">
        <f t="shared" si="9"/>
        <v>4.3674987261758824</v>
      </c>
      <c r="L90" s="1">
        <f t="shared" si="10"/>
        <v>604.88362190393389</v>
      </c>
      <c r="M90" s="1">
        <f t="shared" si="11"/>
        <v>12.823842515777431</v>
      </c>
      <c r="N90" s="1">
        <f t="shared" si="13"/>
        <v>6048.8362190393391</v>
      </c>
      <c r="O90" s="1">
        <f t="shared" si="12"/>
        <v>40.552550705160442</v>
      </c>
    </row>
    <row r="91" spans="1:15">
      <c r="A91" s="1">
        <v>1.4999999999999999E-14</v>
      </c>
      <c r="B91" s="1">
        <f t="shared" si="14"/>
        <v>9.0614127617868318E-4</v>
      </c>
      <c r="C91" s="1">
        <f t="shared" si="3"/>
        <v>1814.6508657118015</v>
      </c>
      <c r="D91" s="1">
        <f t="shared" si="4"/>
        <v>75.610452737991736</v>
      </c>
      <c r="E91" s="1">
        <f t="shared" si="5"/>
        <v>3.6227026797180133</v>
      </c>
      <c r="F91" s="1">
        <f t="shared" si="1"/>
        <v>453.66271642795039</v>
      </c>
      <c r="G91" s="1">
        <f t="shared" si="6"/>
        <v>11.196727826170498</v>
      </c>
      <c r="H91" s="1">
        <f t="shared" si="2"/>
        <v>4536.6271642795036</v>
      </c>
      <c r="I91" s="1">
        <f t="shared" si="7"/>
        <v>35.407162271684626</v>
      </c>
      <c r="J91" s="1">
        <f t="shared" si="8"/>
        <v>75.610452737991736</v>
      </c>
      <c r="K91" s="1">
        <f t="shared" si="9"/>
        <v>3.3559583345242849</v>
      </c>
      <c r="L91" s="1">
        <f t="shared" si="10"/>
        <v>453.66271642795039</v>
      </c>
      <c r="M91" s="1">
        <f t="shared" si="11"/>
        <v>9.9624012424655533</v>
      </c>
      <c r="N91" s="1">
        <f t="shared" si="13"/>
        <v>4536.6271642795036</v>
      </c>
      <c r="O91" s="1">
        <f t="shared" si="12"/>
        <v>31.503878890682525</v>
      </c>
    </row>
    <row r="92" spans="1:15">
      <c r="A92" s="1">
        <v>1E-14</v>
      </c>
      <c r="B92" s="1">
        <f t="shared" si="14"/>
        <v>6.0409418411912219E-4</v>
      </c>
      <c r="C92" s="1">
        <f t="shared" si="3"/>
        <v>1209.7672438078678</v>
      </c>
      <c r="D92" s="1">
        <f t="shared" si="4"/>
        <v>50.40696849199449</v>
      </c>
      <c r="E92" s="1">
        <f t="shared" si="5"/>
        <v>2.4881881437980611</v>
      </c>
      <c r="F92" s="1">
        <f t="shared" si="1"/>
        <v>302.44181095196694</v>
      </c>
      <c r="G92" s="1">
        <f t="shared" si="6"/>
        <v>7.8340135295809477</v>
      </c>
      <c r="H92" s="1">
        <f t="shared" si="2"/>
        <v>3024.4181095196695</v>
      </c>
      <c r="I92" s="1">
        <f t="shared" si="7"/>
        <v>24.773325974050667</v>
      </c>
      <c r="J92" s="1">
        <f t="shared" si="8"/>
        <v>50.40696849199449</v>
      </c>
      <c r="K92" s="1">
        <f t="shared" si="9"/>
        <v>2.2950058301125558</v>
      </c>
      <c r="L92" s="1">
        <f t="shared" si="10"/>
        <v>302.44181095196694</v>
      </c>
      <c r="M92" s="1">
        <f t="shared" si="11"/>
        <v>6.8978735414700063</v>
      </c>
      <c r="N92" s="1">
        <f t="shared" si="13"/>
        <v>3024.4181095196695</v>
      </c>
      <c r="O92" s="1">
        <f t="shared" si="12"/>
        <v>21.81299140285714</v>
      </c>
    </row>
    <row r="93" spans="1:15">
      <c r="A93" s="1">
        <v>9.5000000000000005E-15</v>
      </c>
      <c r="B93" s="1">
        <f t="shared" si="14"/>
        <v>5.7388947491316604E-4</v>
      </c>
      <c r="C93" s="1">
        <f t="shared" si="3"/>
        <v>1149.2788816174741</v>
      </c>
      <c r="D93" s="1">
        <f t="shared" si="4"/>
        <v>47.886620067394752</v>
      </c>
      <c r="E93" s="1">
        <f t="shared" si="5"/>
        <v>2.3710704336931481</v>
      </c>
      <c r="F93" s="1">
        <f t="shared" si="1"/>
        <v>287.31972040436852</v>
      </c>
      <c r="G93" s="1">
        <f t="shared" si="6"/>
        <v>7.4803576248309351</v>
      </c>
      <c r="H93" s="1">
        <f t="shared" si="2"/>
        <v>2873.1972040436854</v>
      </c>
      <c r="I93" s="1">
        <f t="shared" si="7"/>
        <v>23.654967807073064</v>
      </c>
      <c r="J93" s="1">
        <f t="shared" si="8"/>
        <v>47.886620067394752</v>
      </c>
      <c r="K93" s="1">
        <f t="shared" si="9"/>
        <v>2.1859733554547556</v>
      </c>
      <c r="L93" s="1">
        <f t="shared" si="10"/>
        <v>287.31972040436852</v>
      </c>
      <c r="M93" s="1">
        <f t="shared" si="11"/>
        <v>6.5789060663961232</v>
      </c>
      <c r="N93" s="1">
        <f t="shared" si="13"/>
        <v>2873.1972040436854</v>
      </c>
      <c r="O93" s="1">
        <f t="shared" si="12"/>
        <v>20.804327682110689</v>
      </c>
    </row>
    <row r="94" spans="1:15">
      <c r="A94" s="1">
        <v>8.9999999999999995E-15</v>
      </c>
      <c r="B94" s="1">
        <f t="shared" si="14"/>
        <v>5.4368476570720999E-4</v>
      </c>
      <c r="C94" s="1">
        <f t="shared" si="3"/>
        <v>1088.7905194270807</v>
      </c>
      <c r="D94" s="1">
        <f t="shared" si="4"/>
        <v>45.366271642795027</v>
      </c>
      <c r="E94" s="1">
        <f t="shared" si="5"/>
        <v>2.253249501403368</v>
      </c>
      <c r="F94" s="1">
        <f t="shared" ref="F94:F157" si="15">C94*$C$11*1</f>
        <v>272.19762985677016</v>
      </c>
      <c r="G94" s="1">
        <f t="shared" si="6"/>
        <v>7.1232554609695482</v>
      </c>
      <c r="H94" s="1">
        <f t="shared" ref="H94:H157" si="16">C94*$C$11*10</f>
        <v>2721.9762985677016</v>
      </c>
      <c r="I94" s="1">
        <f t="shared" si="7"/>
        <v>22.525711611896412</v>
      </c>
      <c r="J94" s="1">
        <f t="shared" si="8"/>
        <v>45.366271642795027</v>
      </c>
      <c r="K94" s="1">
        <f t="shared" si="9"/>
        <v>2.0763818481200547</v>
      </c>
      <c r="L94" s="1">
        <f t="shared" si="10"/>
        <v>272.19762985677016</v>
      </c>
      <c r="M94" s="1">
        <f t="shared" si="11"/>
        <v>6.2575033706313183</v>
      </c>
      <c r="N94" s="1">
        <f t="shared" si="13"/>
        <v>2721.9762985677016</v>
      </c>
      <c r="O94" s="1">
        <f t="shared" si="12"/>
        <v>19.787963117375753</v>
      </c>
    </row>
    <row r="95" spans="1:15">
      <c r="A95" s="1">
        <v>8.5000000000000001E-15</v>
      </c>
      <c r="B95" s="1">
        <f t="shared" si="14"/>
        <v>5.1348005650125395E-4</v>
      </c>
      <c r="C95" s="1">
        <f t="shared" ref="C95:C158" si="17">B95*PI()*($C$6/2)^2*$C$7^3*$C$8*$C$9*$C$10*3600</f>
        <v>1028.3021572366877</v>
      </c>
      <c r="D95" s="1">
        <f t="shared" ref="D95:D158" si="18">C95*$C$11/6</f>
        <v>42.845923218195317</v>
      </c>
      <c r="E95" s="1">
        <f t="shared" ref="E95:E158" si="19">D95/SQRT(D95+($C$24+$C$20)*2)</f>
        <v>2.1347155748417239</v>
      </c>
      <c r="F95" s="1">
        <f t="shared" si="15"/>
        <v>257.07553930917192</v>
      </c>
      <c r="G95" s="1">
        <f t="shared" ref="G95:G158" si="20">F95/SQRT(F95+($C$25+$C$21)*2)</f>
        <v>6.7626277248693114</v>
      </c>
      <c r="H95" s="1">
        <f t="shared" si="16"/>
        <v>2570.7553930917193</v>
      </c>
      <c r="I95" s="1">
        <f t="shared" ref="I95:I158" si="21">H95/SQRT(H95+($C$26+$C$22)*2)</f>
        <v>21.385306578389539</v>
      </c>
      <c r="J95" s="1">
        <f t="shared" ref="J95:J158" si="22">C95*$C$11/6</f>
        <v>42.845923218195317</v>
      </c>
      <c r="K95" s="1">
        <f t="shared" ref="K95:K158" si="23">J95/SQRT(J95+($D$24+$C$20)*2)</f>
        <v>1.9662247038462373</v>
      </c>
      <c r="L95" s="1">
        <f t="shared" ref="L95:L158" si="24">C95*$C$11*1</f>
        <v>257.07553930917192</v>
      </c>
      <c r="M95" s="1">
        <f t="shared" ref="M95:M158" si="25">L95/SQRT(L95+($D$25+$C$21)*2)</f>
        <v>5.9336220570098988</v>
      </c>
      <c r="N95" s="1">
        <f t="shared" si="13"/>
        <v>2570.7553930917193</v>
      </c>
      <c r="O95" s="1">
        <f t="shared" ref="O95:O158" si="26">N95/SQRT(N95+($D$26+$C$22)*2)</f>
        <v>18.763760474764748</v>
      </c>
    </row>
    <row r="96" spans="1:15">
      <c r="A96" s="1">
        <v>8.0000000000000006E-15</v>
      </c>
      <c r="B96" s="1">
        <f t="shared" si="14"/>
        <v>4.832753472952978E-4</v>
      </c>
      <c r="C96" s="1">
        <f t="shared" si="17"/>
        <v>967.81379504629444</v>
      </c>
      <c r="D96" s="1">
        <f t="shared" si="18"/>
        <v>40.325574793595599</v>
      </c>
      <c r="E96" s="1">
        <f t="shared" si="19"/>
        <v>2.0154586783364028</v>
      </c>
      <c r="F96" s="1">
        <f t="shared" si="15"/>
        <v>241.95344876157361</v>
      </c>
      <c r="G96" s="1">
        <f t="shared" si="20"/>
        <v>6.3983923433464485</v>
      </c>
      <c r="H96" s="1">
        <f t="shared" si="16"/>
        <v>2419.534487615736</v>
      </c>
      <c r="I96" s="1">
        <f t="shared" si="21"/>
        <v>20.233493168356876</v>
      </c>
      <c r="J96" s="1">
        <f t="shared" si="22"/>
        <v>40.325574793595599</v>
      </c>
      <c r="K96" s="1">
        <f t="shared" si="23"/>
        <v>1.8554952016186832</v>
      </c>
      <c r="L96" s="1">
        <f t="shared" si="24"/>
        <v>241.95344876157361</v>
      </c>
      <c r="M96" s="1">
        <f t="shared" si="25"/>
        <v>5.6072175647497202</v>
      </c>
      <c r="N96" s="1">
        <f t="shared" ref="N96:N159" si="27">C96*$C$11*10</f>
        <v>2419.534487615736</v>
      </c>
      <c r="O96" s="1">
        <f t="shared" si="26"/>
        <v>17.731578840711784</v>
      </c>
    </row>
    <row r="97" spans="1:15">
      <c r="A97" s="1">
        <v>7.4999999999999996E-15</v>
      </c>
      <c r="B97" s="1">
        <f t="shared" si="14"/>
        <v>4.5307063808934159E-4</v>
      </c>
      <c r="C97" s="1">
        <f t="shared" si="17"/>
        <v>907.32543285590077</v>
      </c>
      <c r="D97" s="1">
        <f t="shared" si="18"/>
        <v>37.805226368995868</v>
      </c>
      <c r="E97" s="1">
        <f t="shared" si="19"/>
        <v>1.8954686270160335</v>
      </c>
      <c r="F97" s="1">
        <f t="shared" si="15"/>
        <v>226.83135821397519</v>
      </c>
      <c r="G97" s="1">
        <f t="shared" si="20"/>
        <v>6.030464355235309</v>
      </c>
      <c r="H97" s="1">
        <f t="shared" si="16"/>
        <v>2268.3135821397518</v>
      </c>
      <c r="I97" s="1">
        <f t="shared" si="21"/>
        <v>19.070002711002324</v>
      </c>
      <c r="J97" s="1">
        <f t="shared" si="22"/>
        <v>37.805226368995868</v>
      </c>
      <c r="K97" s="1">
        <f t="shared" si="23"/>
        <v>1.7441865009416764</v>
      </c>
      <c r="L97" s="1">
        <f t="shared" si="24"/>
        <v>226.83135821397519</v>
      </c>
      <c r="M97" s="1">
        <f t="shared" si="25"/>
        <v>5.278244128042731</v>
      </c>
      <c r="N97" s="1">
        <f t="shared" si="27"/>
        <v>2268.3135821397518</v>
      </c>
      <c r="O97" s="1">
        <f t="shared" si="26"/>
        <v>16.691273491024457</v>
      </c>
    </row>
    <row r="98" spans="1:15">
      <c r="A98" s="1">
        <v>7.0000000000000001E-15</v>
      </c>
      <c r="B98" s="1">
        <f t="shared" si="14"/>
        <v>4.2286592888338554E-4</v>
      </c>
      <c r="C98" s="1">
        <f t="shared" si="17"/>
        <v>846.83707066550744</v>
      </c>
      <c r="D98" s="1">
        <f t="shared" si="18"/>
        <v>35.284877944396143</v>
      </c>
      <c r="E98" s="1">
        <f t="shared" si="19"/>
        <v>1.7747350210023716</v>
      </c>
      <c r="F98" s="1">
        <f t="shared" si="15"/>
        <v>211.70926766637686</v>
      </c>
      <c r="G98" s="1">
        <f t="shared" si="20"/>
        <v>5.6587557760504259</v>
      </c>
      <c r="H98" s="1">
        <f t="shared" si="16"/>
        <v>2117.0926766637685</v>
      </c>
      <c r="I98" s="1">
        <f t="shared" si="21"/>
        <v>17.894556974953044</v>
      </c>
      <c r="J98" s="1">
        <f t="shared" si="22"/>
        <v>35.284877944396143</v>
      </c>
      <c r="K98" s="1">
        <f t="shared" si="23"/>
        <v>1.6322916390304982</v>
      </c>
      <c r="L98" s="1">
        <f t="shared" si="24"/>
        <v>211.70926766637686</v>
      </c>
      <c r="M98" s="1">
        <f t="shared" si="25"/>
        <v>4.9466547328088444</v>
      </c>
      <c r="N98" s="1">
        <f t="shared" si="27"/>
        <v>2117.0926766637685</v>
      </c>
      <c r="O98" s="1">
        <f t="shared" si="26"/>
        <v>15.642695754127592</v>
      </c>
    </row>
    <row r="99" spans="1:15">
      <c r="A99" s="1">
        <v>6.4999999999999999E-15</v>
      </c>
      <c r="B99" s="1">
        <f t="shared" si="14"/>
        <v>3.9266121967742939E-4</v>
      </c>
      <c r="C99" s="1">
        <f t="shared" si="17"/>
        <v>786.34870847511388</v>
      </c>
      <c r="D99" s="1">
        <f t="shared" si="18"/>
        <v>32.764529519796412</v>
      </c>
      <c r="E99" s="1">
        <f t="shared" si="19"/>
        <v>1.6532472394025139</v>
      </c>
      <c r="F99" s="1">
        <f t="shared" si="15"/>
        <v>196.58717711877847</v>
      </c>
      <c r="G99" s="1">
        <f t="shared" si="20"/>
        <v>5.2831754547196246</v>
      </c>
      <c r="H99" s="1">
        <f t="shared" si="16"/>
        <v>1965.8717711877848</v>
      </c>
      <c r="I99" s="1">
        <f t="shared" si="21"/>
        <v>16.706867715209789</v>
      </c>
      <c r="J99" s="1">
        <f t="shared" si="22"/>
        <v>32.764529519796412</v>
      </c>
      <c r="K99" s="1">
        <f t="shared" si="23"/>
        <v>1.5198035279215545</v>
      </c>
      <c r="L99" s="1">
        <f t="shared" si="24"/>
        <v>196.58717711877847</v>
      </c>
      <c r="M99" s="1">
        <f t="shared" si="25"/>
        <v>4.612401071515448</v>
      </c>
      <c r="N99" s="1">
        <f t="shared" si="27"/>
        <v>1965.8717711877848</v>
      </c>
      <c r="O99" s="1">
        <f t="shared" si="26"/>
        <v>14.585692868189998</v>
      </c>
    </row>
    <row r="100" spans="1:15">
      <c r="A100" s="1">
        <v>5.9999999999999997E-15</v>
      </c>
      <c r="B100" s="1">
        <f t="shared" si="14"/>
        <v>3.6245651047147335E-4</v>
      </c>
      <c r="C100" s="1">
        <f t="shared" si="17"/>
        <v>725.86034628472078</v>
      </c>
      <c r="D100" s="1">
        <f t="shared" si="18"/>
        <v>30.244181095196698</v>
      </c>
      <c r="E100" s="1">
        <f t="shared" si="19"/>
        <v>1.5309944340923625</v>
      </c>
      <c r="F100" s="1">
        <f t="shared" si="15"/>
        <v>181.46508657118019</v>
      </c>
      <c r="G100" s="1">
        <f t="shared" si="20"/>
        <v>4.9036289218295614</v>
      </c>
      <c r="H100" s="1">
        <f t="shared" si="16"/>
        <v>1814.650865711802</v>
      </c>
      <c r="I100" s="1">
        <f t="shared" si="21"/>
        <v>15.506636193257178</v>
      </c>
      <c r="J100" s="1">
        <f t="shared" si="22"/>
        <v>30.244181095196698</v>
      </c>
      <c r="K100" s="1">
        <f t="shared" si="23"/>
        <v>1.4067149514976816</v>
      </c>
      <c r="L100" s="1">
        <f t="shared" si="24"/>
        <v>181.46508657118019</v>
      </c>
      <c r="M100" s="1">
        <f t="shared" si="25"/>
        <v>4.2754334959588416</v>
      </c>
      <c r="N100" s="1">
        <f t="shared" si="27"/>
        <v>1814.650865711802</v>
      </c>
      <c r="O100" s="1">
        <f t="shared" si="26"/>
        <v>13.520107831806238</v>
      </c>
    </row>
    <row r="101" spans="1:15">
      <c r="A101" s="1">
        <v>5.5000000000000002E-15</v>
      </c>
      <c r="B101" s="1">
        <f t="shared" si="14"/>
        <v>3.3225180126551725E-4</v>
      </c>
      <c r="C101" s="1">
        <f t="shared" si="17"/>
        <v>665.37198409432733</v>
      </c>
      <c r="D101" s="1">
        <f t="shared" si="18"/>
        <v>27.723832670596973</v>
      </c>
      <c r="E101" s="1">
        <f t="shared" si="19"/>
        <v>1.4079655232826507</v>
      </c>
      <c r="F101" s="1">
        <f t="shared" si="15"/>
        <v>166.34299602358183</v>
      </c>
      <c r="G101" s="1">
        <f t="shared" si="20"/>
        <v>4.5200182287788282</v>
      </c>
      <c r="H101" s="1">
        <f t="shared" si="16"/>
        <v>1663.4299602358183</v>
      </c>
      <c r="I101" s="1">
        <f t="shared" si="21"/>
        <v>14.293552668421134</v>
      </c>
      <c r="J101" s="1">
        <f t="shared" si="22"/>
        <v>27.723832670596973</v>
      </c>
      <c r="K101" s="1">
        <f t="shared" si="23"/>
        <v>1.2930185624256489</v>
      </c>
      <c r="L101" s="1">
        <f t="shared" si="24"/>
        <v>166.34299602358183</v>
      </c>
      <c r="M101" s="1">
        <f t="shared" si="25"/>
        <v>3.9357009678972812</v>
      </c>
      <c r="N101" s="1">
        <f t="shared" si="27"/>
        <v>1663.4299602358183</v>
      </c>
      <c r="O101" s="1">
        <f t="shared" si="26"/>
        <v>12.445779247884639</v>
      </c>
    </row>
    <row r="102" spans="1:15">
      <c r="A102" s="1">
        <v>5E-15</v>
      </c>
      <c r="B102" s="1">
        <f t="shared" si="14"/>
        <v>3.020470920595611E-4</v>
      </c>
      <c r="C102" s="1">
        <f t="shared" si="17"/>
        <v>604.88362190393389</v>
      </c>
      <c r="D102" s="1">
        <f t="shared" si="18"/>
        <v>25.203484245997245</v>
      </c>
      <c r="E102" s="1">
        <f t="shared" si="19"/>
        <v>1.284149184858443</v>
      </c>
      <c r="F102" s="1">
        <f t="shared" si="15"/>
        <v>151.22090547598347</v>
      </c>
      <c r="G102" s="1">
        <f t="shared" si="20"/>
        <v>4.1322417771833919</v>
      </c>
      <c r="H102" s="1">
        <f t="shared" si="16"/>
        <v>1512.2090547598348</v>
      </c>
      <c r="I102" s="1">
        <f t="shared" si="21"/>
        <v>13.067295858401524</v>
      </c>
      <c r="J102" s="1">
        <f t="shared" si="22"/>
        <v>25.203484245997245</v>
      </c>
      <c r="K102" s="1">
        <f t="shared" si="23"/>
        <v>1.178706879002767</v>
      </c>
      <c r="L102" s="1">
        <f t="shared" si="24"/>
        <v>151.22090547598347</v>
      </c>
      <c r="M102" s="1">
        <f t="shared" si="25"/>
        <v>3.593151007418466</v>
      </c>
      <c r="N102" s="1">
        <f t="shared" si="27"/>
        <v>1512.2090547598348</v>
      </c>
      <c r="O102" s="1">
        <f t="shared" si="26"/>
        <v>11.362541160370922</v>
      </c>
    </row>
    <row r="103" spans="1:15">
      <c r="A103" s="1">
        <v>4.4999999999999998E-15</v>
      </c>
      <c r="B103" s="1">
        <f t="shared" si="14"/>
        <v>2.71842382853605E-4</v>
      </c>
      <c r="C103" s="1">
        <f t="shared" si="17"/>
        <v>544.39525971354033</v>
      </c>
      <c r="D103" s="1">
        <f t="shared" si="18"/>
        <v>22.683135821397514</v>
      </c>
      <c r="E103" s="1">
        <f t="shared" si="19"/>
        <v>1.1595338494825485</v>
      </c>
      <c r="F103" s="1">
        <f t="shared" si="15"/>
        <v>136.09881492838508</v>
      </c>
      <c r="G103" s="1">
        <f t="shared" si="20"/>
        <v>3.7401941378236963</v>
      </c>
      <c r="H103" s="1">
        <f t="shared" si="16"/>
        <v>1360.9881492838508</v>
      </c>
      <c r="I103" s="1">
        <f t="shared" si="21"/>
        <v>11.827532366732607</v>
      </c>
      <c r="J103" s="1">
        <f t="shared" si="22"/>
        <v>22.683135821397514</v>
      </c>
      <c r="K103" s="1">
        <f t="shared" si="23"/>
        <v>1.0637722819093716</v>
      </c>
      <c r="L103" s="1">
        <f t="shared" si="24"/>
        <v>136.09881492838508</v>
      </c>
      <c r="M103" s="1">
        <f t="shared" si="25"/>
        <v>3.2477296389167094</v>
      </c>
      <c r="N103" s="1">
        <f t="shared" si="27"/>
        <v>1360.9881492838508</v>
      </c>
      <c r="O103" s="1">
        <f t="shared" si="26"/>
        <v>10.270222883413027</v>
      </c>
    </row>
    <row r="104" spans="1:15">
      <c r="A104" s="1">
        <v>4.0000000000000003E-15</v>
      </c>
      <c r="B104" s="1">
        <f t="shared" si="14"/>
        <v>2.416376736476489E-4</v>
      </c>
      <c r="C104" s="1">
        <f t="shared" si="17"/>
        <v>483.90689752314722</v>
      </c>
      <c r="D104" s="1">
        <f t="shared" si="18"/>
        <v>20.1627873967978</v>
      </c>
      <c r="E104" s="1">
        <f t="shared" si="19"/>
        <v>1.0341076934528455</v>
      </c>
      <c r="F104" s="1">
        <f t="shared" si="15"/>
        <v>120.97672438078681</v>
      </c>
      <c r="G104" s="1">
        <f t="shared" si="20"/>
        <v>3.3437658583621235</v>
      </c>
      <c r="H104" s="1">
        <f t="shared" si="16"/>
        <v>1209.767243807868</v>
      </c>
      <c r="I104" s="1">
        <f t="shared" si="21"/>
        <v>10.573916074732287</v>
      </c>
      <c r="J104" s="1">
        <f t="shared" si="22"/>
        <v>20.1627873967978</v>
      </c>
      <c r="K104" s="1">
        <f t="shared" si="23"/>
        <v>0.94820701086382508</v>
      </c>
      <c r="L104" s="1">
        <f t="shared" si="24"/>
        <v>120.97672438078681</v>
      </c>
      <c r="M104" s="1">
        <f t="shared" si="25"/>
        <v>2.8993813345471247</v>
      </c>
      <c r="N104" s="1">
        <f t="shared" si="27"/>
        <v>1209.767243807868</v>
      </c>
      <c r="O104" s="1">
        <f t="shared" si="26"/>
        <v>9.1686488225475546</v>
      </c>
    </row>
    <row r="105" spans="1:15">
      <c r="A105" s="1">
        <v>3.5000000000000001E-15</v>
      </c>
      <c r="B105" s="1">
        <f t="shared" si="14"/>
        <v>2.1143296444169277E-4</v>
      </c>
      <c r="C105" s="1">
        <f t="shared" si="17"/>
        <v>423.41853533275372</v>
      </c>
      <c r="D105" s="1">
        <f t="shared" si="18"/>
        <v>17.642438972198072</v>
      </c>
      <c r="E105" s="1">
        <f t="shared" si="19"/>
        <v>0.90785863130299893</v>
      </c>
      <c r="F105" s="1">
        <f t="shared" si="15"/>
        <v>105.85463383318843</v>
      </c>
      <c r="G105" s="1">
        <f t="shared" si="20"/>
        <v>2.9428432589928213</v>
      </c>
      <c r="H105" s="1">
        <f t="shared" si="16"/>
        <v>1058.5463383318843</v>
      </c>
      <c r="I105" s="1">
        <f t="shared" si="21"/>
        <v>9.3060874952901056</v>
      </c>
      <c r="J105" s="1">
        <f t="shared" si="22"/>
        <v>17.642438972198072</v>
      </c>
      <c r="K105" s="1">
        <f t="shared" si="23"/>
        <v>0.83200316117653705</v>
      </c>
      <c r="L105" s="1">
        <f t="shared" si="24"/>
        <v>105.85463383318843</v>
      </c>
      <c r="M105" s="1">
        <f t="shared" si="25"/>
        <v>2.5480489550154615</v>
      </c>
      <c r="N105" s="1">
        <f t="shared" si="27"/>
        <v>1058.5463383318843</v>
      </c>
      <c r="O105" s="1">
        <f t="shared" si="26"/>
        <v>8.0576382874607759</v>
      </c>
    </row>
    <row r="106" spans="1:15">
      <c r="A106" s="1">
        <v>2.9999999999999998E-15</v>
      </c>
      <c r="B106" s="1">
        <f t="shared" si="14"/>
        <v>1.8122825523573667E-4</v>
      </c>
      <c r="C106" s="1">
        <f t="shared" si="17"/>
        <v>362.93017314236039</v>
      </c>
      <c r="D106" s="1">
        <f t="shared" si="18"/>
        <v>15.122090547598349</v>
      </c>
      <c r="E106" s="1">
        <f t="shared" si="19"/>
        <v>0.78077430813555182</v>
      </c>
      <c r="F106" s="1">
        <f t="shared" si="15"/>
        <v>90.732543285590097</v>
      </c>
      <c r="G106" s="1">
        <f t="shared" si="20"/>
        <v>2.5373082151126423</v>
      </c>
      <c r="H106" s="1">
        <f t="shared" si="16"/>
        <v>907.325432855901</v>
      </c>
      <c r="I106" s="1">
        <f t="shared" si="21"/>
        <v>8.0236730856124137</v>
      </c>
      <c r="J106" s="1">
        <f t="shared" si="22"/>
        <v>15.122090547598349</v>
      </c>
      <c r="K106" s="1">
        <f t="shared" si="23"/>
        <v>0.71515268019936873</v>
      </c>
      <c r="L106" s="1">
        <f t="shared" si="24"/>
        <v>90.732543285590097</v>
      </c>
      <c r="M106" s="1">
        <f t="shared" si="25"/>
        <v>2.1936736875530598</v>
      </c>
      <c r="N106" s="1">
        <f t="shared" si="27"/>
        <v>907.325432855901</v>
      </c>
      <c r="O106" s="1">
        <f t="shared" si="26"/>
        <v>6.9370052958482304</v>
      </c>
    </row>
    <row r="107" spans="1:15">
      <c r="A107" s="1">
        <v>2.5E-15</v>
      </c>
      <c r="B107" s="1">
        <f t="shared" si="14"/>
        <v>1.5102354602978055E-4</v>
      </c>
      <c r="C107" s="1">
        <f t="shared" si="17"/>
        <v>302.44181095196694</v>
      </c>
      <c r="D107" s="1">
        <f t="shared" si="18"/>
        <v>12.601742122998623</v>
      </c>
      <c r="E107" s="1">
        <f t="shared" si="19"/>
        <v>0.65284209167578711</v>
      </c>
      <c r="F107" s="1">
        <f t="shared" si="15"/>
        <v>75.610452737991736</v>
      </c>
      <c r="G107" s="1">
        <f t="shared" si="20"/>
        <v>2.1270379260212184</v>
      </c>
      <c r="H107" s="1">
        <f t="shared" si="16"/>
        <v>756.10452737991739</v>
      </c>
      <c r="I107" s="1">
        <f t="shared" si="21"/>
        <v>6.7262845157877811</v>
      </c>
      <c r="J107" s="1">
        <f t="shared" si="22"/>
        <v>12.601742122998623</v>
      </c>
      <c r="K107" s="1">
        <f t="shared" si="23"/>
        <v>0.59764736366660853</v>
      </c>
      <c r="L107" s="1">
        <f t="shared" si="24"/>
        <v>75.610452737991736</v>
      </c>
      <c r="M107" s="1">
        <f t="shared" si="25"/>
        <v>1.8361949809163547</v>
      </c>
      <c r="N107" s="1">
        <f t="shared" si="27"/>
        <v>756.10452737991739</v>
      </c>
      <c r="O107" s="1">
        <f t="shared" si="26"/>
        <v>5.8065583678650912</v>
      </c>
    </row>
    <row r="108" spans="1:15">
      <c r="A108" s="1">
        <v>2.0000000000000002E-15</v>
      </c>
      <c r="B108" s="1">
        <f t="shared" ref="B108:B171" si="28">A108*$C$4/($C$2*$C$3/(1.2*10^-7))</f>
        <v>1.2081883682382445E-4</v>
      </c>
      <c r="C108" s="1">
        <f t="shared" si="17"/>
        <v>241.95344876157361</v>
      </c>
      <c r="D108" s="1">
        <f t="shared" si="18"/>
        <v>10.0813936983989</v>
      </c>
      <c r="E108" s="1">
        <f t="shared" si="19"/>
        <v>0.5240490640342087</v>
      </c>
      <c r="F108" s="1">
        <f t="shared" si="15"/>
        <v>60.488362190393403</v>
      </c>
      <c r="G108" s="1">
        <f t="shared" si="20"/>
        <v>1.7119046685694177</v>
      </c>
      <c r="H108" s="1">
        <f t="shared" si="16"/>
        <v>604.883621903934</v>
      </c>
      <c r="I108" s="1">
        <f t="shared" si="21"/>
        <v>5.413517889755024</v>
      </c>
      <c r="J108" s="1">
        <f t="shared" si="22"/>
        <v>10.0813936983989</v>
      </c>
      <c r="K108" s="1">
        <f t="shared" si="23"/>
        <v>0.47947885192357659</v>
      </c>
      <c r="L108" s="1">
        <f t="shared" si="24"/>
        <v>60.488362190393403</v>
      </c>
      <c r="M108" s="1">
        <f t="shared" si="25"/>
        <v>1.4755504772397565</v>
      </c>
      <c r="N108" s="1">
        <f t="shared" si="27"/>
        <v>604.883621903934</v>
      </c>
      <c r="O108" s="1">
        <f t="shared" si="26"/>
        <v>4.6661003106260734</v>
      </c>
    </row>
    <row r="109" spans="1:15">
      <c r="A109" s="1">
        <v>1.4999999999999999E-15</v>
      </c>
      <c r="B109" s="1">
        <f t="shared" si="28"/>
        <v>9.0614127617868337E-5</v>
      </c>
      <c r="C109" s="1">
        <f t="shared" si="17"/>
        <v>181.46508657118019</v>
      </c>
      <c r="D109" s="1">
        <f t="shared" si="18"/>
        <v>7.5610452737991745</v>
      </c>
      <c r="E109" s="1">
        <f t="shared" si="19"/>
        <v>0.39438201316483645</v>
      </c>
      <c r="F109" s="1">
        <f t="shared" si="15"/>
        <v>45.366271642795049</v>
      </c>
      <c r="G109" s="1">
        <f t="shared" si="20"/>
        <v>1.2917755345773401</v>
      </c>
      <c r="H109" s="1">
        <f t="shared" si="16"/>
        <v>453.6627164279505</v>
      </c>
      <c r="I109" s="1">
        <f t="shared" si="21"/>
        <v>4.0849529149459878</v>
      </c>
      <c r="J109" s="1">
        <f t="shared" si="22"/>
        <v>7.5610452737991745</v>
      </c>
      <c r="K109" s="1">
        <f t="shared" si="23"/>
        <v>0.36063862603871999</v>
      </c>
      <c r="L109" s="1">
        <f t="shared" si="24"/>
        <v>45.366271642795049</v>
      </c>
      <c r="M109" s="1">
        <f t="shared" si="25"/>
        <v>1.1116759405591567</v>
      </c>
      <c r="N109" s="1">
        <f t="shared" si="27"/>
        <v>453.6627164279505</v>
      </c>
      <c r="O109" s="1">
        <f t="shared" si="26"/>
        <v>3.5154279921768934</v>
      </c>
    </row>
    <row r="110" spans="1:15">
      <c r="A110" s="1">
        <v>1.0000000000000001E-15</v>
      </c>
      <c r="B110" s="1">
        <f t="shared" si="28"/>
        <v>6.0409418411912224E-5</v>
      </c>
      <c r="C110" s="1">
        <f t="shared" si="17"/>
        <v>120.97672438078681</v>
      </c>
      <c r="D110" s="1">
        <f t="shared" si="18"/>
        <v>5.0406968491994499</v>
      </c>
      <c r="E110" s="1">
        <f t="shared" si="19"/>
        <v>0.2638274240058866</v>
      </c>
      <c r="F110" s="1">
        <f t="shared" si="15"/>
        <v>30.244181095196701</v>
      </c>
      <c r="G110" s="1">
        <f t="shared" si="20"/>
        <v>0.86651215073480048</v>
      </c>
      <c r="H110" s="1">
        <f t="shared" si="16"/>
        <v>302.441810951967</v>
      </c>
      <c r="I110" s="1">
        <f t="shared" si="21"/>
        <v>2.740152016533115</v>
      </c>
      <c r="J110" s="1">
        <f t="shared" si="22"/>
        <v>5.0406968491994499</v>
      </c>
      <c r="K110" s="1">
        <f t="shared" si="23"/>
        <v>0.24111800379490675</v>
      </c>
      <c r="L110" s="1">
        <f t="shared" si="24"/>
        <v>30.244181095196701</v>
      </c>
      <c r="M110" s="1">
        <f t="shared" si="25"/>
        <v>0.74450518181094472</v>
      </c>
      <c r="N110" s="1">
        <f t="shared" si="27"/>
        <v>302.441810951967</v>
      </c>
      <c r="O110" s="1">
        <f t="shared" si="26"/>
        <v>2.3543321043203478</v>
      </c>
    </row>
    <row r="111" spans="1:15">
      <c r="A111" s="1">
        <v>9.5000000000000005E-16</v>
      </c>
      <c r="B111" s="1">
        <f t="shared" si="28"/>
        <v>5.7388947491316613E-5</v>
      </c>
      <c r="C111" s="1">
        <f t="shared" si="17"/>
        <v>114.92788816174746</v>
      </c>
      <c r="D111" s="1">
        <f t="shared" si="18"/>
        <v>4.7886620067394778</v>
      </c>
      <c r="E111" s="1">
        <f t="shared" si="19"/>
        <v>0.25072262088933317</v>
      </c>
      <c r="F111" s="1">
        <f t="shared" si="15"/>
        <v>28.731972040436865</v>
      </c>
      <c r="G111" s="1">
        <f t="shared" si="20"/>
        <v>0.82369793092784194</v>
      </c>
      <c r="H111" s="1">
        <f t="shared" si="16"/>
        <v>287.31972040436864</v>
      </c>
      <c r="I111" s="1">
        <f t="shared" si="21"/>
        <v>2.6047615657000311</v>
      </c>
      <c r="J111" s="1">
        <f t="shared" si="22"/>
        <v>4.7886620067394778</v>
      </c>
      <c r="K111" s="1">
        <f t="shared" si="23"/>
        <v>0.22912818053271641</v>
      </c>
      <c r="L111" s="1">
        <f t="shared" si="24"/>
        <v>28.731972040436865</v>
      </c>
      <c r="M111" s="1">
        <f t="shared" si="25"/>
        <v>0.70760420525577139</v>
      </c>
      <c r="N111" s="1">
        <f t="shared" si="27"/>
        <v>287.31972040436864</v>
      </c>
      <c r="O111" s="1">
        <f t="shared" si="26"/>
        <v>2.2376409705215266</v>
      </c>
    </row>
    <row r="112" spans="1:15">
      <c r="A112" s="1">
        <v>9.0000000000000003E-16</v>
      </c>
      <c r="B112" s="1">
        <f t="shared" si="28"/>
        <v>5.4368476570720995E-5</v>
      </c>
      <c r="C112" s="1">
        <f t="shared" si="17"/>
        <v>108.8790519427081</v>
      </c>
      <c r="D112" s="1">
        <f t="shared" si="18"/>
        <v>4.536627164279504</v>
      </c>
      <c r="E112" s="1">
        <f t="shared" si="19"/>
        <v>0.23760879038077598</v>
      </c>
      <c r="F112" s="1">
        <f t="shared" si="15"/>
        <v>27.219762985677026</v>
      </c>
      <c r="G112" s="1">
        <f t="shared" si="20"/>
        <v>0.78083078486274093</v>
      </c>
      <c r="H112" s="1">
        <f t="shared" si="16"/>
        <v>272.19762985677028</v>
      </c>
      <c r="I112" s="1">
        <f t="shared" si="21"/>
        <v>2.469203747343188</v>
      </c>
      <c r="J112" s="1">
        <f t="shared" si="22"/>
        <v>4.536627164279504</v>
      </c>
      <c r="K112" s="1">
        <f t="shared" si="23"/>
        <v>0.21713145600920358</v>
      </c>
      <c r="L112" s="1">
        <f t="shared" si="24"/>
        <v>27.219762985677026</v>
      </c>
      <c r="M112" s="1">
        <f t="shared" si="25"/>
        <v>0.67066951665209318</v>
      </c>
      <c r="N112" s="1">
        <f t="shared" si="27"/>
        <v>272.19762985677028</v>
      </c>
      <c r="O112" s="1">
        <f t="shared" si="26"/>
        <v>2.1208432298648394</v>
      </c>
    </row>
    <row r="113" spans="1:15">
      <c r="A113" s="1">
        <v>8.5000000000000001E-16</v>
      </c>
      <c r="B113" s="1">
        <f t="shared" si="28"/>
        <v>5.1348005650125384E-5</v>
      </c>
      <c r="C113" s="1">
        <f t="shared" si="17"/>
        <v>102.83021572366876</v>
      </c>
      <c r="D113" s="1">
        <f t="shared" si="18"/>
        <v>4.2845923218195319</v>
      </c>
      <c r="E113" s="1">
        <f t="shared" si="19"/>
        <v>0.22448591844612872</v>
      </c>
      <c r="F113" s="1">
        <f t="shared" si="15"/>
        <v>25.707553930917189</v>
      </c>
      <c r="G113" s="1">
        <f t="shared" si="20"/>
        <v>0.73791056452661608</v>
      </c>
      <c r="H113" s="1">
        <f t="shared" si="16"/>
        <v>257.07553930917192</v>
      </c>
      <c r="I113" s="1">
        <f t="shared" si="21"/>
        <v>2.3334780934047554</v>
      </c>
      <c r="J113" s="1">
        <f t="shared" si="22"/>
        <v>4.2845923218195319</v>
      </c>
      <c r="K113" s="1">
        <f t="shared" si="23"/>
        <v>0.20512782126416917</v>
      </c>
      <c r="L113" s="1">
        <f t="shared" si="24"/>
        <v>25.707553930917189</v>
      </c>
      <c r="M113" s="1">
        <f t="shared" si="25"/>
        <v>0.63370104642479808</v>
      </c>
      <c r="N113" s="1">
        <f t="shared" si="27"/>
        <v>257.07553930917192</v>
      </c>
      <c r="O113" s="1">
        <f t="shared" si="26"/>
        <v>2.0039386623344644</v>
      </c>
    </row>
    <row r="114" spans="1:15">
      <c r="A114" s="1">
        <v>7.9999999999999998E-16</v>
      </c>
      <c r="B114" s="1">
        <f t="shared" si="28"/>
        <v>4.832753472952978E-5</v>
      </c>
      <c r="C114" s="1">
        <f t="shared" si="17"/>
        <v>96.781379504629442</v>
      </c>
      <c r="D114" s="1">
        <f t="shared" si="18"/>
        <v>4.0325574793595598</v>
      </c>
      <c r="E114" s="1">
        <f t="shared" si="19"/>
        <v>0.21135399101894145</v>
      </c>
      <c r="F114" s="1">
        <f t="shared" si="15"/>
        <v>24.19534487615736</v>
      </c>
      <c r="G114" s="1">
        <f t="shared" si="20"/>
        <v>0.69493712129194229</v>
      </c>
      <c r="H114" s="1">
        <f t="shared" si="16"/>
        <v>241.95344876157361</v>
      </c>
      <c r="I114" s="1">
        <f t="shared" si="21"/>
        <v>2.1975841338832329</v>
      </c>
      <c r="J114" s="1">
        <f t="shared" si="22"/>
        <v>4.0325574793595598</v>
      </c>
      <c r="K114" s="1">
        <f t="shared" si="23"/>
        <v>0.19311726732016074</v>
      </c>
      <c r="L114" s="1">
        <f t="shared" si="24"/>
        <v>24.19534487615736</v>
      </c>
      <c r="M114" s="1">
        <f t="shared" si="25"/>
        <v>0.59669872478568842</v>
      </c>
      <c r="N114" s="1">
        <f t="shared" si="27"/>
        <v>241.95344876157361</v>
      </c>
      <c r="O114" s="1">
        <f t="shared" si="26"/>
        <v>1.8869270472407424</v>
      </c>
    </row>
    <row r="115" spans="1:15">
      <c r="A115" s="1">
        <v>7.4999999999999996E-16</v>
      </c>
      <c r="B115" s="1">
        <f t="shared" si="28"/>
        <v>4.5307063808934168E-5</v>
      </c>
      <c r="C115" s="1">
        <f t="shared" si="17"/>
        <v>90.732543285590097</v>
      </c>
      <c r="D115" s="1">
        <f t="shared" si="18"/>
        <v>3.7805226368995872</v>
      </c>
      <c r="E115" s="1">
        <f t="shared" si="19"/>
        <v>0.19821299400030246</v>
      </c>
      <c r="F115" s="1">
        <f t="shared" si="15"/>
        <v>22.683135821397524</v>
      </c>
      <c r="G115" s="1">
        <f t="shared" si="20"/>
        <v>0.65191030591319576</v>
      </c>
      <c r="H115" s="1">
        <f t="shared" si="16"/>
        <v>226.83135821397525</v>
      </c>
      <c r="I115" s="1">
        <f t="shared" si="21"/>
        <v>2.0615213968228332</v>
      </c>
      <c r="J115" s="1">
        <f t="shared" si="22"/>
        <v>3.7805226368995872</v>
      </c>
      <c r="K115" s="1">
        <f t="shared" si="23"/>
        <v>0.18109978518242931</v>
      </c>
      <c r="L115" s="1">
        <f t="shared" si="24"/>
        <v>22.683135821397524</v>
      </c>
      <c r="M115" s="1">
        <f t="shared" si="25"/>
        <v>0.5596624817326229</v>
      </c>
      <c r="N115" s="1">
        <f t="shared" si="27"/>
        <v>226.83135821397525</v>
      </c>
      <c r="O115" s="1">
        <f t="shared" si="26"/>
        <v>1.7698081632174671</v>
      </c>
    </row>
    <row r="116" spans="1:15">
      <c r="A116" s="1">
        <v>7.0000000000000003E-16</v>
      </c>
      <c r="B116" s="1">
        <f t="shared" si="28"/>
        <v>4.2286592888338557E-5</v>
      </c>
      <c r="C116" s="1">
        <f t="shared" si="17"/>
        <v>84.683707066550738</v>
      </c>
      <c r="D116" s="1">
        <f t="shared" si="18"/>
        <v>3.5284877944396142</v>
      </c>
      <c r="E116" s="1">
        <f t="shared" si="19"/>
        <v>0.18506291325874039</v>
      </c>
      <c r="F116" s="1">
        <f t="shared" si="15"/>
        <v>21.170926766637685</v>
      </c>
      <c r="G116" s="1">
        <f t="shared" si="20"/>
        <v>0.6088299685234756</v>
      </c>
      <c r="H116" s="1">
        <f t="shared" si="16"/>
        <v>211.70926766637683</v>
      </c>
      <c r="I116" s="1">
        <f t="shared" si="21"/>
        <v>1.9252894083028047</v>
      </c>
      <c r="J116" s="1">
        <f t="shared" si="22"/>
        <v>3.5284877944396142</v>
      </c>
      <c r="K116" s="1">
        <f t="shared" si="23"/>
        <v>0.16907536583888555</v>
      </c>
      <c r="L116" s="1">
        <f t="shared" si="24"/>
        <v>21.170926766637685</v>
      </c>
      <c r="M116" s="1">
        <f t="shared" si="25"/>
        <v>0.52259224704865526</v>
      </c>
      <c r="N116" s="1">
        <f t="shared" si="27"/>
        <v>211.70926766637683</v>
      </c>
      <c r="O116" s="1">
        <f t="shared" si="26"/>
        <v>1.6525817882191571</v>
      </c>
    </row>
    <row r="117" spans="1:15">
      <c r="A117" s="1">
        <v>6.5000000000000001E-16</v>
      </c>
      <c r="B117" s="1">
        <f t="shared" si="28"/>
        <v>3.9266121967742946E-5</v>
      </c>
      <c r="C117" s="1">
        <f t="shared" si="17"/>
        <v>78.634870847511394</v>
      </c>
      <c r="D117" s="1">
        <f t="shared" si="18"/>
        <v>3.2764529519796413</v>
      </c>
      <c r="E117" s="1">
        <f t="shared" si="19"/>
        <v>0.17190373463012507</v>
      </c>
      <c r="F117" s="1">
        <f t="shared" si="15"/>
        <v>19.658717711877848</v>
      </c>
      <c r="G117" s="1">
        <f t="shared" si="20"/>
        <v>0.56569595863110378</v>
      </c>
      <c r="H117" s="1">
        <f t="shared" si="16"/>
        <v>196.58717711877847</v>
      </c>
      <c r="I117" s="1">
        <f t="shared" si="21"/>
        <v>1.788887692426675</v>
      </c>
      <c r="J117" s="1">
        <f t="shared" si="22"/>
        <v>3.2764529519796413</v>
      </c>
      <c r="K117" s="1">
        <f t="shared" si="23"/>
        <v>0.15704400026005583</v>
      </c>
      <c r="L117" s="1">
        <f t="shared" si="24"/>
        <v>19.658717711877848</v>
      </c>
      <c r="M117" s="1">
        <f t="shared" si="25"/>
        <v>0.48548795030116826</v>
      </c>
      <c r="N117" s="1">
        <f t="shared" si="27"/>
        <v>196.58717711877847</v>
      </c>
      <c r="O117" s="1">
        <f t="shared" si="26"/>
        <v>1.5352476995183206</v>
      </c>
    </row>
    <row r="118" spans="1:15">
      <c r="A118" s="1">
        <v>5.9999999999999999E-16</v>
      </c>
      <c r="B118" s="1">
        <f t="shared" si="28"/>
        <v>3.6245651047147335E-5</v>
      </c>
      <c r="C118" s="1">
        <f t="shared" si="17"/>
        <v>72.586034628472078</v>
      </c>
      <c r="D118" s="1">
        <f t="shared" si="18"/>
        <v>3.0244181095196701</v>
      </c>
      <c r="E118" s="1">
        <f t="shared" si="19"/>
        <v>0.15873544391756847</v>
      </c>
      <c r="F118" s="1">
        <f t="shared" si="15"/>
        <v>18.146508657118019</v>
      </c>
      <c r="G118" s="1">
        <f t="shared" si="20"/>
        <v>0.52250812511619915</v>
      </c>
      <c r="H118" s="1">
        <f t="shared" si="16"/>
        <v>181.46508657118019</v>
      </c>
      <c r="I118" s="1">
        <f t="shared" si="21"/>
        <v>1.6523157713114209</v>
      </c>
      <c r="J118" s="1">
        <f t="shared" si="22"/>
        <v>3.0244181095196701</v>
      </c>
      <c r="K118" s="1">
        <f t="shared" si="23"/>
        <v>0.14500567939903819</v>
      </c>
      <c r="L118" s="1">
        <f t="shared" si="24"/>
        <v>18.146508657118019</v>
      </c>
      <c r="M118" s="1">
        <f t="shared" si="25"/>
        <v>0.44834952084100249</v>
      </c>
      <c r="N118" s="1">
        <f t="shared" si="27"/>
        <v>181.46508657118019</v>
      </c>
      <c r="O118" s="1">
        <f t="shared" si="26"/>
        <v>1.4178056737026992</v>
      </c>
    </row>
    <row r="119" spans="1:15">
      <c r="A119" s="1">
        <v>5.4999999999999996E-16</v>
      </c>
      <c r="B119" s="1">
        <f t="shared" si="28"/>
        <v>3.3225180126551717E-5</v>
      </c>
      <c r="C119" s="1">
        <f t="shared" si="17"/>
        <v>66.537198409432719</v>
      </c>
      <c r="D119" s="1">
        <f t="shared" si="18"/>
        <v>2.7723832670596966</v>
      </c>
      <c r="E119" s="1">
        <f t="shared" si="19"/>
        <v>0.14555802689132508</v>
      </c>
      <c r="F119" s="1">
        <f t="shared" si="15"/>
        <v>16.63429960235818</v>
      </c>
      <c r="G119" s="1">
        <f t="shared" si="20"/>
        <v>0.47926631622723087</v>
      </c>
      <c r="H119" s="1">
        <f t="shared" si="16"/>
        <v>166.3429960235818</v>
      </c>
      <c r="I119" s="1">
        <f t="shared" si="21"/>
        <v>1.5155731650765663</v>
      </c>
      <c r="J119" s="1">
        <f t="shared" si="22"/>
        <v>2.7723832670596966</v>
      </c>
      <c r="K119" s="1">
        <f t="shared" si="23"/>
        <v>0.13296039419145786</v>
      </c>
      <c r="L119" s="1">
        <f t="shared" si="24"/>
        <v>16.63429960235818</v>
      </c>
      <c r="M119" s="1">
        <f t="shared" si="25"/>
        <v>0.41117688780158157</v>
      </c>
      <c r="N119" s="1">
        <f t="shared" si="27"/>
        <v>166.3429960235818</v>
      </c>
      <c r="O119" s="1">
        <f t="shared" si="26"/>
        <v>1.3002554866725016</v>
      </c>
    </row>
    <row r="120" spans="1:15">
      <c r="A120" s="1">
        <v>5.0000000000000004E-16</v>
      </c>
      <c r="B120" s="1">
        <f t="shared" si="28"/>
        <v>3.0204709205956112E-5</v>
      </c>
      <c r="C120" s="1">
        <f t="shared" si="17"/>
        <v>60.488362190393403</v>
      </c>
      <c r="D120" s="1">
        <f t="shared" si="18"/>
        <v>2.520348424599725</v>
      </c>
      <c r="E120" s="1">
        <f t="shared" si="19"/>
        <v>0.13237146928869228</v>
      </c>
      <c r="F120" s="1">
        <f t="shared" si="15"/>
        <v>15.122090547598351</v>
      </c>
      <c r="G120" s="1">
        <f t="shared" si="20"/>
        <v>0.43597037957754925</v>
      </c>
      <c r="H120" s="1">
        <f t="shared" si="16"/>
        <v>151.2209054759835</v>
      </c>
      <c r="I120" s="1">
        <f t="shared" si="21"/>
        <v>1.3786593918332124</v>
      </c>
      <c r="J120" s="1">
        <f t="shared" si="22"/>
        <v>2.520348424599725</v>
      </c>
      <c r="K120" s="1">
        <f t="shared" si="23"/>
        <v>0.12090813555542361</v>
      </c>
      <c r="L120" s="1">
        <f t="shared" si="24"/>
        <v>15.122090547598351</v>
      </c>
      <c r="M120" s="1">
        <f t="shared" si="25"/>
        <v>0.37396998009803423</v>
      </c>
      <c r="N120" s="1">
        <f t="shared" si="27"/>
        <v>151.2209054759835</v>
      </c>
      <c r="O120" s="1">
        <f t="shared" si="26"/>
        <v>1.1825969136376269</v>
      </c>
    </row>
    <row r="121" spans="1:15">
      <c r="A121" s="1">
        <v>4.5000000000000002E-16</v>
      </c>
      <c r="B121" s="1">
        <f t="shared" si="28"/>
        <v>2.7184238285360498E-5</v>
      </c>
      <c r="C121" s="1">
        <f t="shared" si="17"/>
        <v>54.439525971354051</v>
      </c>
      <c r="D121" s="1">
        <f t="shared" si="18"/>
        <v>2.268313582139752</v>
      </c>
      <c r="E121" s="1">
        <f t="shared" si="19"/>
        <v>0.11917575681390967</v>
      </c>
      <c r="F121" s="1">
        <f t="shared" si="15"/>
        <v>13.609881492838513</v>
      </c>
      <c r="G121" s="1">
        <f t="shared" si="20"/>
        <v>0.39262016214188872</v>
      </c>
      <c r="H121" s="1">
        <f t="shared" si="16"/>
        <v>136.09881492838514</v>
      </c>
      <c r="I121" s="1">
        <f t="shared" si="21"/>
        <v>1.2415739676729818</v>
      </c>
      <c r="J121" s="1">
        <f t="shared" si="22"/>
        <v>2.268313582139752</v>
      </c>
      <c r="K121" s="1">
        <f t="shared" si="23"/>
        <v>0.10884889439148251</v>
      </c>
      <c r="L121" s="1">
        <f t="shared" si="24"/>
        <v>13.609881492838513</v>
      </c>
      <c r="M121" s="1">
        <f t="shared" si="25"/>
        <v>0.33672872642630874</v>
      </c>
      <c r="N121" s="1">
        <f t="shared" si="27"/>
        <v>136.09881492838514</v>
      </c>
      <c r="O121" s="1">
        <f t="shared" si="26"/>
        <v>1.0648297291148658</v>
      </c>
    </row>
    <row r="122" spans="1:15">
      <c r="A122" s="1">
        <v>3.9999999999999999E-16</v>
      </c>
      <c r="B122" s="1">
        <f t="shared" si="28"/>
        <v>2.416376736476489E-5</v>
      </c>
      <c r="C122" s="1">
        <f t="shared" si="17"/>
        <v>48.390689752314721</v>
      </c>
      <c r="D122" s="1">
        <f t="shared" si="18"/>
        <v>2.0162787396797799</v>
      </c>
      <c r="E122" s="1">
        <f t="shared" si="19"/>
        <v>0.10597087513805885</v>
      </c>
      <c r="F122" s="1">
        <f t="shared" si="15"/>
        <v>12.09767243807868</v>
      </c>
      <c r="G122" s="1">
        <f t="shared" si="20"/>
        <v>0.34921551025285263</v>
      </c>
      <c r="H122" s="1">
        <f t="shared" si="16"/>
        <v>120.97672438078681</v>
      </c>
      <c r="I122" s="1">
        <f t="shared" si="21"/>
        <v>1.1043164066568978</v>
      </c>
      <c r="J122" s="1">
        <f t="shared" si="22"/>
        <v>2.0162787396797799</v>
      </c>
      <c r="K122" s="1">
        <f t="shared" si="23"/>
        <v>9.678266158257598E-2</v>
      </c>
      <c r="L122" s="1">
        <f t="shared" si="24"/>
        <v>12.09767243807868</v>
      </c>
      <c r="M122" s="1">
        <f t="shared" si="25"/>
        <v>0.29945305526228683</v>
      </c>
      <c r="N122" s="1">
        <f t="shared" si="27"/>
        <v>120.97672438078681</v>
      </c>
      <c r="O122" s="1">
        <f t="shared" si="26"/>
        <v>0.94695370692509684</v>
      </c>
    </row>
    <row r="123" spans="1:15">
      <c r="A123" s="1">
        <v>3.5000000000000002E-16</v>
      </c>
      <c r="B123" s="1">
        <f t="shared" si="28"/>
        <v>2.1143296444169279E-5</v>
      </c>
      <c r="C123" s="1">
        <f t="shared" si="17"/>
        <v>42.341853533275369</v>
      </c>
      <c r="D123" s="1">
        <f t="shared" si="18"/>
        <v>1.7642438972198071</v>
      </c>
      <c r="E123" s="1">
        <f t="shared" si="19"/>
        <v>9.2756809898961984E-2</v>
      </c>
      <c r="F123" s="1">
        <f t="shared" si="15"/>
        <v>10.585463383318842</v>
      </c>
      <c r="G123" s="1">
        <f t="shared" si="20"/>
        <v>0.30575626959736929</v>
      </c>
      <c r="H123" s="1">
        <f t="shared" si="16"/>
        <v>105.85463383318842</v>
      </c>
      <c r="I123" s="1">
        <f t="shared" si="21"/>
        <v>0.96688622080418085</v>
      </c>
      <c r="J123" s="1">
        <f t="shared" si="22"/>
        <v>1.7642438972198071</v>
      </c>
      <c r="K123" s="1">
        <f t="shared" si="23"/>
        <v>8.4709427993994543E-2</v>
      </c>
      <c r="L123" s="1">
        <f t="shared" si="24"/>
        <v>10.585463383318842</v>
      </c>
      <c r="M123" s="1">
        <f t="shared" si="25"/>
        <v>0.26214289486088987</v>
      </c>
      <c r="N123" s="1">
        <f t="shared" si="27"/>
        <v>105.85463383318842</v>
      </c>
      <c r="O123" s="1">
        <f t="shared" si="26"/>
        <v>0.82896862019046025</v>
      </c>
    </row>
    <row r="124" spans="1:15">
      <c r="A124" s="1">
        <v>2.9999999999999999E-16</v>
      </c>
      <c r="B124" s="1">
        <f t="shared" si="28"/>
        <v>1.8122825523573667E-5</v>
      </c>
      <c r="C124" s="1">
        <f t="shared" si="17"/>
        <v>36.293017314236039</v>
      </c>
      <c r="D124" s="1">
        <f t="shared" si="18"/>
        <v>1.512209054759835</v>
      </c>
      <c r="E124" s="1">
        <f t="shared" si="19"/>
        <v>7.9533546701080801E-2</v>
      </c>
      <c r="F124" s="1">
        <f t="shared" si="15"/>
        <v>9.0732543285590097</v>
      </c>
      <c r="G124" s="1">
        <f t="shared" si="20"/>
        <v>0.26224228521312681</v>
      </c>
      <c r="H124" s="1">
        <f t="shared" si="16"/>
        <v>90.732543285590097</v>
      </c>
      <c r="I124" s="1">
        <f t="shared" si="21"/>
        <v>0.82928292008097548</v>
      </c>
      <c r="J124" s="1">
        <f t="shared" si="22"/>
        <v>1.512209054759835</v>
      </c>
      <c r="K124" s="1">
        <f t="shared" si="23"/>
        <v>7.2629184473333372E-2</v>
      </c>
      <c r="L124" s="1">
        <f t="shared" si="24"/>
        <v>9.0732543285590097</v>
      </c>
      <c r="M124" s="1">
        <f t="shared" si="25"/>
        <v>0.22479817325518298</v>
      </c>
      <c r="N124" s="1">
        <f t="shared" si="27"/>
        <v>90.732543285590097</v>
      </c>
      <c r="O124" s="1">
        <f t="shared" si="26"/>
        <v>0.71087424133152588</v>
      </c>
    </row>
    <row r="125" spans="1:15">
      <c r="A125" s="1">
        <v>2.5000000000000002E-16</v>
      </c>
      <c r="B125" s="1">
        <f t="shared" si="28"/>
        <v>1.5102354602978056E-5</v>
      </c>
      <c r="C125" s="1">
        <f t="shared" si="17"/>
        <v>30.244181095196701</v>
      </c>
      <c r="D125" s="1">
        <f t="shared" si="18"/>
        <v>1.2601742122998625</v>
      </c>
      <c r="E125" s="1">
        <f t="shared" si="19"/>
        <v>6.6301071115414417E-2</v>
      </c>
      <c r="F125" s="1">
        <f t="shared" si="15"/>
        <v>7.5610452737991753</v>
      </c>
      <c r="G125" s="1">
        <f t="shared" si="20"/>
        <v>0.21867340148498243</v>
      </c>
      <c r="H125" s="1">
        <f t="shared" si="16"/>
        <v>75.61045273799175</v>
      </c>
      <c r="I125" s="1">
        <f t="shared" si="21"/>
        <v>0.69150601238899079</v>
      </c>
      <c r="J125" s="1">
        <f t="shared" si="22"/>
        <v>1.2601742122998625</v>
      </c>
      <c r="K125" s="1">
        <f t="shared" si="23"/>
        <v>6.0541921850446892E-2</v>
      </c>
      <c r="L125" s="1">
        <f t="shared" si="24"/>
        <v>7.5610452737991753</v>
      </c>
      <c r="M125" s="1">
        <f t="shared" si="25"/>
        <v>0.18741881825547255</v>
      </c>
      <c r="N125" s="1">
        <f t="shared" si="27"/>
        <v>75.61045273799175</v>
      </c>
      <c r="O125" s="1">
        <f t="shared" si="26"/>
        <v>0.59267034206443847</v>
      </c>
    </row>
    <row r="126" spans="1:15">
      <c r="A126" s="1">
        <v>2E-16</v>
      </c>
      <c r="B126" s="1">
        <f t="shared" si="28"/>
        <v>1.2081883682382445E-5</v>
      </c>
      <c r="C126" s="1">
        <f t="shared" si="17"/>
        <v>24.19534487615736</v>
      </c>
      <c r="D126" s="1">
        <f t="shared" si="18"/>
        <v>1.0081393698398899</v>
      </c>
      <c r="E126" s="1">
        <f t="shared" si="19"/>
        <v>5.3059368679397437E-2</v>
      </c>
      <c r="F126" s="1">
        <f t="shared" si="15"/>
        <v>6.0488362190393401</v>
      </c>
      <c r="G126" s="1">
        <f t="shared" si="20"/>
        <v>0.17504946214134745</v>
      </c>
      <c r="H126" s="1">
        <f t="shared" si="16"/>
        <v>60.488362190393403</v>
      </c>
      <c r="I126" s="1">
        <f t="shared" si="21"/>
        <v>0.55355500355407361</v>
      </c>
      <c r="J126" s="1">
        <f t="shared" si="22"/>
        <v>1.0081393698398899</v>
      </c>
      <c r="K126" s="1">
        <f t="shared" si="23"/>
        <v>4.8447630937403896E-2</v>
      </c>
      <c r="L126" s="1">
        <f t="shared" si="24"/>
        <v>6.0488362190393401</v>
      </c>
      <c r="M126" s="1">
        <f t="shared" si="25"/>
        <v>0.15000475744840128</v>
      </c>
      <c r="N126" s="1">
        <f t="shared" si="27"/>
        <v>60.488362190393403</v>
      </c>
      <c r="O126" s="1">
        <f t="shared" si="26"/>
        <v>0.4743566933980557</v>
      </c>
    </row>
    <row r="127" spans="1:15">
      <c r="A127" s="1">
        <v>1.5E-16</v>
      </c>
      <c r="B127" s="1">
        <f t="shared" si="28"/>
        <v>9.0614127617868337E-6</v>
      </c>
      <c r="C127" s="1">
        <f t="shared" si="17"/>
        <v>18.146508657118019</v>
      </c>
      <c r="D127" s="1">
        <f t="shared" si="18"/>
        <v>0.75610452737991751</v>
      </c>
      <c r="E127" s="1">
        <f t="shared" si="19"/>
        <v>3.9808424896797291E-2</v>
      </c>
      <c r="F127" s="1">
        <f t="shared" si="15"/>
        <v>4.5366271642795049</v>
      </c>
      <c r="G127" s="1">
        <f t="shared" si="20"/>
        <v>0.13137031025054774</v>
      </c>
      <c r="H127" s="1">
        <f t="shared" si="16"/>
        <v>45.366271642795049</v>
      </c>
      <c r="I127" s="1">
        <f t="shared" si="21"/>
        <v>0.41542939731469614</v>
      </c>
      <c r="J127" s="1">
        <f t="shared" si="22"/>
        <v>0.75610452737991751</v>
      </c>
      <c r="K127" s="1">
        <f t="shared" si="23"/>
        <v>3.6346302528442107E-2</v>
      </c>
      <c r="L127" s="1">
        <f t="shared" si="24"/>
        <v>4.5366271642795049</v>
      </c>
      <c r="M127" s="1">
        <f t="shared" si="25"/>
        <v>0.11255591819603712</v>
      </c>
      <c r="N127" s="1">
        <f t="shared" si="27"/>
        <v>45.366271642795049</v>
      </c>
      <c r="O127" s="1">
        <f t="shared" si="26"/>
        <v>0.35593306563106775</v>
      </c>
    </row>
    <row r="128" spans="1:15">
      <c r="A128" s="1">
        <v>9.9999999999999998E-17</v>
      </c>
      <c r="B128" s="1">
        <f t="shared" si="28"/>
        <v>6.0409418411912224E-6</v>
      </c>
      <c r="C128" s="1">
        <f t="shared" si="17"/>
        <v>12.09767243807868</v>
      </c>
      <c r="D128" s="1">
        <f t="shared" si="18"/>
        <v>0.50406968491994497</v>
      </c>
      <c r="E128" s="1">
        <f t="shared" si="19"/>
        <v>2.6548225237611283E-2</v>
      </c>
      <c r="F128" s="1">
        <f t="shared" si="15"/>
        <v>3.0244181095196701</v>
      </c>
      <c r="G128" s="1">
        <f t="shared" si="20"/>
        <v>8.7635788217158811E-2</v>
      </c>
      <c r="H128" s="1">
        <f t="shared" si="16"/>
        <v>30.244181095196701</v>
      </c>
      <c r="I128" s="1">
        <f t="shared" si="21"/>
        <v>0.27712869531036866</v>
      </c>
      <c r="J128" s="1">
        <f t="shared" si="22"/>
        <v>0.50406968491994497</v>
      </c>
      <c r="K128" s="1">
        <f t="shared" si="23"/>
        <v>2.4237927399922733E-2</v>
      </c>
      <c r="L128" s="1">
        <f t="shared" si="24"/>
        <v>3.0244181095196701</v>
      </c>
      <c r="M128" s="1">
        <f t="shared" si="25"/>
        <v>7.5072227634958452E-2</v>
      </c>
      <c r="N128" s="1">
        <f t="shared" si="27"/>
        <v>30.244181095196701</v>
      </c>
      <c r="O128" s="1">
        <f t="shared" si="26"/>
        <v>0.23739922834910437</v>
      </c>
    </row>
    <row r="129" spans="1:15">
      <c r="A129" s="1">
        <v>9.5000000000000003E-17</v>
      </c>
      <c r="B129" s="1">
        <f t="shared" si="28"/>
        <v>5.7388947491316617E-6</v>
      </c>
      <c r="C129" s="1">
        <f t="shared" si="17"/>
        <v>11.492788816174745</v>
      </c>
      <c r="D129" s="1">
        <f t="shared" si="18"/>
        <v>0.4788662006739477</v>
      </c>
      <c r="E129" s="1">
        <f t="shared" si="19"/>
        <v>2.5221695638065214E-2</v>
      </c>
      <c r="F129" s="1">
        <f t="shared" si="15"/>
        <v>2.8731972040436862</v>
      </c>
      <c r="G129" s="1">
        <f t="shared" si="20"/>
        <v>8.3259284568658845E-2</v>
      </c>
      <c r="H129" s="1">
        <f t="shared" si="16"/>
        <v>28.731972040436862</v>
      </c>
      <c r="I129" s="1">
        <f t="shared" si="21"/>
        <v>0.26328897559307174</v>
      </c>
      <c r="J129" s="1">
        <f t="shared" si="22"/>
        <v>0.4788662006739477</v>
      </c>
      <c r="K129" s="1">
        <f t="shared" si="23"/>
        <v>2.302670196185053E-2</v>
      </c>
      <c r="L129" s="1">
        <f t="shared" si="24"/>
        <v>2.8731972040436862</v>
      </c>
      <c r="M129" s="1">
        <f t="shared" si="25"/>
        <v>7.132193894487901E-2</v>
      </c>
      <c r="N129" s="1">
        <f t="shared" si="27"/>
        <v>28.731972040436862</v>
      </c>
      <c r="O129" s="1">
        <f t="shared" si="26"/>
        <v>0.22553977420528401</v>
      </c>
    </row>
    <row r="130" spans="1:15">
      <c r="A130" s="1">
        <v>8.9999999999999996E-17</v>
      </c>
      <c r="B130" s="1">
        <f t="shared" si="28"/>
        <v>5.4368476570721E-6</v>
      </c>
      <c r="C130" s="1">
        <f t="shared" si="17"/>
        <v>10.887905194270809</v>
      </c>
      <c r="D130" s="1">
        <f t="shared" si="18"/>
        <v>0.45366271642795036</v>
      </c>
      <c r="E130" s="1">
        <f t="shared" si="19"/>
        <v>2.3895073319560013E-2</v>
      </c>
      <c r="F130" s="1">
        <f t="shared" si="15"/>
        <v>2.7219762985677023</v>
      </c>
      <c r="G130" s="1">
        <f t="shared" si="20"/>
        <v>7.8882225478026938E-2</v>
      </c>
      <c r="H130" s="1">
        <f t="shared" si="16"/>
        <v>27.219762985677022</v>
      </c>
      <c r="I130" s="1">
        <f t="shared" si="21"/>
        <v>0.24944749941352953</v>
      </c>
      <c r="J130" s="1">
        <f t="shared" si="22"/>
        <v>0.45366271642795036</v>
      </c>
      <c r="K130" s="1">
        <f t="shared" si="23"/>
        <v>2.181540595493053E-2</v>
      </c>
      <c r="L130" s="1">
        <f t="shared" si="24"/>
        <v>2.7219762985677023</v>
      </c>
      <c r="M130" s="1">
        <f t="shared" si="25"/>
        <v>6.7571300937787029E-2</v>
      </c>
      <c r="N130" s="1">
        <f t="shared" si="27"/>
        <v>27.219762985677022</v>
      </c>
      <c r="O130" s="1">
        <f t="shared" si="26"/>
        <v>0.21367921542407858</v>
      </c>
    </row>
    <row r="131" spans="1:15">
      <c r="A131" s="1">
        <v>8.5000000000000001E-17</v>
      </c>
      <c r="B131" s="1">
        <f t="shared" si="28"/>
        <v>5.1348005650125393E-6</v>
      </c>
      <c r="C131" s="1">
        <f t="shared" si="17"/>
        <v>10.283021572366879</v>
      </c>
      <c r="D131" s="1">
        <f t="shared" si="18"/>
        <v>0.42845923218195331</v>
      </c>
      <c r="E131" s="1">
        <f t="shared" si="19"/>
        <v>2.2568358267509765E-2</v>
      </c>
      <c r="F131" s="1">
        <f t="shared" si="15"/>
        <v>2.5707553930917197</v>
      </c>
      <c r="G131" s="1">
        <f t="shared" si="20"/>
        <v>7.4504610786564923E-2</v>
      </c>
      <c r="H131" s="1">
        <f t="shared" si="16"/>
        <v>25.707553930917197</v>
      </c>
      <c r="I131" s="1">
        <f t="shared" si="21"/>
        <v>0.23560426626989436</v>
      </c>
      <c r="J131" s="1">
        <f t="shared" si="22"/>
        <v>0.42845923218195331</v>
      </c>
      <c r="K131" s="1">
        <f t="shared" si="23"/>
        <v>2.0604039369909524E-2</v>
      </c>
      <c r="L131" s="1">
        <f t="shared" si="24"/>
        <v>2.5707553930917197</v>
      </c>
      <c r="M131" s="1">
        <f t="shared" si="25"/>
        <v>6.3820313540445164E-2</v>
      </c>
      <c r="N131" s="1">
        <f t="shared" si="27"/>
        <v>25.707553930917197</v>
      </c>
      <c r="O131" s="1">
        <f t="shared" si="26"/>
        <v>0.20181755177389127</v>
      </c>
    </row>
    <row r="132" spans="1:15">
      <c r="A132" s="1">
        <v>8.0000000000000006E-17</v>
      </c>
      <c r="B132" s="1">
        <f t="shared" si="28"/>
        <v>4.8327534729529785E-6</v>
      </c>
      <c r="C132" s="1">
        <f t="shared" si="17"/>
        <v>9.6781379504629435</v>
      </c>
      <c r="D132" s="1">
        <f t="shared" si="18"/>
        <v>0.40325574793595598</v>
      </c>
      <c r="E132" s="1">
        <f t="shared" si="19"/>
        <v>2.1241550467325104E-2</v>
      </c>
      <c r="F132" s="1">
        <f t="shared" si="15"/>
        <v>2.4195344876157359</v>
      </c>
      <c r="G132" s="1">
        <f t="shared" si="20"/>
        <v>7.0126440335507328E-2</v>
      </c>
      <c r="H132" s="1">
        <f t="shared" si="16"/>
        <v>24.195344876157357</v>
      </c>
      <c r="I132" s="1">
        <f t="shared" si="21"/>
        <v>0.22175927566010556</v>
      </c>
      <c r="J132" s="1">
        <f t="shared" si="22"/>
        <v>0.40325574793595598</v>
      </c>
      <c r="K132" s="1">
        <f t="shared" si="23"/>
        <v>1.9392602197532458E-2</v>
      </c>
      <c r="L132" s="1">
        <f t="shared" si="24"/>
        <v>2.4195344876157359</v>
      </c>
      <c r="M132" s="1">
        <f t="shared" si="25"/>
        <v>6.0068976679593225E-2</v>
      </c>
      <c r="N132" s="1">
        <f t="shared" si="27"/>
        <v>24.195344876157357</v>
      </c>
      <c r="O132" s="1">
        <f t="shared" si="26"/>
        <v>0.18995478302305296</v>
      </c>
    </row>
    <row r="133" spans="1:15">
      <c r="A133" s="1">
        <v>7.4999999999999998E-17</v>
      </c>
      <c r="B133" s="1">
        <f t="shared" si="28"/>
        <v>4.5307063808934168E-6</v>
      </c>
      <c r="C133" s="1">
        <f t="shared" si="17"/>
        <v>9.0732543285590097</v>
      </c>
      <c r="D133" s="1">
        <f t="shared" si="18"/>
        <v>0.37805226368995876</v>
      </c>
      <c r="E133" s="1">
        <f t="shared" si="19"/>
        <v>1.9914649904413308E-2</v>
      </c>
      <c r="F133" s="1">
        <f t="shared" si="15"/>
        <v>2.2683135821397524</v>
      </c>
      <c r="G133" s="1">
        <f t="shared" si="20"/>
        <v>6.5747713966021526E-2</v>
      </c>
      <c r="H133" s="1">
        <f t="shared" si="16"/>
        <v>22.683135821397524</v>
      </c>
      <c r="I133" s="1">
        <f t="shared" si="21"/>
        <v>0.20791252708189042</v>
      </c>
      <c r="J133" s="1">
        <f t="shared" si="22"/>
        <v>0.37805226368995876</v>
      </c>
      <c r="K133" s="1">
        <f t="shared" si="23"/>
        <v>1.8181094428542519E-2</v>
      </c>
      <c r="L133" s="1">
        <f t="shared" si="24"/>
        <v>2.2683135821397524</v>
      </c>
      <c r="M133" s="1">
        <f t="shared" si="25"/>
        <v>5.6317290281948339E-2</v>
      </c>
      <c r="N133" s="1">
        <f t="shared" si="27"/>
        <v>22.683135821397524</v>
      </c>
      <c r="O133" s="1">
        <f t="shared" si="26"/>
        <v>0.17809090893982302</v>
      </c>
    </row>
    <row r="134" spans="1:15">
      <c r="A134" s="1">
        <v>7.0000000000000003E-17</v>
      </c>
      <c r="B134" s="1">
        <f t="shared" si="28"/>
        <v>4.2286592888338561E-6</v>
      </c>
      <c r="C134" s="1">
        <f t="shared" si="17"/>
        <v>8.468370706655076</v>
      </c>
      <c r="D134" s="1">
        <f t="shared" si="18"/>
        <v>0.35284877944396148</v>
      </c>
      <c r="E134" s="1">
        <f t="shared" si="19"/>
        <v>1.8587656564178236E-2</v>
      </c>
      <c r="F134" s="1">
        <f t="shared" si="15"/>
        <v>2.117092676663769</v>
      </c>
      <c r="G134" s="1">
        <f t="shared" si="20"/>
        <v>6.1368431519207609E-2</v>
      </c>
      <c r="H134" s="1">
        <f t="shared" si="16"/>
        <v>21.170926766637692</v>
      </c>
      <c r="I134" s="1">
        <f t="shared" si="21"/>
        <v>0.19406402003276327</v>
      </c>
      <c r="J134" s="1">
        <f t="shared" si="22"/>
        <v>0.35284877944396148</v>
      </c>
      <c r="K134" s="1">
        <f t="shared" si="23"/>
        <v>1.6969516053681084E-2</v>
      </c>
      <c r="L134" s="1">
        <f t="shared" si="24"/>
        <v>2.117092676663769</v>
      </c>
      <c r="M134" s="1">
        <f t="shared" si="25"/>
        <v>5.2565254274204873E-2</v>
      </c>
      <c r="N134" s="1">
        <f t="shared" si="27"/>
        <v>21.170926766637692</v>
      </c>
      <c r="O134" s="1">
        <f t="shared" si="26"/>
        <v>0.1662259292923885</v>
      </c>
    </row>
    <row r="135" spans="1:15">
      <c r="A135" s="1">
        <v>6.4999999999999996E-17</v>
      </c>
      <c r="B135" s="1">
        <f t="shared" si="28"/>
        <v>3.9266121967742944E-6</v>
      </c>
      <c r="C135" s="1">
        <f t="shared" si="17"/>
        <v>7.8634870847511422</v>
      </c>
      <c r="D135" s="1">
        <f t="shared" si="18"/>
        <v>0.32764529519796426</v>
      </c>
      <c r="E135" s="1">
        <f t="shared" si="19"/>
        <v>1.7260570432020349E-2</v>
      </c>
      <c r="F135" s="1">
        <f t="shared" si="15"/>
        <v>1.9658717711877856</v>
      </c>
      <c r="G135" s="1">
        <f t="shared" si="20"/>
        <v>5.6988592836098348E-2</v>
      </c>
      <c r="H135" s="1">
        <f t="shared" si="16"/>
        <v>19.658717711877856</v>
      </c>
      <c r="I135" s="1">
        <f t="shared" si="21"/>
        <v>0.18021375401002557</v>
      </c>
      <c r="J135" s="1">
        <f t="shared" si="22"/>
        <v>0.32764529519796426</v>
      </c>
      <c r="K135" s="1">
        <f t="shared" si="23"/>
        <v>1.575786706368773E-2</v>
      </c>
      <c r="L135" s="1">
        <f t="shared" si="24"/>
        <v>1.9658717711877856</v>
      </c>
      <c r="M135" s="1">
        <f t="shared" si="25"/>
        <v>4.8812868583034359E-2</v>
      </c>
      <c r="N135" s="1">
        <f t="shared" si="27"/>
        <v>19.658717711877856</v>
      </c>
      <c r="O135" s="1">
        <f t="shared" si="26"/>
        <v>0.15435984384886448</v>
      </c>
    </row>
    <row r="136" spans="1:15">
      <c r="A136" s="1">
        <v>6.0000000000000001E-17</v>
      </c>
      <c r="B136" s="1">
        <f t="shared" si="28"/>
        <v>3.6245651047147332E-6</v>
      </c>
      <c r="C136" s="1">
        <f t="shared" si="17"/>
        <v>7.2586034628472049</v>
      </c>
      <c r="D136" s="1">
        <f t="shared" si="18"/>
        <v>0.30244181095196687</v>
      </c>
      <c r="E136" s="1">
        <f t="shared" si="19"/>
        <v>1.5933391493336689E-2</v>
      </c>
      <c r="F136" s="1">
        <f t="shared" si="15"/>
        <v>1.8146508657118012</v>
      </c>
      <c r="G136" s="1">
        <f t="shared" si="20"/>
        <v>5.2608197757659195E-2</v>
      </c>
      <c r="H136" s="1">
        <f t="shared" si="16"/>
        <v>18.146508657118012</v>
      </c>
      <c r="I136" s="1">
        <f t="shared" si="21"/>
        <v>0.16636172851076589</v>
      </c>
      <c r="J136" s="1">
        <f t="shared" si="22"/>
        <v>0.30244181095196687</v>
      </c>
      <c r="K136" s="1">
        <f t="shared" si="23"/>
        <v>1.4546147449300226E-2</v>
      </c>
      <c r="L136" s="1">
        <f t="shared" si="24"/>
        <v>1.8146508657118012</v>
      </c>
      <c r="M136" s="1">
        <f t="shared" si="25"/>
        <v>4.5060133135085556E-2</v>
      </c>
      <c r="N136" s="1">
        <f t="shared" si="27"/>
        <v>18.146508657118012</v>
      </c>
      <c r="O136" s="1">
        <f t="shared" si="26"/>
        <v>0.142492652377294</v>
      </c>
    </row>
    <row r="137" spans="1:15">
      <c r="A137" s="1">
        <v>5.5E-17</v>
      </c>
      <c r="B137" s="1">
        <f t="shared" si="28"/>
        <v>3.322518012655172E-6</v>
      </c>
      <c r="C137" s="1">
        <f t="shared" si="17"/>
        <v>6.6537198409432721</v>
      </c>
      <c r="D137" s="1">
        <f t="shared" si="18"/>
        <v>0.27723832670596965</v>
      </c>
      <c r="E137" s="1">
        <f t="shared" si="19"/>
        <v>1.4606119733520922E-2</v>
      </c>
      <c r="F137" s="1">
        <f t="shared" si="15"/>
        <v>1.663429960235818</v>
      </c>
      <c r="G137" s="1">
        <f t="shared" si="20"/>
        <v>4.8227246124788244E-2</v>
      </c>
      <c r="H137" s="1">
        <f t="shared" si="16"/>
        <v>16.63429960235818</v>
      </c>
      <c r="I137" s="1">
        <f t="shared" si="21"/>
        <v>0.15250794303185994</v>
      </c>
      <c r="J137" s="1">
        <f t="shared" si="22"/>
        <v>0.27723832670596965</v>
      </c>
      <c r="K137" s="1">
        <f t="shared" si="23"/>
        <v>1.3334357201254568E-2</v>
      </c>
      <c r="L137" s="1">
        <f t="shared" si="24"/>
        <v>1.663429960235818</v>
      </c>
      <c r="M137" s="1">
        <f t="shared" si="25"/>
        <v>4.1307047856984483E-2</v>
      </c>
      <c r="N137" s="1">
        <f t="shared" si="27"/>
        <v>16.63429960235818</v>
      </c>
      <c r="O137" s="1">
        <f t="shared" si="26"/>
        <v>0.13062435464564814</v>
      </c>
    </row>
    <row r="138" spans="1:15">
      <c r="A138" s="1">
        <v>4.9999999999999999E-17</v>
      </c>
      <c r="B138" s="1">
        <f t="shared" si="28"/>
        <v>3.0204709205956112E-6</v>
      </c>
      <c r="C138" s="1">
        <f t="shared" si="17"/>
        <v>6.0488362190393401</v>
      </c>
      <c r="D138" s="1">
        <f t="shared" si="18"/>
        <v>0.25203484245997249</v>
      </c>
      <c r="E138" s="1">
        <f t="shared" si="19"/>
        <v>1.3278755137963286E-2</v>
      </c>
      <c r="F138" s="1">
        <f t="shared" si="15"/>
        <v>1.512209054759835</v>
      </c>
      <c r="G138" s="1">
        <f t="shared" si="20"/>
        <v>4.3845737778316164E-2</v>
      </c>
      <c r="H138" s="1">
        <f t="shared" si="16"/>
        <v>15.122090547598351</v>
      </c>
      <c r="I138" s="1">
        <f t="shared" si="21"/>
        <v>0.13865239706996993</v>
      </c>
      <c r="J138" s="1">
        <f t="shared" si="22"/>
        <v>0.25203484245997249</v>
      </c>
      <c r="K138" s="1">
        <f t="shared" si="23"/>
        <v>1.2122496310284924E-2</v>
      </c>
      <c r="L138" s="1">
        <f t="shared" si="24"/>
        <v>1.512209054759835</v>
      </c>
      <c r="M138" s="1">
        <f t="shared" si="25"/>
        <v>3.7553612675334282E-2</v>
      </c>
      <c r="N138" s="1">
        <f t="shared" si="27"/>
        <v>15.122090547598351</v>
      </c>
      <c r="O138" s="1">
        <f t="shared" si="26"/>
        <v>0.1187549504218257</v>
      </c>
    </row>
    <row r="139" spans="1:15">
      <c r="A139" s="1">
        <v>4.4999999999999998E-17</v>
      </c>
      <c r="B139" s="1">
        <f t="shared" si="28"/>
        <v>2.71842382853605E-6</v>
      </c>
      <c r="C139" s="1">
        <f t="shared" si="17"/>
        <v>5.4439525971354046</v>
      </c>
      <c r="D139" s="1">
        <f t="shared" si="18"/>
        <v>0.22683135821397518</v>
      </c>
      <c r="E139" s="1">
        <f t="shared" si="19"/>
        <v>1.1951297692050607E-2</v>
      </c>
      <c r="F139" s="1">
        <f t="shared" si="15"/>
        <v>1.3609881492838511</v>
      </c>
      <c r="G139" s="1">
        <f t="shared" si="20"/>
        <v>3.946367255900609E-2</v>
      </c>
      <c r="H139" s="1">
        <f t="shared" si="16"/>
        <v>13.609881492838511</v>
      </c>
      <c r="I139" s="1">
        <f t="shared" si="21"/>
        <v>0.12479509012154487</v>
      </c>
      <c r="J139" s="1">
        <f t="shared" si="22"/>
        <v>0.22683135821397518</v>
      </c>
      <c r="K139" s="1">
        <f t="shared" si="23"/>
        <v>1.0910564767123666E-2</v>
      </c>
      <c r="L139" s="1">
        <f t="shared" si="24"/>
        <v>1.3609881492838511</v>
      </c>
      <c r="M139" s="1">
        <f t="shared" si="25"/>
        <v>3.3799827516715272E-2</v>
      </c>
      <c r="N139" s="1">
        <f t="shared" si="27"/>
        <v>13.609881492838511</v>
      </c>
      <c r="O139" s="1">
        <f t="shared" si="26"/>
        <v>0.10688443947365317</v>
      </c>
    </row>
    <row r="140" spans="1:15">
      <c r="A140" s="1">
        <v>4.0000000000000003E-17</v>
      </c>
      <c r="B140" s="1">
        <f t="shared" si="28"/>
        <v>2.4163767364764892E-6</v>
      </c>
      <c r="C140" s="1">
        <f t="shared" si="17"/>
        <v>4.8390689752314717</v>
      </c>
      <c r="D140" s="1">
        <f t="shared" si="18"/>
        <v>0.20162787396797799</v>
      </c>
      <c r="E140" s="1">
        <f t="shared" si="19"/>
        <v>1.0623747381166327E-2</v>
      </c>
      <c r="F140" s="1">
        <f t="shared" si="15"/>
        <v>1.2097672438078679</v>
      </c>
      <c r="G140" s="1">
        <f t="shared" si="20"/>
        <v>3.5081050307553818E-2</v>
      </c>
      <c r="H140" s="1">
        <f t="shared" si="16"/>
        <v>12.097672438078678</v>
      </c>
      <c r="I140" s="1">
        <f t="shared" si="21"/>
        <v>0.11093602168282049</v>
      </c>
      <c r="J140" s="1">
        <f t="shared" si="22"/>
        <v>0.20162787396797799</v>
      </c>
      <c r="K140" s="1">
        <f t="shared" si="23"/>
        <v>9.6985625625013779E-3</v>
      </c>
      <c r="L140" s="1">
        <f t="shared" si="24"/>
        <v>1.2097672438078679</v>
      </c>
      <c r="M140" s="1">
        <f t="shared" si="25"/>
        <v>3.0045692307685019E-2</v>
      </c>
      <c r="N140" s="1">
        <f t="shared" si="27"/>
        <v>12.097672438078678</v>
      </c>
      <c r="O140" s="1">
        <f t="shared" si="26"/>
        <v>9.5012821568885256E-2</v>
      </c>
    </row>
    <row r="141" spans="1:15">
      <c r="A141" s="1">
        <v>3.5000000000000002E-17</v>
      </c>
      <c r="B141" s="1">
        <f t="shared" si="28"/>
        <v>2.114329644416928E-6</v>
      </c>
      <c r="C141" s="1">
        <f t="shared" si="17"/>
        <v>4.234185353327538</v>
      </c>
      <c r="D141" s="1">
        <f t="shared" si="18"/>
        <v>0.17642438972198074</v>
      </c>
      <c r="E141" s="1">
        <f t="shared" si="19"/>
        <v>9.2961041906904525E-3</v>
      </c>
      <c r="F141" s="1">
        <f t="shared" si="15"/>
        <v>1.0585463383318845</v>
      </c>
      <c r="G141" s="1">
        <f t="shared" si="20"/>
        <v>3.0697870864587494E-2</v>
      </c>
      <c r="H141" s="1">
        <f t="shared" si="16"/>
        <v>10.585463383318846</v>
      </c>
      <c r="I141" s="1">
        <f t="shared" si="21"/>
        <v>9.707519124981881E-2</v>
      </c>
      <c r="J141" s="1">
        <f t="shared" si="22"/>
        <v>0.17642438972198074</v>
      </c>
      <c r="K141" s="1">
        <f t="shared" si="23"/>
        <v>8.4864896871468237E-3</v>
      </c>
      <c r="L141" s="1">
        <f t="shared" si="24"/>
        <v>1.0585463383318845</v>
      </c>
      <c r="M141" s="1">
        <f t="shared" si="25"/>
        <v>2.6291206974778183E-2</v>
      </c>
      <c r="N141" s="1">
        <f t="shared" si="27"/>
        <v>10.585463383318846</v>
      </c>
      <c r="O141" s="1">
        <f t="shared" si="26"/>
        <v>8.3140096475204123E-2</v>
      </c>
    </row>
    <row r="142" spans="1:15">
      <c r="A142" s="1">
        <v>3.0000000000000001E-17</v>
      </c>
      <c r="B142" s="1">
        <f t="shared" si="28"/>
        <v>1.8122825523573666E-6</v>
      </c>
      <c r="C142" s="1">
        <f t="shared" si="17"/>
        <v>3.6293017314236025</v>
      </c>
      <c r="D142" s="1">
        <f t="shared" si="18"/>
        <v>0.15122090547598344</v>
      </c>
      <c r="E142" s="1">
        <f t="shared" si="19"/>
        <v>7.9683681059995962E-3</v>
      </c>
      <c r="F142" s="1">
        <f t="shared" si="15"/>
        <v>0.90732543285590062</v>
      </c>
      <c r="G142" s="1">
        <f t="shared" si="20"/>
        <v>2.6314134070667738E-2</v>
      </c>
      <c r="H142" s="1">
        <f t="shared" si="16"/>
        <v>9.0732543285590062</v>
      </c>
      <c r="I142" s="1">
        <f t="shared" si="21"/>
        <v>8.3212598318348208E-2</v>
      </c>
      <c r="J142" s="1">
        <f t="shared" si="22"/>
        <v>0.15122090547598344</v>
      </c>
      <c r="K142" s="1">
        <f t="shared" si="23"/>
        <v>7.2743461317869781E-3</v>
      </c>
      <c r="L142" s="1">
        <f t="shared" si="24"/>
        <v>0.90732543285590062</v>
      </c>
      <c r="M142" s="1">
        <f t="shared" si="25"/>
        <v>2.2536371444506598E-2</v>
      </c>
      <c r="N142" s="1">
        <f t="shared" si="27"/>
        <v>9.0732543285590062</v>
      </c>
      <c r="O142" s="1">
        <f t="shared" si="26"/>
        <v>7.1266263960219803E-2</v>
      </c>
    </row>
    <row r="143" spans="1:15">
      <c r="A143" s="1">
        <v>2.4999999999999999E-17</v>
      </c>
      <c r="B143" s="1">
        <f t="shared" si="28"/>
        <v>1.5102354602978056E-6</v>
      </c>
      <c r="C143" s="1">
        <f t="shared" si="17"/>
        <v>3.0244181095196701</v>
      </c>
      <c r="D143" s="1">
        <f t="shared" si="18"/>
        <v>0.12601742122998624</v>
      </c>
      <c r="E143" s="1">
        <f t="shared" si="19"/>
        <v>6.6405391124669637E-3</v>
      </c>
      <c r="F143" s="1">
        <f t="shared" si="15"/>
        <v>0.75610452737991751</v>
      </c>
      <c r="G143" s="1">
        <f t="shared" si="20"/>
        <v>2.1929839766287613E-2</v>
      </c>
      <c r="H143" s="1">
        <f t="shared" si="16"/>
        <v>7.5610452737991753</v>
      </c>
      <c r="I143" s="1">
        <f t="shared" si="21"/>
        <v>6.9348242384003486E-2</v>
      </c>
      <c r="J143" s="1">
        <f t="shared" si="22"/>
        <v>0.12601742122998624</v>
      </c>
      <c r="K143" s="1">
        <f t="shared" si="23"/>
        <v>6.0621318871470166E-3</v>
      </c>
      <c r="L143" s="1">
        <f t="shared" si="24"/>
        <v>0.75610452737991751</v>
      </c>
      <c r="M143" s="1">
        <f t="shared" si="25"/>
        <v>1.8781185643359281E-2</v>
      </c>
      <c r="N143" s="1">
        <f t="shared" si="27"/>
        <v>7.5610452737991753</v>
      </c>
      <c r="O143" s="1">
        <f t="shared" si="26"/>
        <v>5.9391323791470149E-2</v>
      </c>
    </row>
    <row r="144" spans="1:15">
      <c r="A144" s="1">
        <v>2.0000000000000001E-17</v>
      </c>
      <c r="B144" s="1">
        <f t="shared" si="28"/>
        <v>1.2081883682382446E-6</v>
      </c>
      <c r="C144" s="1">
        <f t="shared" si="17"/>
        <v>2.4195344876157359</v>
      </c>
      <c r="D144" s="1">
        <f t="shared" si="18"/>
        <v>0.10081393698398899</v>
      </c>
      <c r="E144" s="1">
        <f t="shared" si="19"/>
        <v>5.3126171954623264E-3</v>
      </c>
      <c r="F144" s="1">
        <f t="shared" si="15"/>
        <v>0.60488362190393397</v>
      </c>
      <c r="G144" s="1">
        <f t="shared" si="20"/>
        <v>1.7544987791872468E-2</v>
      </c>
      <c r="H144" s="1">
        <f t="shared" si="16"/>
        <v>6.0488362190393392</v>
      </c>
      <c r="I144" s="1">
        <f t="shared" si="21"/>
        <v>5.548212294216525E-2</v>
      </c>
      <c r="J144" s="1">
        <f t="shared" si="22"/>
        <v>0.10081393698398899</v>
      </c>
      <c r="K144" s="1">
        <f t="shared" si="23"/>
        <v>4.8498469439502943E-3</v>
      </c>
      <c r="L144" s="1">
        <f t="shared" si="24"/>
        <v>0.60488362190393397</v>
      </c>
      <c r="M144" s="1">
        <f t="shared" si="25"/>
        <v>1.5025649497802331E-2</v>
      </c>
      <c r="N144" s="1">
        <f t="shared" si="27"/>
        <v>6.0488362190393392</v>
      </c>
      <c r="O144" s="1">
        <f t="shared" si="26"/>
        <v>4.7515275736420538E-2</v>
      </c>
    </row>
    <row r="145" spans="1:15">
      <c r="A145" s="1">
        <v>1.5E-17</v>
      </c>
      <c r="B145" s="1">
        <f t="shared" si="28"/>
        <v>9.061412761786833E-7</v>
      </c>
      <c r="C145" s="1">
        <f t="shared" si="17"/>
        <v>1.8146508657118012</v>
      </c>
      <c r="D145" s="1">
        <f t="shared" si="18"/>
        <v>7.5610452737991718E-2</v>
      </c>
      <c r="E145" s="1">
        <f t="shared" si="19"/>
        <v>3.9846023403520611E-3</v>
      </c>
      <c r="F145" s="1">
        <f t="shared" si="15"/>
        <v>0.45366271642795031</v>
      </c>
      <c r="G145" s="1">
        <f t="shared" si="20"/>
        <v>1.315957798778002E-2</v>
      </c>
      <c r="H145" s="1">
        <f t="shared" si="16"/>
        <v>4.5366271642795031</v>
      </c>
      <c r="I145" s="1">
        <f t="shared" si="21"/>
        <v>4.1614239488000304E-2</v>
      </c>
      <c r="J145" s="1">
        <f t="shared" si="22"/>
        <v>7.5610452737991718E-2</v>
      </c>
      <c r="K145" s="1">
        <f t="shared" si="23"/>
        <v>3.6374912929183754E-3</v>
      </c>
      <c r="L145" s="1">
        <f t="shared" si="24"/>
        <v>0.45366271642795031</v>
      </c>
      <c r="M145" s="1">
        <f t="shared" si="25"/>
        <v>1.1269762934279002E-2</v>
      </c>
      <c r="N145" s="1">
        <f t="shared" si="27"/>
        <v>4.5366271642795031</v>
      </c>
      <c r="O145" s="1">
        <f t="shared" si="26"/>
        <v>3.5638119562464134E-2</v>
      </c>
    </row>
    <row r="146" spans="1:15">
      <c r="A146" s="1">
        <v>1.0000000000000001E-17</v>
      </c>
      <c r="B146" s="1">
        <f t="shared" si="28"/>
        <v>6.0409418411912231E-7</v>
      </c>
      <c r="C146" s="1">
        <f t="shared" si="17"/>
        <v>1.2097672438078679</v>
      </c>
      <c r="D146" s="1">
        <f t="shared" si="18"/>
        <v>5.0406968491994497E-2</v>
      </c>
      <c r="E146" s="1">
        <f t="shared" si="19"/>
        <v>2.6564945324991283E-3</v>
      </c>
      <c r="F146" s="1">
        <f t="shared" si="15"/>
        <v>0.30244181095196698</v>
      </c>
      <c r="G146" s="1">
        <f t="shared" si="20"/>
        <v>8.7736101943002697E-3</v>
      </c>
      <c r="H146" s="1">
        <f t="shared" si="16"/>
        <v>3.0244181095196696</v>
      </c>
      <c r="I146" s="1">
        <f t="shared" si="21"/>
        <v>2.7744591516461289E-2</v>
      </c>
      <c r="J146" s="1">
        <f t="shared" si="22"/>
        <v>5.0406968491994497E-2</v>
      </c>
      <c r="K146" s="1">
        <f t="shared" si="23"/>
        <v>2.4250649247710208E-3</v>
      </c>
      <c r="L146" s="1">
        <f t="shared" si="24"/>
        <v>0.30244181095196698</v>
      </c>
      <c r="M146" s="1">
        <f t="shared" si="25"/>
        <v>7.5135258792096747E-3</v>
      </c>
      <c r="N146" s="1">
        <f t="shared" si="27"/>
        <v>3.0244181095196696</v>
      </c>
      <c r="O146" s="1">
        <f t="shared" si="26"/>
        <v>2.3759855036921733E-2</v>
      </c>
    </row>
    <row r="147" spans="1:15">
      <c r="A147" s="1">
        <v>9.5000000000000003E-18</v>
      </c>
      <c r="B147" s="1">
        <f t="shared" si="28"/>
        <v>5.7388947491316617E-7</v>
      </c>
      <c r="C147" s="1">
        <f t="shared" si="17"/>
        <v>1.1492788816174744</v>
      </c>
      <c r="D147" s="1">
        <f t="shared" si="18"/>
        <v>4.7886620067394768E-2</v>
      </c>
      <c r="E147" s="1">
        <f t="shared" si="19"/>
        <v>2.5236786387493595E-3</v>
      </c>
      <c r="F147" s="1">
        <f t="shared" si="15"/>
        <v>0.28731972040436859</v>
      </c>
      <c r="G147" s="1">
        <f t="shared" si="20"/>
        <v>8.3349827193851325E-3</v>
      </c>
      <c r="H147" s="1">
        <f t="shared" si="16"/>
        <v>2.8731972040436862</v>
      </c>
      <c r="I147" s="1">
        <f t="shared" si="21"/>
        <v>2.6357529651401097E-2</v>
      </c>
      <c r="J147" s="1">
        <f t="shared" si="22"/>
        <v>4.7886620067394768E-2</v>
      </c>
      <c r="K147" s="1">
        <f t="shared" si="23"/>
        <v>2.3038183981575924E-3</v>
      </c>
      <c r="L147" s="1">
        <f t="shared" si="24"/>
        <v>0.28731972040436859</v>
      </c>
      <c r="M147" s="1">
        <f t="shared" si="25"/>
        <v>7.1378828938342114E-3</v>
      </c>
      <c r="N147" s="1">
        <f t="shared" si="27"/>
        <v>2.8731972040436862</v>
      </c>
      <c r="O147" s="1">
        <f t="shared" si="26"/>
        <v>2.257196761606995E-2</v>
      </c>
    </row>
    <row r="148" spans="1:15">
      <c r="A148" s="1">
        <v>8.9999999999999999E-18</v>
      </c>
      <c r="B148" s="1">
        <f t="shared" si="28"/>
        <v>5.4368476570721002E-7</v>
      </c>
      <c r="C148" s="1">
        <f t="shared" si="17"/>
        <v>1.088790519427081</v>
      </c>
      <c r="D148" s="1">
        <f t="shared" si="18"/>
        <v>4.5366271642795046E-2</v>
      </c>
      <c r="E148" s="1">
        <f t="shared" si="19"/>
        <v>2.3908618153111205E-3</v>
      </c>
      <c r="F148" s="1">
        <f t="shared" si="15"/>
        <v>0.27219762985677026</v>
      </c>
      <c r="G148" s="1">
        <f t="shared" si="20"/>
        <v>7.8963496628185904E-3</v>
      </c>
      <c r="H148" s="1">
        <f t="shared" si="16"/>
        <v>2.7219762985677027</v>
      </c>
      <c r="I148" s="1">
        <f t="shared" si="21"/>
        <v>2.4970450135609341E-2</v>
      </c>
      <c r="J148" s="1">
        <f t="shared" si="22"/>
        <v>4.5366271642795046E-2</v>
      </c>
      <c r="K148" s="1">
        <f t="shared" si="23"/>
        <v>2.1825711642709084E-3</v>
      </c>
      <c r="L148" s="1">
        <f t="shared" si="24"/>
        <v>0.27219762985677026</v>
      </c>
      <c r="M148" s="1">
        <f t="shared" si="25"/>
        <v>6.7622364027336681E-3</v>
      </c>
      <c r="N148" s="1">
        <f t="shared" si="27"/>
        <v>2.7219762985677027</v>
      </c>
      <c r="O148" s="1">
        <f t="shared" si="26"/>
        <v>2.1384069109142062E-2</v>
      </c>
    </row>
    <row r="149" spans="1:15">
      <c r="A149" s="1">
        <v>8.4999999999999995E-18</v>
      </c>
      <c r="B149" s="1">
        <f t="shared" si="28"/>
        <v>5.1348005650125388E-7</v>
      </c>
      <c r="C149" s="1">
        <f t="shared" si="17"/>
        <v>1.0283021572366879</v>
      </c>
      <c r="D149" s="1">
        <f t="shared" si="18"/>
        <v>4.2845923218195331E-2</v>
      </c>
      <c r="E149" s="1">
        <f t="shared" si="19"/>
        <v>2.2580440621697687E-3</v>
      </c>
      <c r="F149" s="1">
        <f t="shared" si="15"/>
        <v>0.25707553930917199</v>
      </c>
      <c r="G149" s="1">
        <f t="shared" si="20"/>
        <v>7.4577110244408154E-3</v>
      </c>
      <c r="H149" s="1">
        <f t="shared" si="16"/>
        <v>2.5707553930917197</v>
      </c>
      <c r="I149" s="1">
        <f t="shared" si="21"/>
        <v>2.3583352968580631E-2</v>
      </c>
      <c r="J149" s="1">
        <f t="shared" si="22"/>
        <v>4.2845923218195331E-2</v>
      </c>
      <c r="K149" s="1">
        <f t="shared" si="23"/>
        <v>2.061323223101685E-3</v>
      </c>
      <c r="L149" s="1">
        <f t="shared" si="24"/>
        <v>0.25707553930917199</v>
      </c>
      <c r="M149" s="1">
        <f t="shared" si="25"/>
        <v>6.3865864058344273E-3</v>
      </c>
      <c r="N149" s="1">
        <f t="shared" si="27"/>
        <v>2.5707553930917197</v>
      </c>
      <c r="O149" s="1">
        <f t="shared" si="26"/>
        <v>2.0196159515905272E-2</v>
      </c>
    </row>
    <row r="150" spans="1:15">
      <c r="A150" s="1">
        <v>8.0000000000000006E-18</v>
      </c>
      <c r="B150" s="1">
        <f t="shared" si="28"/>
        <v>4.8327534729529785E-7</v>
      </c>
      <c r="C150" s="1">
        <f t="shared" si="17"/>
        <v>0.9678137950462945</v>
      </c>
      <c r="D150" s="1">
        <f t="shared" si="18"/>
        <v>4.0325574793595602E-2</v>
      </c>
      <c r="E150" s="1">
        <f t="shared" si="19"/>
        <v>2.125225379310659E-3</v>
      </c>
      <c r="F150" s="1">
        <f t="shared" si="15"/>
        <v>0.24195344876157363</v>
      </c>
      <c r="G150" s="1">
        <f t="shared" si="20"/>
        <v>7.0190668040919797E-3</v>
      </c>
      <c r="H150" s="1">
        <f t="shared" si="16"/>
        <v>2.4195344876157363</v>
      </c>
      <c r="I150" s="1">
        <f t="shared" si="21"/>
        <v>2.2196238149809529E-2</v>
      </c>
      <c r="J150" s="1">
        <f t="shared" si="22"/>
        <v>4.0325574793595602E-2</v>
      </c>
      <c r="K150" s="1">
        <f t="shared" si="23"/>
        <v>1.9400745746406378E-3</v>
      </c>
      <c r="L150" s="1">
        <f t="shared" si="24"/>
        <v>0.24195344876157363</v>
      </c>
      <c r="M150" s="1">
        <f t="shared" si="25"/>
        <v>6.0109329030628659E-3</v>
      </c>
      <c r="N150" s="1">
        <f t="shared" si="27"/>
        <v>2.4195344876157363</v>
      </c>
      <c r="O150" s="1">
        <f t="shared" si="26"/>
        <v>1.9008238836126762E-2</v>
      </c>
    </row>
    <row r="151" spans="1:15">
      <c r="A151" s="1">
        <v>7.5000000000000002E-18</v>
      </c>
      <c r="B151" s="1">
        <f t="shared" si="28"/>
        <v>4.5307063808934165E-7</v>
      </c>
      <c r="C151" s="1">
        <f t="shared" si="17"/>
        <v>0.90732543285590062</v>
      </c>
      <c r="D151" s="1">
        <f t="shared" si="18"/>
        <v>3.7805226368995859E-2</v>
      </c>
      <c r="E151" s="1">
        <f t="shared" si="19"/>
        <v>1.9924057667191492E-3</v>
      </c>
      <c r="F151" s="1">
        <f t="shared" si="15"/>
        <v>0.22683135821397515</v>
      </c>
      <c r="G151" s="1">
        <f t="shared" si="20"/>
        <v>6.5804170016122458E-3</v>
      </c>
      <c r="H151" s="1">
        <f t="shared" si="16"/>
        <v>2.2683135821397515</v>
      </c>
      <c r="I151" s="1">
        <f t="shared" si="21"/>
        <v>2.0809105678790595E-2</v>
      </c>
      <c r="J151" s="1">
        <f t="shared" si="22"/>
        <v>3.7805226368995859E-2</v>
      </c>
      <c r="K151" s="1">
        <f t="shared" si="23"/>
        <v>1.8188252188784833E-3</v>
      </c>
      <c r="L151" s="1">
        <f t="shared" si="24"/>
        <v>0.22683135821397515</v>
      </c>
      <c r="M151" s="1">
        <f t="shared" si="25"/>
        <v>5.6352758943453603E-3</v>
      </c>
      <c r="N151" s="1">
        <f t="shared" si="27"/>
        <v>2.2683135821397515</v>
      </c>
      <c r="O151" s="1">
        <f t="shared" si="26"/>
        <v>1.7820307069573719E-2</v>
      </c>
    </row>
    <row r="152" spans="1:15">
      <c r="A152" s="1">
        <v>6.9999999999999997E-18</v>
      </c>
      <c r="B152" s="1">
        <f t="shared" si="28"/>
        <v>4.2286592888338551E-7</v>
      </c>
      <c r="C152" s="1">
        <f t="shared" si="17"/>
        <v>0.84683707066550751</v>
      </c>
      <c r="D152" s="1">
        <f t="shared" si="18"/>
        <v>3.5284877944396144E-2</v>
      </c>
      <c r="E152" s="1">
        <f t="shared" si="19"/>
        <v>1.8595852243805974E-3</v>
      </c>
      <c r="F152" s="1">
        <f t="shared" si="15"/>
        <v>0.21170926766637688</v>
      </c>
      <c r="G152" s="1">
        <f t="shared" si="20"/>
        <v>6.141761616841779E-3</v>
      </c>
      <c r="H152" s="1">
        <f t="shared" si="16"/>
        <v>2.117092676663769</v>
      </c>
      <c r="I152" s="1">
        <f t="shared" si="21"/>
        <v>1.942195555501838E-2</v>
      </c>
      <c r="J152" s="1">
        <f t="shared" si="22"/>
        <v>3.5284877944396144E-2</v>
      </c>
      <c r="K152" s="1">
        <f t="shared" si="23"/>
        <v>1.69757515580594E-3</v>
      </c>
      <c r="L152" s="1">
        <f t="shared" si="24"/>
        <v>0.21170926766637688</v>
      </c>
      <c r="M152" s="1">
        <f t="shared" si="25"/>
        <v>5.2596153796082958E-3</v>
      </c>
      <c r="N152" s="1">
        <f t="shared" si="27"/>
        <v>2.117092676663769</v>
      </c>
      <c r="O152" s="1">
        <f t="shared" si="26"/>
        <v>1.6632364216013343E-2</v>
      </c>
    </row>
    <row r="153" spans="1:15">
      <c r="A153" s="1">
        <v>6.5000000000000001E-18</v>
      </c>
      <c r="B153" s="1">
        <f t="shared" si="28"/>
        <v>3.9266121967742942E-7</v>
      </c>
      <c r="C153" s="1">
        <f t="shared" si="17"/>
        <v>0.78634870847511384</v>
      </c>
      <c r="D153" s="1">
        <f t="shared" si="18"/>
        <v>3.2764529519796408E-2</v>
      </c>
      <c r="E153" s="1">
        <f t="shared" si="19"/>
        <v>1.7267637522803564E-3</v>
      </c>
      <c r="F153" s="1">
        <f t="shared" si="15"/>
        <v>0.19658717711877846</v>
      </c>
      <c r="G153" s="1">
        <f t="shared" si="20"/>
        <v>5.7031006496207209E-3</v>
      </c>
      <c r="H153" s="1">
        <f t="shared" si="16"/>
        <v>1.9658717711877847</v>
      </c>
      <c r="I153" s="1">
        <f t="shared" si="21"/>
        <v>1.8034787777987376E-2</v>
      </c>
      <c r="J153" s="1">
        <f t="shared" si="22"/>
        <v>3.2764529519796408E-2</v>
      </c>
      <c r="K153" s="1">
        <f t="shared" si="23"/>
        <v>1.5763243854137214E-3</v>
      </c>
      <c r="L153" s="1">
        <f t="shared" si="24"/>
        <v>0.19658717711877846</v>
      </c>
      <c r="M153" s="1">
        <f t="shared" si="25"/>
        <v>4.883951358778036E-3</v>
      </c>
      <c r="N153" s="1">
        <f t="shared" si="27"/>
        <v>1.9658717711877847</v>
      </c>
      <c r="O153" s="1">
        <f t="shared" si="26"/>
        <v>1.5444410275212782E-2</v>
      </c>
    </row>
    <row r="154" spans="1:15">
      <c r="A154" s="1">
        <v>5.9999999999999997E-18</v>
      </c>
      <c r="B154" s="1">
        <f t="shared" si="28"/>
        <v>3.6245651047147333E-7</v>
      </c>
      <c r="C154" s="1">
        <f t="shared" si="17"/>
        <v>0.72586034628472063</v>
      </c>
      <c r="D154" s="1">
        <f t="shared" si="18"/>
        <v>3.0244181095196693E-2</v>
      </c>
      <c r="E154" s="1">
        <f t="shared" si="19"/>
        <v>1.593941350403785E-3</v>
      </c>
      <c r="F154" s="1">
        <f t="shared" si="15"/>
        <v>0.18146508657118016</v>
      </c>
      <c r="G154" s="1">
        <f t="shared" si="20"/>
        <v>5.2644340997892239E-3</v>
      </c>
      <c r="H154" s="1">
        <f t="shared" si="16"/>
        <v>1.8146508657118017</v>
      </c>
      <c r="I154" s="1">
        <f t="shared" si="21"/>
        <v>1.6647602347192095E-2</v>
      </c>
      <c r="J154" s="1">
        <f t="shared" si="22"/>
        <v>3.0244181095196693E-2</v>
      </c>
      <c r="K154" s="1">
        <f t="shared" si="23"/>
        <v>1.455072907692545E-3</v>
      </c>
      <c r="L154" s="1">
        <f t="shared" si="24"/>
        <v>0.18146508657118016</v>
      </c>
      <c r="M154" s="1">
        <f t="shared" si="25"/>
        <v>4.5082838317809576E-3</v>
      </c>
      <c r="N154" s="1">
        <f t="shared" si="27"/>
        <v>1.8146508657118017</v>
      </c>
      <c r="O154" s="1">
        <f t="shared" si="26"/>
        <v>1.4256445246939226E-2</v>
      </c>
    </row>
    <row r="155" spans="1:15">
      <c r="A155" s="1">
        <v>5.5E-18</v>
      </c>
      <c r="B155" s="1">
        <f t="shared" si="28"/>
        <v>3.3225180126551724E-7</v>
      </c>
      <c r="C155" s="1">
        <f t="shared" si="17"/>
        <v>0.66537198409432741</v>
      </c>
      <c r="D155" s="1">
        <f t="shared" si="18"/>
        <v>2.7723832670596974E-2</v>
      </c>
      <c r="E155" s="1">
        <f t="shared" si="19"/>
        <v>1.4611180187362365E-3</v>
      </c>
      <c r="F155" s="1">
        <f t="shared" si="15"/>
        <v>0.16634299602358185</v>
      </c>
      <c r="G155" s="1">
        <f t="shared" si="20"/>
        <v>4.8257619671874218E-3</v>
      </c>
      <c r="H155" s="1">
        <f t="shared" si="16"/>
        <v>1.6634299602358185</v>
      </c>
      <c r="I155" s="1">
        <f t="shared" si="21"/>
        <v>1.5260399262126995E-2</v>
      </c>
      <c r="J155" s="1">
        <f t="shared" si="22"/>
        <v>2.7723832670596974E-2</v>
      </c>
      <c r="K155" s="1">
        <f t="shared" si="23"/>
        <v>1.333820722633126E-3</v>
      </c>
      <c r="L155" s="1">
        <f t="shared" si="24"/>
        <v>0.16634299602358185</v>
      </c>
      <c r="M155" s="1">
        <f t="shared" si="25"/>
        <v>4.1326127985434292E-3</v>
      </c>
      <c r="N155" s="1">
        <f t="shared" si="27"/>
        <v>1.6634299602358185</v>
      </c>
      <c r="O155" s="1">
        <f t="shared" si="26"/>
        <v>1.3068469130959812E-2</v>
      </c>
    </row>
    <row r="156" spans="1:15">
      <c r="A156" s="1">
        <v>5.0000000000000004E-18</v>
      </c>
      <c r="B156" s="1">
        <f t="shared" si="28"/>
        <v>3.0204709205956115E-7</v>
      </c>
      <c r="C156" s="1">
        <f t="shared" si="17"/>
        <v>0.60488362190393397</v>
      </c>
      <c r="D156" s="1">
        <f t="shared" si="18"/>
        <v>2.5203484245997249E-2</v>
      </c>
      <c r="E156" s="1">
        <f t="shared" si="19"/>
        <v>1.3282937572630655E-3</v>
      </c>
      <c r="F156" s="1">
        <f t="shared" si="15"/>
        <v>0.15122090547598349</v>
      </c>
      <c r="G156" s="1">
        <f t="shared" si="20"/>
        <v>4.3870842516554442E-3</v>
      </c>
      <c r="H156" s="1">
        <f t="shared" si="16"/>
        <v>1.5122090547598348</v>
      </c>
      <c r="I156" s="1">
        <f t="shared" si="21"/>
        <v>1.3873178522286523E-2</v>
      </c>
      <c r="J156" s="1">
        <f t="shared" si="22"/>
        <v>2.5203484245997249E-2</v>
      </c>
      <c r="K156" s="1">
        <f t="shared" si="23"/>
        <v>1.2125678302261794E-3</v>
      </c>
      <c r="L156" s="1">
        <f t="shared" si="24"/>
        <v>0.15122090547598349</v>
      </c>
      <c r="M156" s="1">
        <f t="shared" si="25"/>
        <v>3.7569382589918141E-3</v>
      </c>
      <c r="N156" s="1">
        <f t="shared" si="27"/>
        <v>1.5122090547598348</v>
      </c>
      <c r="O156" s="1">
        <f t="shared" si="26"/>
        <v>1.1880481927041697E-2</v>
      </c>
    </row>
    <row r="157" spans="1:15">
      <c r="A157" s="1">
        <v>4.4999999999999999E-18</v>
      </c>
      <c r="B157" s="1">
        <f t="shared" si="28"/>
        <v>2.7184238285360501E-7</v>
      </c>
      <c r="C157" s="1">
        <f t="shared" si="17"/>
        <v>0.54439525971354052</v>
      </c>
      <c r="D157" s="1">
        <f t="shared" si="18"/>
        <v>2.2683135821397523E-2</v>
      </c>
      <c r="E157" s="1">
        <f t="shared" si="19"/>
        <v>1.1954685659696278E-3</v>
      </c>
      <c r="F157" s="1">
        <f t="shared" si="15"/>
        <v>0.13609881492838513</v>
      </c>
      <c r="G157" s="1">
        <f t="shared" si="20"/>
        <v>3.9484009530334164E-3</v>
      </c>
      <c r="H157" s="1">
        <f t="shared" si="16"/>
        <v>1.3609881492838514</v>
      </c>
      <c r="I157" s="1">
        <f t="shared" si="21"/>
        <v>1.2485940127165113E-2</v>
      </c>
      <c r="J157" s="1">
        <f t="shared" si="22"/>
        <v>2.2683135821397523E-2</v>
      </c>
      <c r="K157" s="1">
        <f t="shared" si="23"/>
        <v>1.0913142304624205E-3</v>
      </c>
      <c r="L157" s="1">
        <f t="shared" si="24"/>
        <v>0.13609881492838513</v>
      </c>
      <c r="M157" s="1">
        <f t="shared" si="25"/>
        <v>3.3812602130524777E-3</v>
      </c>
      <c r="N157" s="1">
        <f t="shared" si="27"/>
        <v>1.3609881492838514</v>
      </c>
      <c r="O157" s="1">
        <f t="shared" si="26"/>
        <v>1.0692483634952026E-2</v>
      </c>
    </row>
    <row r="158" spans="1:15">
      <c r="A158" s="1">
        <v>4.0000000000000003E-18</v>
      </c>
      <c r="B158" s="1">
        <f t="shared" si="28"/>
        <v>2.4163767364764892E-7</v>
      </c>
      <c r="C158" s="1">
        <f t="shared" si="17"/>
        <v>0.48390689752314725</v>
      </c>
      <c r="D158" s="1">
        <f t="shared" si="18"/>
        <v>2.0162787396797801E-2</v>
      </c>
      <c r="E158" s="1">
        <f t="shared" si="19"/>
        <v>1.062642444841277E-3</v>
      </c>
      <c r="F158" s="1">
        <f t="shared" ref="F158:F200" si="29">C158*$C$11*1</f>
        <v>0.12097672438078681</v>
      </c>
      <c r="G158" s="1">
        <f t="shared" si="20"/>
        <v>3.5097120711614564E-3</v>
      </c>
      <c r="H158" s="1">
        <f t="shared" ref="H158:H200" si="30">C158*$C$11*10</f>
        <v>1.2097672438078682</v>
      </c>
      <c r="I158" s="1">
        <f t="shared" si="21"/>
        <v>1.1098684076257168E-2</v>
      </c>
      <c r="J158" s="1">
        <f t="shared" si="22"/>
        <v>2.0162787396797801E-2</v>
      </c>
      <c r="K158" s="1">
        <f t="shared" si="23"/>
        <v>9.7005992333256568E-4</v>
      </c>
      <c r="L158" s="1">
        <f t="shared" si="24"/>
        <v>0.12097672438078681</v>
      </c>
      <c r="M158" s="1">
        <f t="shared" si="25"/>
        <v>3.0055786606517846E-3</v>
      </c>
      <c r="N158" s="1">
        <f t="shared" si="27"/>
        <v>1.2097672438078682</v>
      </c>
      <c r="O158" s="1">
        <f t="shared" si="26"/>
        <v>9.5044742544579362E-3</v>
      </c>
    </row>
    <row r="159" spans="1:15">
      <c r="A159" s="1">
        <v>3.4999999999999999E-18</v>
      </c>
      <c r="B159" s="1">
        <f t="shared" si="28"/>
        <v>2.1143296444169275E-7</v>
      </c>
      <c r="C159" s="1">
        <f t="shared" ref="C159:C200" si="31">B159*PI()*($C$6/2)^2*$C$7^3*$C$8*$C$9*$C$10*3600</f>
        <v>0.42341853533275375</v>
      </c>
      <c r="D159" s="1">
        <f t="shared" ref="D159:D200" si="32">C159*$C$11/6</f>
        <v>1.7642438972198072E-2</v>
      </c>
      <c r="E159" s="1">
        <f t="shared" ref="E159:E200" si="33">D159/SQRT(D159+($C$24+$C$20)*2)</f>
        <v>9.298153938633669E-4</v>
      </c>
      <c r="F159" s="1">
        <f t="shared" si="29"/>
        <v>0.10585463383318844</v>
      </c>
      <c r="G159" s="1">
        <f t="shared" ref="G159:G200" si="34">F159/SQRT(F159+($C$25+$C$21)*2)</f>
        <v>3.0710176058796725E-3</v>
      </c>
      <c r="H159" s="1">
        <f t="shared" si="30"/>
        <v>1.0585463383318845</v>
      </c>
      <c r="I159" s="1">
        <f t="shared" ref="I159:I200" si="35">H159/SQRT(H159+($C$26+$C$22)*2)</f>
        <v>9.7114103690570698E-3</v>
      </c>
      <c r="J159" s="1">
        <f t="shared" ref="J159:J200" si="36">C159*$C$11/6</f>
        <v>1.7642438972198072E-2</v>
      </c>
      <c r="K159" s="1">
        <f t="shared" ref="K159:K200" si="37">J159/SQRT(J159+($D$24+$C$20)*2)</f>
        <v>8.4880490882732838E-4</v>
      </c>
      <c r="L159" s="1">
        <f t="shared" ref="L159:L200" si="38">C159*$C$11*1</f>
        <v>0.10585463383318844</v>
      </c>
      <c r="M159" s="1">
        <f t="shared" ref="M159:M200" si="39">L159/SQRT(L159+($D$25+$C$21)*2)</f>
        <v>2.6298936017160905E-3</v>
      </c>
      <c r="N159" s="1">
        <f t="shared" si="27"/>
        <v>1.0585463383318845</v>
      </c>
      <c r="O159" s="1">
        <f t="shared" ref="O159:O200" si="40">N159/SQRT(N159+($D$26+$C$22)*2)</f>
        <v>8.3164537853265517E-3</v>
      </c>
    </row>
    <row r="160" spans="1:15">
      <c r="A160" s="1">
        <v>2.9999999999999998E-18</v>
      </c>
      <c r="B160" s="1">
        <f t="shared" si="28"/>
        <v>1.8122825523573667E-7</v>
      </c>
      <c r="C160" s="1">
        <f t="shared" si="31"/>
        <v>0.36293017314236031</v>
      </c>
      <c r="D160" s="1">
        <f t="shared" si="32"/>
        <v>1.5122090547598346E-2</v>
      </c>
      <c r="E160" s="1">
        <f t="shared" si="33"/>
        <v>7.969874130212514E-4</v>
      </c>
      <c r="F160" s="1">
        <f t="shared" si="29"/>
        <v>9.0732543285590078E-2</v>
      </c>
      <c r="G160" s="1">
        <f t="shared" si="34"/>
        <v>2.63231755702817E-3</v>
      </c>
      <c r="H160" s="1">
        <f t="shared" si="30"/>
        <v>0.90732543285590084</v>
      </c>
      <c r="I160" s="1">
        <f t="shared" si="35"/>
        <v>8.3241190050591871E-3</v>
      </c>
      <c r="J160" s="1">
        <f t="shared" si="36"/>
        <v>1.5122090547598346E-2</v>
      </c>
      <c r="K160" s="1">
        <f t="shared" si="37"/>
        <v>7.2754918693742439E-4</v>
      </c>
      <c r="L160" s="1">
        <f t="shared" si="38"/>
        <v>9.0732543285590078E-2</v>
      </c>
      <c r="M160" s="1">
        <f t="shared" si="39"/>
        <v>2.2542050361717557E-3</v>
      </c>
      <c r="N160" s="1">
        <f t="shared" ref="N160:N200" si="41">C160*$C$11*10</f>
        <v>0.90732543285590084</v>
      </c>
      <c r="O160" s="1">
        <f t="shared" si="40"/>
        <v>7.1284222273249971E-3</v>
      </c>
    </row>
    <row r="161" spans="1:15">
      <c r="A161" s="1">
        <v>2.5000000000000002E-18</v>
      </c>
      <c r="B161" s="1">
        <f t="shared" si="28"/>
        <v>1.5102354602978058E-7</v>
      </c>
      <c r="C161" s="1">
        <f t="shared" si="31"/>
        <v>0.30244181095196698</v>
      </c>
      <c r="D161" s="1">
        <f t="shared" si="32"/>
        <v>1.2601742122998624E-2</v>
      </c>
      <c r="E161" s="1">
        <f t="shared" si="33"/>
        <v>6.6415850230028392E-4</v>
      </c>
      <c r="F161" s="1">
        <f t="shared" si="29"/>
        <v>7.5610452737991746E-2</v>
      </c>
      <c r="G161" s="1">
        <f t="shared" si="34"/>
        <v>2.1936119244470456E-3</v>
      </c>
      <c r="H161" s="1">
        <f t="shared" si="30"/>
        <v>0.7561045273799174</v>
      </c>
      <c r="I161" s="1">
        <f t="shared" si="35"/>
        <v>6.9368099837578585E-3</v>
      </c>
      <c r="J161" s="1">
        <f t="shared" si="36"/>
        <v>1.2601742122998624E-2</v>
      </c>
      <c r="K161" s="1">
        <f t="shared" si="37"/>
        <v>6.0629275765356817E-4</v>
      </c>
      <c r="L161" s="1">
        <f t="shared" si="38"/>
        <v>7.5610452737991746E-2</v>
      </c>
      <c r="M161" s="1">
        <f t="shared" si="39"/>
        <v>1.878512963945135E-3</v>
      </c>
      <c r="N161" s="1">
        <f t="shared" si="41"/>
        <v>0.7561045273799174</v>
      </c>
      <c r="O161" s="1">
        <f t="shared" si="40"/>
        <v>5.9403795802203873E-3</v>
      </c>
    </row>
    <row r="162" spans="1:15">
      <c r="A162" s="1">
        <v>2.0000000000000001E-18</v>
      </c>
      <c r="B162" s="1">
        <f t="shared" si="28"/>
        <v>1.2081883682382446E-7</v>
      </c>
      <c r="C162" s="1">
        <f t="shared" si="31"/>
        <v>0.24195344876157363</v>
      </c>
      <c r="D162" s="1">
        <f t="shared" si="32"/>
        <v>1.00813936983989E-2</v>
      </c>
      <c r="E162" s="1">
        <f t="shared" si="33"/>
        <v>5.3132866168581678E-4</v>
      </c>
      <c r="F162" s="1">
        <f t="shared" si="29"/>
        <v>6.0488362190393406E-2</v>
      </c>
      <c r="G162" s="1">
        <f t="shared" si="34"/>
        <v>1.7549007079763889E-3</v>
      </c>
      <c r="H162" s="1">
        <f t="shared" si="30"/>
        <v>0.60488362190393408</v>
      </c>
      <c r="I162" s="1">
        <f t="shared" si="35"/>
        <v>5.5494833046474071E-3</v>
      </c>
      <c r="J162" s="1">
        <f t="shared" si="36"/>
        <v>1.00813936983989E-2</v>
      </c>
      <c r="K162" s="1">
        <f t="shared" si="37"/>
        <v>4.8503562096647397E-4</v>
      </c>
      <c r="L162" s="1">
        <f t="shared" si="38"/>
        <v>6.0488362190393406E-2</v>
      </c>
      <c r="M162" s="1">
        <f t="shared" si="39"/>
        <v>1.5028173849625801E-3</v>
      </c>
      <c r="N162" s="1">
        <f t="shared" si="41"/>
        <v>0.60488362190393408</v>
      </c>
      <c r="O162" s="1">
        <f t="shared" si="40"/>
        <v>4.7523258437798307E-3</v>
      </c>
    </row>
    <row r="163" spans="1:15">
      <c r="A163" s="1">
        <v>1.4999999999999999E-18</v>
      </c>
      <c r="B163" s="1">
        <f t="shared" si="28"/>
        <v>9.0614127617868333E-8</v>
      </c>
      <c r="C163" s="1">
        <f t="shared" si="31"/>
        <v>0.18146508657118016</v>
      </c>
      <c r="D163" s="1">
        <f t="shared" si="32"/>
        <v>7.5610452737991732E-3</v>
      </c>
      <c r="E163" s="1">
        <f t="shared" si="33"/>
        <v>3.9849789116320274E-4</v>
      </c>
      <c r="F163" s="1">
        <f t="shared" si="29"/>
        <v>4.5366271642795039E-2</v>
      </c>
      <c r="G163" s="1">
        <f t="shared" si="34"/>
        <v>1.3161839074562821E-3</v>
      </c>
      <c r="H163" s="1">
        <f t="shared" si="30"/>
        <v>0.45366271642795042</v>
      </c>
      <c r="I163" s="1">
        <f t="shared" si="35"/>
        <v>4.1621389672221272E-3</v>
      </c>
      <c r="J163" s="1">
        <f t="shared" si="36"/>
        <v>7.5610452737991732E-3</v>
      </c>
      <c r="K163" s="1">
        <f t="shared" si="37"/>
        <v>3.6377777686685592E-4</v>
      </c>
      <c r="L163" s="1">
        <f t="shared" si="38"/>
        <v>4.5366271642795039E-2</v>
      </c>
      <c r="M163" s="1">
        <f t="shared" si="39"/>
        <v>1.1271182991504417E-3</v>
      </c>
      <c r="N163" s="1">
        <f t="shared" si="41"/>
        <v>0.45366271642795042</v>
      </c>
      <c r="O163" s="1">
        <f t="shared" si="40"/>
        <v>3.5642610177704227E-3</v>
      </c>
    </row>
    <row r="164" spans="1:15">
      <c r="A164" s="1">
        <v>9.9999999999999892E-19</v>
      </c>
      <c r="B164" s="1">
        <f t="shared" si="28"/>
        <v>6.0409418411912151E-8</v>
      </c>
      <c r="C164" s="1">
        <f t="shared" si="31"/>
        <v>0.12097672438078665</v>
      </c>
      <c r="D164" s="1">
        <f t="shared" si="32"/>
        <v>5.0406968491994433E-3</v>
      </c>
      <c r="E164" s="1">
        <f t="shared" si="33"/>
        <v>2.6566619071779384E-4</v>
      </c>
      <c r="F164" s="1">
        <f t="shared" si="29"/>
        <v>3.0244181095196662E-2</v>
      </c>
      <c r="G164" s="1">
        <f t="shared" si="34"/>
        <v>8.7746152272680255E-4</v>
      </c>
      <c r="H164" s="1">
        <f t="shared" si="30"/>
        <v>0.30244181095196659</v>
      </c>
      <c r="I164" s="1">
        <f t="shared" si="35"/>
        <v>2.774776970976296E-3</v>
      </c>
      <c r="J164" s="1">
        <f t="shared" si="36"/>
        <v>5.0406968491994433E-3</v>
      </c>
      <c r="K164" s="1">
        <f t="shared" si="37"/>
        <v>2.4251922534542812E-4</v>
      </c>
      <c r="L164" s="1">
        <f t="shared" si="38"/>
        <v>3.0244181095196662E-2</v>
      </c>
      <c r="M164" s="1">
        <f t="shared" si="39"/>
        <v>7.5141570643506817E-4</v>
      </c>
      <c r="N164" s="1">
        <f t="shared" si="41"/>
        <v>0.30244181095196659</v>
      </c>
      <c r="O164" s="1">
        <f t="shared" si="40"/>
        <v>2.3761851019592569E-3</v>
      </c>
    </row>
    <row r="165" spans="1:15">
      <c r="A165" s="1">
        <v>9.4999999999999995E-19</v>
      </c>
      <c r="B165" s="1">
        <f t="shared" si="28"/>
        <v>5.7388947491316609E-8</v>
      </c>
      <c r="C165" s="1">
        <f t="shared" si="31"/>
        <v>0.11492788816174743</v>
      </c>
      <c r="D165" s="1">
        <f t="shared" si="32"/>
        <v>4.7886620067394761E-3</v>
      </c>
      <c r="E165" s="1">
        <f t="shared" si="33"/>
        <v>2.5238296952693562E-4</v>
      </c>
      <c r="F165" s="1">
        <f t="shared" si="29"/>
        <v>2.8731972040436857E-2</v>
      </c>
      <c r="G165" s="1">
        <f t="shared" si="34"/>
        <v>8.3358897711618269E-4</v>
      </c>
      <c r="H165" s="1">
        <f t="shared" si="30"/>
        <v>0.28731972040436859</v>
      </c>
      <c r="I165" s="1">
        <f t="shared" si="35"/>
        <v>2.6360398000971155E-3</v>
      </c>
      <c r="J165" s="1">
        <f t="shared" si="36"/>
        <v>4.7886620067394761E-3</v>
      </c>
      <c r="K165" s="1">
        <f t="shared" si="37"/>
        <v>2.3039333128472859E-4</v>
      </c>
      <c r="L165" s="1">
        <f t="shared" si="38"/>
        <v>2.8731972040436857E-2</v>
      </c>
      <c r="M165" s="1">
        <f t="shared" si="39"/>
        <v>7.1384525428101796E-4</v>
      </c>
      <c r="N165" s="1">
        <f t="shared" si="41"/>
        <v>0.28731972040436859</v>
      </c>
      <c r="O165" s="1">
        <f t="shared" si="40"/>
        <v>2.2573769004300796E-3</v>
      </c>
    </row>
    <row r="166" spans="1:15">
      <c r="A166" s="1">
        <v>9.0000000000000003E-19</v>
      </c>
      <c r="B166" s="1">
        <f t="shared" si="28"/>
        <v>5.4368476570721E-8</v>
      </c>
      <c r="C166" s="1">
        <f t="shared" si="31"/>
        <v>0.10887905194270811</v>
      </c>
      <c r="D166" s="1">
        <f t="shared" si="32"/>
        <v>4.5366271642795046E-3</v>
      </c>
      <c r="E166" s="1">
        <f t="shared" si="33"/>
        <v>2.3909973903668807E-4</v>
      </c>
      <c r="F166" s="1">
        <f t="shared" si="29"/>
        <v>2.7219762985677028E-2</v>
      </c>
      <c r="G166" s="1">
        <f t="shared" si="34"/>
        <v>7.8971637566170941E-4</v>
      </c>
      <c r="H166" s="1">
        <f t="shared" si="30"/>
        <v>0.27219762985677026</v>
      </c>
      <c r="I166" s="1">
        <f t="shared" si="35"/>
        <v>2.4973024526241633E-3</v>
      </c>
      <c r="J166" s="1">
        <f t="shared" si="36"/>
        <v>4.5366271642795046E-3</v>
      </c>
      <c r="K166" s="1">
        <f t="shared" si="37"/>
        <v>2.1826743014970862E-4</v>
      </c>
      <c r="L166" s="1">
        <f t="shared" si="38"/>
        <v>2.7219762985677028E-2</v>
      </c>
      <c r="M166" s="1">
        <f t="shared" si="39"/>
        <v>6.7627476705712467E-4</v>
      </c>
      <c r="N166" s="1">
        <f t="shared" si="41"/>
        <v>0.27219762985677026</v>
      </c>
      <c r="O166" s="1">
        <f t="shared" si="40"/>
        <v>2.1385685880003203E-3</v>
      </c>
    </row>
    <row r="167" spans="1:15">
      <c r="A167" s="1">
        <v>8.5E-19</v>
      </c>
      <c r="B167" s="1">
        <f t="shared" si="28"/>
        <v>5.1348005650125391E-8</v>
      </c>
      <c r="C167" s="1">
        <f t="shared" si="31"/>
        <v>0.10283021572366878</v>
      </c>
      <c r="D167" s="1">
        <f t="shared" si="32"/>
        <v>4.2845923218195322E-3</v>
      </c>
      <c r="E167" s="1">
        <f t="shared" si="33"/>
        <v>2.2581649924703674E-4</v>
      </c>
      <c r="F167" s="1">
        <f t="shared" si="29"/>
        <v>2.5707553930917195E-2</v>
      </c>
      <c r="G167" s="1">
        <f t="shared" si="34"/>
        <v>7.4584371836322301E-4</v>
      </c>
      <c r="H167" s="1">
        <f t="shared" si="30"/>
        <v>0.25707553930917193</v>
      </c>
      <c r="I167" s="1">
        <f t="shared" si="35"/>
        <v>2.3585649285569358E-3</v>
      </c>
      <c r="J167" s="1">
        <f t="shared" si="36"/>
        <v>4.2845923218195322E-3</v>
      </c>
      <c r="K167" s="1">
        <f t="shared" si="37"/>
        <v>2.0614152194035906E-4</v>
      </c>
      <c r="L167" s="1">
        <f t="shared" si="38"/>
        <v>2.5707553930917195E-2</v>
      </c>
      <c r="M167" s="1">
        <f t="shared" si="39"/>
        <v>6.3870424476331522E-4</v>
      </c>
      <c r="N167" s="1">
        <f t="shared" si="41"/>
        <v>0.25707553930917193</v>
      </c>
      <c r="O167" s="1">
        <f t="shared" si="40"/>
        <v>2.0197601646697481E-3</v>
      </c>
    </row>
    <row r="168" spans="1:15">
      <c r="A168" s="1">
        <v>7.9999999999999998E-19</v>
      </c>
      <c r="B168" s="1">
        <f t="shared" si="28"/>
        <v>4.8327534729529775E-8</v>
      </c>
      <c r="C168" s="1">
        <f t="shared" si="31"/>
        <v>9.6781379504629422E-2</v>
      </c>
      <c r="D168" s="1">
        <f t="shared" si="32"/>
        <v>4.032557479359559E-3</v>
      </c>
      <c r="E168" s="1">
        <f t="shared" si="33"/>
        <v>2.1253325015796703E-4</v>
      </c>
      <c r="F168" s="1">
        <f t="shared" si="29"/>
        <v>2.4195344876157356E-2</v>
      </c>
      <c r="G168" s="1">
        <f t="shared" si="34"/>
        <v>7.0197100522056337E-4</v>
      </c>
      <c r="H168" s="1">
        <f t="shared" si="30"/>
        <v>0.24195344876157354</v>
      </c>
      <c r="I168" s="1">
        <f t="shared" si="35"/>
        <v>2.2198272278949288E-3</v>
      </c>
      <c r="J168" s="1">
        <f t="shared" si="36"/>
        <v>4.032557479359559E-3</v>
      </c>
      <c r="K168" s="1">
        <f t="shared" si="37"/>
        <v>1.9401560665667064E-4</v>
      </c>
      <c r="L168" s="1">
        <f t="shared" si="38"/>
        <v>2.4195344876157356E-2</v>
      </c>
      <c r="M168" s="1">
        <f t="shared" si="39"/>
        <v>6.0113368739951557E-4</v>
      </c>
      <c r="N168" s="1">
        <f t="shared" si="41"/>
        <v>0.24195344876157354</v>
      </c>
      <c r="O168" s="1">
        <f t="shared" si="40"/>
        <v>1.90095163043813E-3</v>
      </c>
    </row>
    <row r="169" spans="1:15">
      <c r="A169" s="1">
        <v>7.4999999999999996E-19</v>
      </c>
      <c r="B169" s="1">
        <f t="shared" si="28"/>
        <v>4.5307063808934167E-8</v>
      </c>
      <c r="C169" s="1">
        <f t="shared" si="31"/>
        <v>9.0732543285590078E-2</v>
      </c>
      <c r="D169" s="1">
        <f t="shared" si="32"/>
        <v>3.7805226368995866E-3</v>
      </c>
      <c r="E169" s="1">
        <f t="shared" si="33"/>
        <v>1.9924999176946433E-4</v>
      </c>
      <c r="F169" s="1">
        <f t="shared" si="29"/>
        <v>2.268313582139752E-2</v>
      </c>
      <c r="G169" s="1">
        <f t="shared" si="34"/>
        <v>6.5809823623357131E-4</v>
      </c>
      <c r="H169" s="1">
        <f t="shared" si="30"/>
        <v>0.22683135821397521</v>
      </c>
      <c r="I169" s="1">
        <f t="shared" si="35"/>
        <v>2.0810893506376356E-3</v>
      </c>
      <c r="J169" s="1">
        <f t="shared" si="36"/>
        <v>3.7805226368995866E-3</v>
      </c>
      <c r="K169" s="1">
        <f t="shared" si="37"/>
        <v>1.8188968429863416E-4</v>
      </c>
      <c r="L169" s="1">
        <f t="shared" si="38"/>
        <v>2.268313582139752E-2</v>
      </c>
      <c r="M169" s="1">
        <f t="shared" si="39"/>
        <v>5.6356309496565264E-4</v>
      </c>
      <c r="N169" s="1">
        <f t="shared" si="41"/>
        <v>0.22683135821397521</v>
      </c>
      <c r="O169" s="1">
        <f t="shared" si="40"/>
        <v>1.7821429853052343E-3</v>
      </c>
    </row>
    <row r="170" spans="1:15">
      <c r="A170" s="1">
        <v>7.0000000000000003E-19</v>
      </c>
      <c r="B170" s="1">
        <f t="shared" si="28"/>
        <v>4.2286592888338551E-8</v>
      </c>
      <c r="C170" s="1">
        <f t="shared" si="31"/>
        <v>8.4683707066550734E-2</v>
      </c>
      <c r="D170" s="1">
        <f t="shared" si="32"/>
        <v>3.5284877944396138E-3</v>
      </c>
      <c r="E170" s="1">
        <f t="shared" si="33"/>
        <v>1.8596672408151391E-4</v>
      </c>
      <c r="F170" s="1">
        <f t="shared" si="29"/>
        <v>2.1170926766637684E-2</v>
      </c>
      <c r="G170" s="1">
        <f t="shared" si="34"/>
        <v>6.1422541140208659E-4</v>
      </c>
      <c r="H170" s="1">
        <f t="shared" si="30"/>
        <v>0.21170926766637682</v>
      </c>
      <c r="I170" s="1">
        <f t="shared" si="35"/>
        <v>1.9423512967845504E-3</v>
      </c>
      <c r="J170" s="1">
        <f t="shared" si="36"/>
        <v>3.5284877944396138E-3</v>
      </c>
      <c r="K170" s="1">
        <f t="shared" si="37"/>
        <v>1.6976375486624026E-4</v>
      </c>
      <c r="L170" s="1">
        <f t="shared" si="38"/>
        <v>2.1170926766637684E-2</v>
      </c>
      <c r="M170" s="1">
        <f t="shared" si="39"/>
        <v>5.2599246746165248E-4</v>
      </c>
      <c r="N170" s="1">
        <f t="shared" si="41"/>
        <v>0.21170926766637682</v>
      </c>
      <c r="O170" s="1">
        <f t="shared" si="40"/>
        <v>1.6633342292708265E-3</v>
      </c>
    </row>
    <row r="171" spans="1:15">
      <c r="A171" s="1">
        <v>6.5000000000000001E-19</v>
      </c>
      <c r="B171" s="1">
        <f t="shared" si="28"/>
        <v>3.9266121967742942E-8</v>
      </c>
      <c r="C171" s="1">
        <f t="shared" si="31"/>
        <v>7.8634870847511418E-2</v>
      </c>
      <c r="D171" s="1">
        <f t="shared" si="32"/>
        <v>3.2764529519796423E-3</v>
      </c>
      <c r="E171" s="1">
        <f t="shared" si="33"/>
        <v>1.7268344709410127E-4</v>
      </c>
      <c r="F171" s="1">
        <f t="shared" si="29"/>
        <v>1.9658717711877854E-2</v>
      </c>
      <c r="G171" s="1">
        <f t="shared" si="34"/>
        <v>5.7035253072594929E-4</v>
      </c>
      <c r="H171" s="1">
        <f t="shared" si="30"/>
        <v>0.19658717711877854</v>
      </c>
      <c r="I171" s="1">
        <f t="shared" si="35"/>
        <v>1.8036130663351686E-3</v>
      </c>
      <c r="J171" s="1">
        <f t="shared" si="36"/>
        <v>3.2764529519796423E-3</v>
      </c>
      <c r="K171" s="1">
        <f t="shared" si="37"/>
        <v>1.5763781835947979E-4</v>
      </c>
      <c r="L171" s="1">
        <f t="shared" si="38"/>
        <v>1.9658717711877854E-2</v>
      </c>
      <c r="M171" s="1">
        <f t="shared" si="39"/>
        <v>4.8842180488744159E-4</v>
      </c>
      <c r="N171" s="1">
        <f t="shared" si="41"/>
        <v>0.19658717711877854</v>
      </c>
      <c r="O171" s="1">
        <f t="shared" si="40"/>
        <v>1.5445253623346757E-3</v>
      </c>
    </row>
    <row r="172" spans="1:15">
      <c r="A172" s="1">
        <v>6.0000000000000104E-19</v>
      </c>
      <c r="B172" s="1">
        <f t="shared" ref="B172:B200" si="42">A172*$C$4/($C$2*$C$3/(1.2*10^-7))</f>
        <v>3.6245651047147399E-8</v>
      </c>
      <c r="C172" s="1">
        <f t="shared" si="31"/>
        <v>7.2586034628472199E-2</v>
      </c>
      <c r="D172" s="1">
        <f t="shared" si="32"/>
        <v>3.0244181095196751E-3</v>
      </c>
      <c r="E172" s="1">
        <f t="shared" si="33"/>
        <v>1.5940016080721186E-4</v>
      </c>
      <c r="F172" s="1">
        <f t="shared" si="29"/>
        <v>1.814650865711805E-2</v>
      </c>
      <c r="G172" s="1">
        <f t="shared" si="34"/>
        <v>5.2647959420500014E-4</v>
      </c>
      <c r="H172" s="1">
        <f t="shared" si="30"/>
        <v>0.18146508657118049</v>
      </c>
      <c r="I172" s="1">
        <f t="shared" si="35"/>
        <v>1.6648746592889858E-3</v>
      </c>
      <c r="J172" s="1">
        <f t="shared" si="36"/>
        <v>3.0244181095196751E-3</v>
      </c>
      <c r="K172" s="1">
        <f t="shared" si="37"/>
        <v>1.4551187477834351E-4</v>
      </c>
      <c r="L172" s="1">
        <f t="shared" si="38"/>
        <v>1.814650865711805E-2</v>
      </c>
      <c r="M172" s="1">
        <f t="shared" si="39"/>
        <v>4.5085110724294689E-4</v>
      </c>
      <c r="N172" s="1">
        <f t="shared" si="41"/>
        <v>0.18146508657118049</v>
      </c>
      <c r="O172" s="1">
        <f t="shared" si="40"/>
        <v>1.425716384496549E-3</v>
      </c>
    </row>
    <row r="173" spans="1:15">
      <c r="A173" s="1">
        <v>5.5000000000000102E-19</v>
      </c>
      <c r="B173" s="1">
        <f t="shared" si="42"/>
        <v>3.3225180126551784E-8</v>
      </c>
      <c r="C173" s="1">
        <f t="shared" si="31"/>
        <v>6.6537198409432854E-2</v>
      </c>
      <c r="D173" s="1">
        <f t="shared" si="32"/>
        <v>2.7723832670597023E-3</v>
      </c>
      <c r="E173" s="1">
        <f t="shared" si="33"/>
        <v>1.4611686522083056E-4</v>
      </c>
      <c r="F173" s="1">
        <f t="shared" si="29"/>
        <v>1.6634299602358214E-2</v>
      </c>
      <c r="G173" s="1">
        <f t="shared" si="34"/>
        <v>4.8260660183907771E-4</v>
      </c>
      <c r="H173" s="1">
        <f t="shared" si="30"/>
        <v>0.16634299602358213</v>
      </c>
      <c r="I173" s="1">
        <f t="shared" si="35"/>
        <v>1.5261360756454909E-3</v>
      </c>
      <c r="J173" s="1">
        <f t="shared" si="36"/>
        <v>2.7723832670597023E-3</v>
      </c>
      <c r="K173" s="1">
        <f t="shared" si="37"/>
        <v>1.3338592412282175E-4</v>
      </c>
      <c r="L173" s="1">
        <f t="shared" si="38"/>
        <v>1.6634299602358214E-2</v>
      </c>
      <c r="M173" s="1">
        <f t="shared" si="39"/>
        <v>4.132803745280933E-4</v>
      </c>
      <c r="N173" s="1">
        <f t="shared" si="41"/>
        <v>0.16634299602358213</v>
      </c>
      <c r="O173" s="1">
        <f t="shared" si="40"/>
        <v>1.3069072957562103E-3</v>
      </c>
    </row>
    <row r="174" spans="1:15">
      <c r="A174" s="1">
        <v>5.00000000000001E-19</v>
      </c>
      <c r="B174" s="1">
        <f t="shared" si="42"/>
        <v>3.0204709205956168E-8</v>
      </c>
      <c r="C174" s="1">
        <f t="shared" si="31"/>
        <v>6.0488362190393503E-2</v>
      </c>
      <c r="D174" s="1">
        <f t="shared" si="32"/>
        <v>2.5203484245997295E-3</v>
      </c>
      <c r="E174" s="1">
        <f t="shared" si="33"/>
        <v>1.3283356033494298E-4</v>
      </c>
      <c r="F174" s="1">
        <f t="shared" si="29"/>
        <v>1.5122090547598376E-2</v>
      </c>
      <c r="G174" s="1">
        <f t="shared" si="34"/>
        <v>4.3873355362802262E-4</v>
      </c>
      <c r="H174" s="1">
        <f t="shared" si="30"/>
        <v>0.15122090547598377</v>
      </c>
      <c r="I174" s="1">
        <f t="shared" si="35"/>
        <v>1.3873973154041816E-3</v>
      </c>
      <c r="J174" s="1">
        <f t="shared" si="36"/>
        <v>2.5203484245997295E-3</v>
      </c>
      <c r="K174" s="1">
        <f t="shared" si="37"/>
        <v>1.2125996639290545E-4</v>
      </c>
      <c r="L174" s="1">
        <f t="shared" si="38"/>
        <v>1.5122090547598376E-2</v>
      </c>
      <c r="M174" s="1">
        <f t="shared" si="39"/>
        <v>3.7570960674280786E-4</v>
      </c>
      <c r="N174" s="1">
        <f t="shared" si="41"/>
        <v>0.15122090547598377</v>
      </c>
      <c r="O174" s="1">
        <f t="shared" si="40"/>
        <v>1.1880980961134285E-3</v>
      </c>
    </row>
    <row r="175" spans="1:15">
      <c r="A175" s="1">
        <v>4.5000000000000098E-19</v>
      </c>
      <c r="B175" s="1">
        <f t="shared" si="42"/>
        <v>2.7184238285360559E-8</v>
      </c>
      <c r="C175" s="1">
        <f t="shared" si="31"/>
        <v>5.4439525971354173E-2</v>
      </c>
      <c r="D175" s="1">
        <f t="shared" si="32"/>
        <v>2.2683135821397571E-3</v>
      </c>
      <c r="E175" s="1">
        <f t="shared" si="33"/>
        <v>1.1955024614953452E-4</v>
      </c>
      <c r="F175" s="1">
        <f t="shared" si="29"/>
        <v>1.3609881492838543E-2</v>
      </c>
      <c r="G175" s="1">
        <f t="shared" si="34"/>
        <v>3.9486044957167532E-4</v>
      </c>
      <c r="H175" s="1">
        <f t="shared" si="30"/>
        <v>0.13609881492838544</v>
      </c>
      <c r="I175" s="1">
        <f t="shared" si="35"/>
        <v>1.2486583785645518E-3</v>
      </c>
      <c r="J175" s="1">
        <f t="shared" si="36"/>
        <v>2.2683135821397571E-3</v>
      </c>
      <c r="K175" s="1">
        <f t="shared" si="37"/>
        <v>1.0913400158858534E-4</v>
      </c>
      <c r="L175" s="1">
        <f t="shared" si="38"/>
        <v>1.3609881492838543E-2</v>
      </c>
      <c r="M175" s="1">
        <f t="shared" si="39"/>
        <v>3.3813880388701705E-4</v>
      </c>
      <c r="N175" s="1">
        <f t="shared" si="41"/>
        <v>0.13609881492838544</v>
      </c>
      <c r="O175" s="1">
        <f t="shared" si="40"/>
        <v>1.0692887855679708E-3</v>
      </c>
    </row>
    <row r="176" spans="1:15">
      <c r="A176" s="1">
        <v>4.00000000000001E-19</v>
      </c>
      <c r="B176" s="1">
        <f t="shared" si="42"/>
        <v>2.4163767364764951E-8</v>
      </c>
      <c r="C176" s="1">
        <f t="shared" si="31"/>
        <v>4.8390689752314829E-2</v>
      </c>
      <c r="D176" s="1">
        <f t="shared" si="32"/>
        <v>2.0162787396797847E-3</v>
      </c>
      <c r="E176" s="1">
        <f t="shared" si="33"/>
        <v>1.0626692266459051E-4</v>
      </c>
      <c r="F176" s="1">
        <f t="shared" si="29"/>
        <v>1.2097672438078707E-2</v>
      </c>
      <c r="G176" s="1">
        <f t="shared" si="34"/>
        <v>3.5098728966987558E-4</v>
      </c>
      <c r="H176" s="1">
        <f t="shared" si="30"/>
        <v>0.12097672438078708</v>
      </c>
      <c r="I176" s="1">
        <f t="shared" si="35"/>
        <v>1.1099192651260956E-3</v>
      </c>
      <c r="J176" s="1">
        <f t="shared" si="36"/>
        <v>2.0162787396797847E-3</v>
      </c>
      <c r="K176" s="1">
        <f t="shared" si="37"/>
        <v>9.7008029709852136E-5</v>
      </c>
      <c r="L176" s="1">
        <f t="shared" si="38"/>
        <v>1.2097672438078707E-2</v>
      </c>
      <c r="M176" s="1">
        <f t="shared" si="39"/>
        <v>3.0056796596064709E-4</v>
      </c>
      <c r="N176" s="1">
        <f t="shared" si="41"/>
        <v>0.12097672438078708</v>
      </c>
      <c r="O176" s="1">
        <f t="shared" si="40"/>
        <v>9.5047936411960432E-4</v>
      </c>
    </row>
    <row r="177" spans="1:15">
      <c r="A177" s="1">
        <v>3.5000000000000098E-19</v>
      </c>
      <c r="B177" s="1">
        <f t="shared" si="42"/>
        <v>2.1143296444169335E-8</v>
      </c>
      <c r="C177" s="1">
        <f t="shared" si="31"/>
        <v>4.2341853533275485E-2</v>
      </c>
      <c r="D177" s="1">
        <f t="shared" si="32"/>
        <v>1.7642438972198119E-3</v>
      </c>
      <c r="E177" s="1">
        <f t="shared" si="33"/>
        <v>9.2983589880096253E-5</v>
      </c>
      <c r="F177" s="1">
        <f t="shared" si="29"/>
        <v>1.0585463383318871E-2</v>
      </c>
      <c r="G177" s="1">
        <f t="shared" si="34"/>
        <v>3.0711407392246357E-4</v>
      </c>
      <c r="H177" s="1">
        <f t="shared" si="30"/>
        <v>0.10585463383318872</v>
      </c>
      <c r="I177" s="1">
        <f t="shared" si="35"/>
        <v>9.7117997508830694E-4</v>
      </c>
      <c r="J177" s="1">
        <f t="shared" si="36"/>
        <v>1.7642438972198119E-3</v>
      </c>
      <c r="K177" s="1">
        <f t="shared" si="37"/>
        <v>8.4882050756696499E-5</v>
      </c>
      <c r="L177" s="1">
        <f t="shared" si="38"/>
        <v>1.0585463383318871E-2</v>
      </c>
      <c r="M177" s="1">
        <f t="shared" si="39"/>
        <v>2.6299709296362438E-4</v>
      </c>
      <c r="N177" s="1">
        <f t="shared" si="41"/>
        <v>0.10585463383318872</v>
      </c>
      <c r="O177" s="1">
        <f t="shared" si="40"/>
        <v>8.3166983176809586E-4</v>
      </c>
    </row>
    <row r="178" spans="1:15">
      <c r="A178" s="1">
        <v>3.00000000000001E-19</v>
      </c>
      <c r="B178" s="1">
        <f t="shared" si="42"/>
        <v>1.8122825523573726E-8</v>
      </c>
      <c r="C178" s="1">
        <f t="shared" si="31"/>
        <v>3.6293017314236148E-2</v>
      </c>
      <c r="D178" s="1">
        <f t="shared" si="32"/>
        <v>1.5122090547598395E-3</v>
      </c>
      <c r="E178" s="1">
        <f t="shared" si="33"/>
        <v>7.9700247796037174E-5</v>
      </c>
      <c r="F178" s="1">
        <f t="shared" si="29"/>
        <v>9.073254328559037E-3</v>
      </c>
      <c r="G178" s="1">
        <f t="shared" si="34"/>
        <v>2.6324080232927944E-4</v>
      </c>
      <c r="H178" s="1">
        <f t="shared" si="30"/>
        <v>9.073254328559037E-2</v>
      </c>
      <c r="I178" s="1">
        <f t="shared" si="35"/>
        <v>8.3244050845068069E-4</v>
      </c>
      <c r="J178" s="1">
        <f t="shared" si="36"/>
        <v>1.5122090547598395E-3</v>
      </c>
      <c r="K178" s="1">
        <f t="shared" si="37"/>
        <v>7.2756064729109231E-5</v>
      </c>
      <c r="L178" s="1">
        <f t="shared" si="38"/>
        <v>9.073254328559037E-3</v>
      </c>
      <c r="M178" s="1">
        <f t="shared" si="39"/>
        <v>2.2542618489587526E-4</v>
      </c>
      <c r="N178" s="1">
        <f t="shared" si="41"/>
        <v>9.073254328559037E-2</v>
      </c>
      <c r="O178" s="1">
        <f t="shared" si="40"/>
        <v>7.1286018851321291E-4</v>
      </c>
    </row>
    <row r="179" spans="1:15">
      <c r="A179" s="1">
        <v>2.5000000000000098E-19</v>
      </c>
      <c r="B179" s="1">
        <f t="shared" si="42"/>
        <v>1.5102354602978114E-8</v>
      </c>
      <c r="C179" s="1">
        <f t="shared" si="31"/>
        <v>3.0244181095196814E-2</v>
      </c>
      <c r="D179" s="1">
        <f t="shared" si="32"/>
        <v>1.2601742122998673E-3</v>
      </c>
      <c r="E179" s="1">
        <f t="shared" si="33"/>
        <v>6.6416896412398597E-5</v>
      </c>
      <c r="F179" s="1">
        <f t="shared" si="29"/>
        <v>7.5610452737992035E-3</v>
      </c>
      <c r="G179" s="1">
        <f t="shared" si="34"/>
        <v>2.193674748901631E-4</v>
      </c>
      <c r="H179" s="1">
        <f t="shared" si="30"/>
        <v>7.5610452737992037E-2</v>
      </c>
      <c r="I179" s="1">
        <f t="shared" si="35"/>
        <v>6.9370086521271072E-4</v>
      </c>
      <c r="J179" s="1">
        <f t="shared" si="36"/>
        <v>1.2601742122998673E-3</v>
      </c>
      <c r="K179" s="1">
        <f t="shared" si="37"/>
        <v>6.0630071627080996E-5</v>
      </c>
      <c r="L179" s="1">
        <f t="shared" si="38"/>
        <v>7.5610452737992035E-3</v>
      </c>
      <c r="M179" s="1">
        <f t="shared" si="39"/>
        <v>1.8785524175732608E-4</v>
      </c>
      <c r="N179" s="1">
        <f t="shared" si="41"/>
        <v>7.5610452737992037E-2</v>
      </c>
      <c r="O179" s="1">
        <f t="shared" si="40"/>
        <v>5.9405043435472238E-4</v>
      </c>
    </row>
    <row r="180" spans="1:15">
      <c r="A180" s="1">
        <v>2.0000000000000101E-19</v>
      </c>
      <c r="B180" s="1">
        <f t="shared" si="42"/>
        <v>1.2081883682382503E-8</v>
      </c>
      <c r="C180" s="1">
        <f t="shared" si="31"/>
        <v>2.419534487615748E-2</v>
      </c>
      <c r="D180" s="1">
        <f t="shared" si="32"/>
        <v>1.0081393698398949E-3</v>
      </c>
      <c r="E180" s="1">
        <f t="shared" si="33"/>
        <v>5.3133535729165837E-5</v>
      </c>
      <c r="F180" s="1">
        <f t="shared" si="29"/>
        <v>6.0488362190393701E-3</v>
      </c>
      <c r="G180" s="1">
        <f t="shared" si="34"/>
        <v>1.7549409160495471E-4</v>
      </c>
      <c r="H180" s="1">
        <f t="shared" si="30"/>
        <v>6.0488362190393705E-2</v>
      </c>
      <c r="I180" s="1">
        <f t="shared" si="35"/>
        <v>5.5496104537389136E-4</v>
      </c>
      <c r="J180" s="1">
        <f t="shared" si="36"/>
        <v>1.0081393698398949E-3</v>
      </c>
      <c r="K180" s="1">
        <f t="shared" si="37"/>
        <v>4.8504071450602503E-5</v>
      </c>
      <c r="L180" s="1">
        <f t="shared" si="38"/>
        <v>6.0488362190393701E-3</v>
      </c>
      <c r="M180" s="1">
        <f t="shared" si="39"/>
        <v>1.5028426354790316E-4</v>
      </c>
      <c r="N180" s="1">
        <f t="shared" si="41"/>
        <v>6.0488362190393705E-2</v>
      </c>
      <c r="O180" s="1">
        <f t="shared" si="40"/>
        <v>4.7524056929239131E-4</v>
      </c>
    </row>
    <row r="181" spans="1:15">
      <c r="A181" s="1">
        <v>1.5000000000000101E-19</v>
      </c>
      <c r="B181" s="1">
        <f t="shared" si="42"/>
        <v>9.0614127617868945E-9</v>
      </c>
      <c r="C181" s="1">
        <f t="shared" si="31"/>
        <v>1.8146508657118136E-2</v>
      </c>
      <c r="D181" s="1">
        <f t="shared" si="32"/>
        <v>7.5610452737992235E-4</v>
      </c>
      <c r="E181" s="1">
        <f t="shared" si="33"/>
        <v>3.9850165746324265E-5</v>
      </c>
      <c r="F181" s="1">
        <f t="shared" si="29"/>
        <v>4.5366271642795341E-3</v>
      </c>
      <c r="G181" s="1">
        <f t="shared" si="34"/>
        <v>1.3162065247349414E-4</v>
      </c>
      <c r="H181" s="1">
        <f t="shared" si="30"/>
        <v>4.5366271642795344E-2</v>
      </c>
      <c r="I181" s="1">
        <f t="shared" si="35"/>
        <v>4.1622104893371655E-4</v>
      </c>
      <c r="J181" s="1">
        <f t="shared" si="36"/>
        <v>7.5610452737992235E-4</v>
      </c>
      <c r="K181" s="1">
        <f t="shared" si="37"/>
        <v>3.6378064199664454E-5</v>
      </c>
      <c r="L181" s="1">
        <f t="shared" si="38"/>
        <v>4.5366271642795341E-3</v>
      </c>
      <c r="M181" s="1">
        <f t="shared" si="39"/>
        <v>1.1271325026753279E-4</v>
      </c>
      <c r="N181" s="1">
        <f t="shared" si="41"/>
        <v>4.5366271642795344E-2</v>
      </c>
      <c r="O181" s="1">
        <f t="shared" si="40"/>
        <v>3.5643059332598657E-4</v>
      </c>
    </row>
    <row r="182" spans="1:15">
      <c r="A182" s="1">
        <v>1.00000000000001E-19</v>
      </c>
      <c r="B182" s="1">
        <f t="shared" si="42"/>
        <v>6.0409418411912823E-9</v>
      </c>
      <c r="C182" s="1">
        <f t="shared" si="31"/>
        <v>1.2097672438078797E-2</v>
      </c>
      <c r="D182" s="1">
        <f t="shared" si="32"/>
        <v>5.0406968491994986E-4</v>
      </c>
      <c r="E182" s="1">
        <f t="shared" si="33"/>
        <v>2.6566786463859253E-5</v>
      </c>
      <c r="F182" s="1">
        <f t="shared" si="29"/>
        <v>3.0244181095196994E-3</v>
      </c>
      <c r="G182" s="1">
        <f t="shared" si="34"/>
        <v>8.7747157495621646E-5</v>
      </c>
      <c r="H182" s="1">
        <f t="shared" si="30"/>
        <v>3.0244181095196995E-2</v>
      </c>
      <c r="I182" s="1">
        <f t="shared" si="35"/>
        <v>2.7748087589168067E-4</v>
      </c>
      <c r="J182" s="1">
        <f t="shared" si="36"/>
        <v>5.0406968491994986E-4</v>
      </c>
      <c r="K182" s="1">
        <f t="shared" si="37"/>
        <v>2.4252049874257587E-5</v>
      </c>
      <c r="L182" s="1">
        <f t="shared" si="38"/>
        <v>3.0244181095196994E-3</v>
      </c>
      <c r="M182" s="1">
        <f t="shared" si="39"/>
        <v>7.5142201916141379E-5</v>
      </c>
      <c r="N182" s="1">
        <f t="shared" si="41"/>
        <v>3.0244181095196995E-2</v>
      </c>
      <c r="O182" s="1">
        <f t="shared" si="40"/>
        <v>2.3762050645527547E-4</v>
      </c>
    </row>
    <row r="183" spans="1:15">
      <c r="A183" s="1">
        <v>9.5E-20</v>
      </c>
      <c r="B183" s="1">
        <f t="shared" si="42"/>
        <v>5.7388947491316602E-9</v>
      </c>
      <c r="C183" s="1">
        <f t="shared" si="31"/>
        <v>1.1492788816174741E-2</v>
      </c>
      <c r="D183" s="1">
        <f t="shared" si="32"/>
        <v>4.7886620067394756E-4</v>
      </c>
      <c r="E183" s="1">
        <f t="shared" si="33"/>
        <v>2.5238448024132629E-5</v>
      </c>
      <c r="F183" s="1">
        <f t="shared" si="29"/>
        <v>2.8731972040436852E-3</v>
      </c>
      <c r="G183" s="1">
        <f t="shared" si="34"/>
        <v>8.3359804926274694E-5</v>
      </c>
      <c r="H183" s="1">
        <f t="shared" si="30"/>
        <v>2.8731972040436853E-2</v>
      </c>
      <c r="I183" s="1">
        <f t="shared" si="35"/>
        <v>2.6360684887435243E-4</v>
      </c>
      <c r="J183" s="1">
        <f t="shared" si="36"/>
        <v>4.7886620067394756E-4</v>
      </c>
      <c r="K183" s="1">
        <f t="shared" si="37"/>
        <v>2.3039448052620512E-5</v>
      </c>
      <c r="L183" s="1">
        <f t="shared" si="38"/>
        <v>2.8731972040436852E-3</v>
      </c>
      <c r="M183" s="1">
        <f t="shared" si="39"/>
        <v>7.1385095152092485E-5</v>
      </c>
      <c r="N183" s="1">
        <f t="shared" si="41"/>
        <v>2.8731972040436853E-2</v>
      </c>
      <c r="O183" s="1">
        <f t="shared" si="40"/>
        <v>2.2573949166845614E-4</v>
      </c>
    </row>
    <row r="184" spans="1:15">
      <c r="A184" s="1">
        <v>9.0000000000000003E-20</v>
      </c>
      <c r="B184" s="1">
        <f t="shared" si="42"/>
        <v>5.4368476570721001E-9</v>
      </c>
      <c r="C184" s="1">
        <f t="shared" si="31"/>
        <v>1.0887905194270809E-2</v>
      </c>
      <c r="D184" s="1">
        <f t="shared" si="32"/>
        <v>4.5366271642795041E-4</v>
      </c>
      <c r="E184" s="1">
        <f t="shared" si="33"/>
        <v>2.3910109491409882E-5</v>
      </c>
      <c r="F184" s="1">
        <f t="shared" si="29"/>
        <v>2.7219762985677023E-3</v>
      </c>
      <c r="G184" s="1">
        <f t="shared" si="34"/>
        <v>7.8972451798462752E-5</v>
      </c>
      <c r="H184" s="1">
        <f t="shared" si="30"/>
        <v>2.7219762985677024E-2</v>
      </c>
      <c r="I184" s="1">
        <f t="shared" si="35"/>
        <v>2.4973282009100293E-4</v>
      </c>
      <c r="J184" s="1">
        <f t="shared" si="36"/>
        <v>4.5366271642795041E-4</v>
      </c>
      <c r="K184" s="1">
        <f t="shared" si="37"/>
        <v>2.1826846160238899E-5</v>
      </c>
      <c r="L184" s="1">
        <f t="shared" si="38"/>
        <v>2.7219762985677023E-3</v>
      </c>
      <c r="M184" s="1">
        <f t="shared" si="39"/>
        <v>6.7627988037333341E-5</v>
      </c>
      <c r="N184" s="1">
        <f t="shared" si="41"/>
        <v>2.7219762985677024E-2</v>
      </c>
      <c r="O184" s="1">
        <f t="shared" si="40"/>
        <v>2.1385847577259364E-4</v>
      </c>
    </row>
    <row r="185" spans="1:15">
      <c r="A185" s="1">
        <v>8.5000000000000005E-20</v>
      </c>
      <c r="B185" s="1">
        <f t="shared" si="42"/>
        <v>5.1348005650125393E-9</v>
      </c>
      <c r="C185" s="1">
        <f t="shared" si="31"/>
        <v>1.0283021572366874E-2</v>
      </c>
      <c r="D185" s="1">
        <f t="shared" si="32"/>
        <v>4.2845923218195309E-4</v>
      </c>
      <c r="E185" s="1">
        <f t="shared" si="33"/>
        <v>2.2581770865690717E-5</v>
      </c>
      <c r="F185" s="1">
        <f t="shared" si="29"/>
        <v>2.5707553930917186E-3</v>
      </c>
      <c r="G185" s="1">
        <f t="shared" si="34"/>
        <v>7.4585098112184763E-5</v>
      </c>
      <c r="H185" s="1">
        <f t="shared" si="30"/>
        <v>2.5707553930917185E-2</v>
      </c>
      <c r="I185" s="1">
        <f t="shared" si="35"/>
        <v>2.3585878954162861E-4</v>
      </c>
      <c r="J185" s="1">
        <f t="shared" si="36"/>
        <v>4.2845923218195309E-4</v>
      </c>
      <c r="K185" s="1">
        <f t="shared" si="37"/>
        <v>2.0614244197112475E-5</v>
      </c>
      <c r="L185" s="1">
        <f t="shared" si="38"/>
        <v>2.5707553930917186E-3</v>
      </c>
      <c r="M185" s="1">
        <f t="shared" si="39"/>
        <v>6.3870880571863077E-5</v>
      </c>
      <c r="N185" s="1">
        <f t="shared" si="41"/>
        <v>2.5707553930917185E-2</v>
      </c>
      <c r="O185" s="1">
        <f t="shared" si="40"/>
        <v>2.0197745876768516E-4</v>
      </c>
    </row>
    <row r="186" spans="1:15">
      <c r="A186" s="1">
        <v>7.9999999999999996E-20</v>
      </c>
      <c r="B186" s="1">
        <f t="shared" si="42"/>
        <v>4.8327534729529775E-9</v>
      </c>
      <c r="C186" s="1">
        <f t="shared" si="31"/>
        <v>9.6781379504629426E-3</v>
      </c>
      <c r="D186" s="1">
        <f t="shared" si="32"/>
        <v>4.0325574793595594E-4</v>
      </c>
      <c r="E186" s="1">
        <f t="shared" si="33"/>
        <v>2.1253432146975134E-5</v>
      </c>
      <c r="F186" s="1">
        <f t="shared" si="29"/>
        <v>2.4195344876157356E-3</v>
      </c>
      <c r="G186" s="1">
        <f t="shared" si="34"/>
        <v>7.0197743867440591E-5</v>
      </c>
      <c r="H186" s="1">
        <f t="shared" si="30"/>
        <v>2.4195344876157356E-2</v>
      </c>
      <c r="I186" s="1">
        <f t="shared" si="35"/>
        <v>2.2198475722622922E-4</v>
      </c>
      <c r="J186" s="1">
        <f t="shared" si="36"/>
        <v>4.0325574793595594E-4</v>
      </c>
      <c r="K186" s="1">
        <f t="shared" si="37"/>
        <v>1.9401642163241252E-5</v>
      </c>
      <c r="L186" s="1">
        <f t="shared" si="38"/>
        <v>2.4195344876157356E-3</v>
      </c>
      <c r="M186" s="1">
        <f t="shared" si="39"/>
        <v>6.0113772755681674E-5</v>
      </c>
      <c r="N186" s="1">
        <f t="shared" si="41"/>
        <v>2.4195344876157356E-2</v>
      </c>
      <c r="O186" s="1">
        <f t="shared" si="40"/>
        <v>1.9009644065373071E-4</v>
      </c>
    </row>
    <row r="187" spans="1:15">
      <c r="A187" s="1">
        <v>7.4999999999999998E-20</v>
      </c>
      <c r="B187" s="1">
        <f t="shared" si="42"/>
        <v>4.5307063808934158E-9</v>
      </c>
      <c r="C187" s="1">
        <f t="shared" si="31"/>
        <v>9.0732543285590075E-3</v>
      </c>
      <c r="D187" s="1">
        <f t="shared" si="32"/>
        <v>3.7805226368995863E-4</v>
      </c>
      <c r="E187" s="1">
        <f t="shared" si="33"/>
        <v>1.9925093335263109E-5</v>
      </c>
      <c r="F187" s="1">
        <f t="shared" si="29"/>
        <v>2.2683135821397519E-3</v>
      </c>
      <c r="G187" s="1">
        <f t="shared" si="34"/>
        <v>6.5810389064230033E-5</v>
      </c>
      <c r="H187" s="1">
        <f t="shared" si="30"/>
        <v>2.268313582139752E-2</v>
      </c>
      <c r="I187" s="1">
        <f t="shared" si="35"/>
        <v>2.0811072314480406E-4</v>
      </c>
      <c r="J187" s="1">
        <f t="shared" si="36"/>
        <v>3.7805226368995863E-4</v>
      </c>
      <c r="K187" s="1">
        <f t="shared" si="37"/>
        <v>1.8189040058625204E-5</v>
      </c>
      <c r="L187" s="1">
        <f t="shared" si="38"/>
        <v>2.2683135821397519E-3</v>
      </c>
      <c r="M187" s="1">
        <f t="shared" si="39"/>
        <v>5.6356664588789011E-5</v>
      </c>
      <c r="N187" s="1">
        <f t="shared" si="41"/>
        <v>2.268313582139752E-2</v>
      </c>
      <c r="O187" s="1">
        <f t="shared" si="40"/>
        <v>1.7821542143072987E-4</v>
      </c>
    </row>
    <row r="188" spans="1:15">
      <c r="A188" s="1">
        <v>7.0000000000000001E-20</v>
      </c>
      <c r="B188" s="1">
        <f t="shared" si="42"/>
        <v>4.2286592888338558E-9</v>
      </c>
      <c r="C188" s="1">
        <f t="shared" si="31"/>
        <v>8.4683707066550741E-3</v>
      </c>
      <c r="D188" s="1">
        <f t="shared" si="32"/>
        <v>3.5284877944396142E-4</v>
      </c>
      <c r="E188" s="1">
        <f t="shared" si="33"/>
        <v>1.8596754430554625E-5</v>
      </c>
      <c r="F188" s="1">
        <f t="shared" si="29"/>
        <v>2.1170926766637685E-3</v>
      </c>
      <c r="G188" s="1">
        <f t="shared" si="34"/>
        <v>6.142303370255298E-5</v>
      </c>
      <c r="H188" s="1">
        <f t="shared" si="30"/>
        <v>2.1170926766637684E-2</v>
      </c>
      <c r="I188" s="1">
        <f t="shared" si="35"/>
        <v>1.9423668729735274E-4</v>
      </c>
      <c r="J188" s="1">
        <f t="shared" si="36"/>
        <v>3.5284877944396142E-4</v>
      </c>
      <c r="K188" s="1">
        <f t="shared" si="37"/>
        <v>1.6976437883264331E-5</v>
      </c>
      <c r="L188" s="1">
        <f t="shared" si="38"/>
        <v>2.1170926766637685E-3</v>
      </c>
      <c r="M188" s="1">
        <f t="shared" si="39"/>
        <v>5.2599556071185038E-5</v>
      </c>
      <c r="N188" s="1">
        <f t="shared" si="41"/>
        <v>2.1170926766637684E-2</v>
      </c>
      <c r="O188" s="1">
        <f t="shared" si="40"/>
        <v>1.6633440109868248E-4</v>
      </c>
    </row>
    <row r="189" spans="1:15">
      <c r="A189" s="1">
        <v>6.5000000000000003E-20</v>
      </c>
      <c r="B189" s="1">
        <f t="shared" si="42"/>
        <v>3.9266121967742949E-9</v>
      </c>
      <c r="C189" s="1">
        <f t="shared" si="31"/>
        <v>7.8634870847511425E-3</v>
      </c>
      <c r="D189" s="1">
        <f t="shared" si="32"/>
        <v>3.2764529519796427E-4</v>
      </c>
      <c r="E189" s="1">
        <f t="shared" si="33"/>
        <v>1.7268415432849682E-5</v>
      </c>
      <c r="F189" s="1">
        <f t="shared" si="29"/>
        <v>1.9658717711877856E-3</v>
      </c>
      <c r="G189" s="1">
        <f t="shared" si="34"/>
        <v>5.703567778240925E-5</v>
      </c>
      <c r="H189" s="1">
        <f t="shared" si="30"/>
        <v>1.9658717711877854E-2</v>
      </c>
      <c r="I189" s="1">
        <f t="shared" si="35"/>
        <v>1.803626496838747E-4</v>
      </c>
      <c r="J189" s="1">
        <f t="shared" si="36"/>
        <v>3.2764529519796427E-4</v>
      </c>
      <c r="K189" s="1">
        <f t="shared" si="37"/>
        <v>1.5763835637158626E-5</v>
      </c>
      <c r="L189" s="1">
        <f t="shared" si="38"/>
        <v>1.9658717711877856E-3</v>
      </c>
      <c r="M189" s="1">
        <f t="shared" si="39"/>
        <v>4.8842447202869683E-5</v>
      </c>
      <c r="N189" s="1">
        <f t="shared" si="41"/>
        <v>1.9658717711877854E-2</v>
      </c>
      <c r="O189" s="1">
        <f t="shared" si="40"/>
        <v>1.5445337965758833E-4</v>
      </c>
    </row>
    <row r="190" spans="1:15">
      <c r="A190" s="1">
        <v>6.0000000000000006E-20</v>
      </c>
      <c r="B190" s="1">
        <f t="shared" si="42"/>
        <v>3.6245651047147336E-9</v>
      </c>
      <c r="C190" s="1">
        <f t="shared" si="31"/>
        <v>7.2586034628472065E-3</v>
      </c>
      <c r="D190" s="1">
        <f t="shared" si="32"/>
        <v>3.0244181095196696E-4</v>
      </c>
      <c r="E190" s="1">
        <f t="shared" si="33"/>
        <v>1.5940076342148247E-5</v>
      </c>
      <c r="F190" s="1">
        <f t="shared" si="29"/>
        <v>1.8146508657118016E-3</v>
      </c>
      <c r="G190" s="1">
        <f t="shared" si="34"/>
        <v>5.2648321303798652E-5</v>
      </c>
      <c r="H190" s="1">
        <f t="shared" si="30"/>
        <v>1.8146508657118015E-2</v>
      </c>
      <c r="I190" s="1">
        <f t="shared" si="35"/>
        <v>1.6648861030436942E-4</v>
      </c>
      <c r="J190" s="1">
        <f t="shared" si="36"/>
        <v>3.0244181095196696E-4</v>
      </c>
      <c r="K190" s="1">
        <f t="shared" si="37"/>
        <v>1.4551233320308064E-5</v>
      </c>
      <c r="L190" s="1">
        <f t="shared" si="38"/>
        <v>1.8146508657118016E-3</v>
      </c>
      <c r="M190" s="1">
        <f t="shared" si="39"/>
        <v>4.5085337983842844E-5</v>
      </c>
      <c r="N190" s="1">
        <f t="shared" si="41"/>
        <v>1.8146508657118015E-2</v>
      </c>
      <c r="O190" s="1">
        <f t="shared" si="40"/>
        <v>1.4257235710744709E-4</v>
      </c>
    </row>
    <row r="191" spans="1:15">
      <c r="A191" s="1">
        <v>5.4999999999999996E-20</v>
      </c>
      <c r="B191" s="1">
        <f t="shared" si="42"/>
        <v>3.3225180126551719E-9</v>
      </c>
      <c r="C191" s="1">
        <f t="shared" si="31"/>
        <v>6.6537198409432731E-3</v>
      </c>
      <c r="D191" s="1">
        <f t="shared" si="32"/>
        <v>2.772383267059697E-4</v>
      </c>
      <c r="E191" s="1">
        <f t="shared" si="33"/>
        <v>1.4611737158450315E-5</v>
      </c>
      <c r="F191" s="1">
        <f t="shared" si="29"/>
        <v>1.6634299602358183E-3</v>
      </c>
      <c r="G191" s="1">
        <f t="shared" si="34"/>
        <v>4.8260964266721072E-5</v>
      </c>
      <c r="H191" s="1">
        <f t="shared" si="30"/>
        <v>1.6634299602358182E-2</v>
      </c>
      <c r="I191" s="1">
        <f t="shared" si="35"/>
        <v>1.5261456915883646E-4</v>
      </c>
      <c r="J191" s="1">
        <f t="shared" si="36"/>
        <v>2.772383267059697E-4</v>
      </c>
      <c r="K191" s="1">
        <f t="shared" si="37"/>
        <v>1.3338630932712649E-5</v>
      </c>
      <c r="L191" s="1">
        <f t="shared" si="38"/>
        <v>1.6634299602358183E-3</v>
      </c>
      <c r="M191" s="1">
        <f t="shared" si="39"/>
        <v>4.1328228414104479E-5</v>
      </c>
      <c r="N191" s="1">
        <f t="shared" si="41"/>
        <v>1.6634299602358182E-2</v>
      </c>
      <c r="O191" s="1">
        <f t="shared" si="40"/>
        <v>1.3069133344825864E-4</v>
      </c>
    </row>
    <row r="192" spans="1:15">
      <c r="A192" s="1">
        <v>4.9999999999999999E-20</v>
      </c>
      <c r="B192" s="1">
        <f t="shared" si="42"/>
        <v>3.020470920595611E-9</v>
      </c>
      <c r="C192" s="1">
        <f t="shared" si="31"/>
        <v>6.0488362190393389E-3</v>
      </c>
      <c r="D192" s="1">
        <f t="shared" si="32"/>
        <v>2.5203484245997244E-4</v>
      </c>
      <c r="E192" s="1">
        <f t="shared" si="33"/>
        <v>1.3283397881755869E-5</v>
      </c>
      <c r="F192" s="1">
        <f t="shared" si="29"/>
        <v>1.5122090547598347E-3</v>
      </c>
      <c r="G192" s="1">
        <f t="shared" si="34"/>
        <v>4.3873606671176333E-5</v>
      </c>
      <c r="H192" s="1">
        <f t="shared" si="30"/>
        <v>1.5122090547598346E-2</v>
      </c>
      <c r="I192" s="1">
        <f t="shared" si="35"/>
        <v>1.3874052624727527E-4</v>
      </c>
      <c r="J192" s="1">
        <f t="shared" si="36"/>
        <v>2.5203484245997244E-4</v>
      </c>
      <c r="K192" s="1">
        <f t="shared" si="37"/>
        <v>1.2126028474372373E-5</v>
      </c>
      <c r="L192" s="1">
        <f t="shared" si="38"/>
        <v>1.5122090547598347E-3</v>
      </c>
      <c r="M192" s="1">
        <f t="shared" si="39"/>
        <v>3.7571118493654508E-5</v>
      </c>
      <c r="N192" s="1">
        <f t="shared" si="41"/>
        <v>1.5122090547598346E-2</v>
      </c>
      <c r="O192" s="1">
        <f t="shared" si="40"/>
        <v>1.1881030868002269E-4</v>
      </c>
    </row>
    <row r="193" spans="1:15">
      <c r="A193" s="1">
        <v>4.5000000000000001E-20</v>
      </c>
      <c r="B193" s="1">
        <f t="shared" si="42"/>
        <v>2.7184238285360501E-9</v>
      </c>
      <c r="C193" s="1">
        <f t="shared" si="31"/>
        <v>5.4439525971354047E-3</v>
      </c>
      <c r="D193" s="1">
        <f t="shared" si="32"/>
        <v>2.268313582139752E-4</v>
      </c>
      <c r="E193" s="1">
        <f t="shared" si="33"/>
        <v>1.19550585120649E-5</v>
      </c>
      <c r="F193" s="1">
        <f t="shared" si="29"/>
        <v>1.3609881492838512E-3</v>
      </c>
      <c r="G193" s="1">
        <f t="shared" si="34"/>
        <v>3.9486248517164273E-5</v>
      </c>
      <c r="H193" s="1">
        <f t="shared" si="30"/>
        <v>1.3609881492838512E-2</v>
      </c>
      <c r="I193" s="1">
        <f t="shared" si="35"/>
        <v>1.2486648156968537E-4</v>
      </c>
      <c r="J193" s="1">
        <f t="shared" si="36"/>
        <v>2.268313582139752E-4</v>
      </c>
      <c r="K193" s="1">
        <f t="shared" si="37"/>
        <v>1.0913425945287222E-5</v>
      </c>
      <c r="L193" s="1">
        <f t="shared" si="38"/>
        <v>1.3609881492838512E-3</v>
      </c>
      <c r="M193" s="1">
        <f t="shared" si="39"/>
        <v>3.3814008222492842E-5</v>
      </c>
      <c r="N193" s="1">
        <f t="shared" si="41"/>
        <v>1.3609881492838512E-2</v>
      </c>
      <c r="O193" s="1">
        <f t="shared" si="40"/>
        <v>1.0692928280273902E-4</v>
      </c>
    </row>
    <row r="194" spans="1:15">
      <c r="A194" s="1">
        <v>3.9999999999999998E-20</v>
      </c>
      <c r="B194" s="1">
        <f t="shared" si="42"/>
        <v>2.4163767364764888E-9</v>
      </c>
      <c r="C194" s="1">
        <f t="shared" si="31"/>
        <v>4.8390689752314713E-3</v>
      </c>
      <c r="D194" s="1">
        <f t="shared" si="32"/>
        <v>2.0162787396797797E-4</v>
      </c>
      <c r="E194" s="1">
        <f t="shared" si="33"/>
        <v>1.0626719049377386E-5</v>
      </c>
      <c r="F194" s="1">
        <f t="shared" si="29"/>
        <v>1.2097672438078678E-3</v>
      </c>
      <c r="G194" s="1">
        <f t="shared" si="34"/>
        <v>3.5098889804684736E-5</v>
      </c>
      <c r="H194" s="1">
        <f t="shared" si="30"/>
        <v>1.2097672438078678E-2</v>
      </c>
      <c r="I194" s="1">
        <f t="shared" si="35"/>
        <v>1.1099243512606624E-4</v>
      </c>
      <c r="J194" s="1">
        <f t="shared" si="36"/>
        <v>2.0162787396797797E-4</v>
      </c>
      <c r="K194" s="1">
        <f t="shared" si="37"/>
        <v>9.7008233454571884E-6</v>
      </c>
      <c r="L194" s="1">
        <f t="shared" si="38"/>
        <v>1.2097672438078678E-3</v>
      </c>
      <c r="M194" s="1">
        <f t="shared" si="39"/>
        <v>3.005689760061943E-5</v>
      </c>
      <c r="N194" s="1">
        <f t="shared" si="41"/>
        <v>1.2097672438078678E-2</v>
      </c>
      <c r="O194" s="1">
        <f t="shared" si="40"/>
        <v>9.5048255816407393E-5</v>
      </c>
    </row>
    <row r="195" spans="1:15">
      <c r="A195" s="1">
        <v>3.5E-20</v>
      </c>
      <c r="B195" s="1">
        <f t="shared" si="42"/>
        <v>2.1143296444169279E-9</v>
      </c>
      <c r="C195" s="1">
        <f t="shared" si="31"/>
        <v>4.2341853533275371E-3</v>
      </c>
      <c r="D195" s="1">
        <f t="shared" si="32"/>
        <v>1.7642438972198071E-4</v>
      </c>
      <c r="E195" s="1">
        <f t="shared" si="33"/>
        <v>9.2983794936933141E-6</v>
      </c>
      <c r="F195" s="1">
        <f t="shared" si="29"/>
        <v>1.0585463383318843E-3</v>
      </c>
      <c r="G195" s="1">
        <f t="shared" si="34"/>
        <v>3.0711530533737559E-5</v>
      </c>
      <c r="H195" s="1">
        <f t="shared" si="30"/>
        <v>1.0585463383318842E-2</v>
      </c>
      <c r="I195" s="1">
        <f t="shared" si="35"/>
        <v>9.7118386916417323E-5</v>
      </c>
      <c r="J195" s="1">
        <f t="shared" si="36"/>
        <v>1.7642438972198071E-4</v>
      </c>
      <c r="K195" s="1">
        <f t="shared" si="37"/>
        <v>8.4882206748822616E-6</v>
      </c>
      <c r="L195" s="1">
        <f t="shared" si="38"/>
        <v>1.0585463383318843E-3</v>
      </c>
      <c r="M195" s="1">
        <f t="shared" si="39"/>
        <v>2.6299786628034185E-5</v>
      </c>
      <c r="N195" s="1">
        <f t="shared" si="41"/>
        <v>1.0585463383318842E-2</v>
      </c>
      <c r="O195" s="1">
        <f t="shared" si="40"/>
        <v>8.3167227721027553E-5</v>
      </c>
    </row>
    <row r="196" spans="1:15">
      <c r="A196" s="1">
        <v>3.0000000000000003E-20</v>
      </c>
      <c r="B196" s="1">
        <f t="shared" si="42"/>
        <v>1.8122825523573668E-9</v>
      </c>
      <c r="C196" s="1">
        <f t="shared" si="31"/>
        <v>3.6293017314236032E-3</v>
      </c>
      <c r="D196" s="1">
        <f t="shared" si="32"/>
        <v>1.5122090547598348E-4</v>
      </c>
      <c r="E196" s="1">
        <f t="shared" si="33"/>
        <v>7.970039845012672E-6</v>
      </c>
      <c r="F196" s="1">
        <f t="shared" si="29"/>
        <v>9.0732543285590081E-4</v>
      </c>
      <c r="G196" s="1">
        <f t="shared" si="34"/>
        <v>2.6324170704322579E-5</v>
      </c>
      <c r="H196" s="1">
        <f t="shared" si="30"/>
        <v>9.0732543285590075E-3</v>
      </c>
      <c r="I196" s="1">
        <f t="shared" si="35"/>
        <v>8.32443369407382E-5</v>
      </c>
      <c r="J196" s="1">
        <f t="shared" si="36"/>
        <v>1.5122090547598348E-4</v>
      </c>
      <c r="K196" s="1">
        <f t="shared" si="37"/>
        <v>7.2756179335624316E-6</v>
      </c>
      <c r="L196" s="1">
        <f t="shared" si="38"/>
        <v>9.0732543285590081E-4</v>
      </c>
      <c r="M196" s="1">
        <f t="shared" si="39"/>
        <v>2.2542675304737035E-5</v>
      </c>
      <c r="N196" s="1">
        <f t="shared" si="41"/>
        <v>9.0732543285590075E-3</v>
      </c>
      <c r="O196" s="1">
        <f t="shared" si="40"/>
        <v>7.1286198516599326E-5</v>
      </c>
    </row>
    <row r="197" spans="1:15">
      <c r="A197" s="1">
        <v>2.4999999999999999E-20</v>
      </c>
      <c r="B197" s="1">
        <f t="shared" si="42"/>
        <v>1.5102354602978055E-9</v>
      </c>
      <c r="C197" s="1">
        <f t="shared" si="31"/>
        <v>3.0244181095196694E-3</v>
      </c>
      <c r="D197" s="1">
        <f t="shared" si="32"/>
        <v>1.2601742122998622E-4</v>
      </c>
      <c r="E197" s="1">
        <f t="shared" si="33"/>
        <v>6.641700103335444E-6</v>
      </c>
      <c r="F197" s="1">
        <f t="shared" si="29"/>
        <v>7.5610452737991736E-4</v>
      </c>
      <c r="G197" s="1">
        <f t="shared" si="34"/>
        <v>2.1936810316439648E-5</v>
      </c>
      <c r="H197" s="1">
        <f t="shared" si="30"/>
        <v>7.5610452737991732E-3</v>
      </c>
      <c r="I197" s="1">
        <f t="shared" si="35"/>
        <v>6.9370285199028329E-5</v>
      </c>
      <c r="J197" s="1">
        <f t="shared" si="36"/>
        <v>1.2601742122998622E-4</v>
      </c>
      <c r="K197" s="1">
        <f t="shared" si="37"/>
        <v>6.0630151214976915E-6</v>
      </c>
      <c r="L197" s="1">
        <f t="shared" si="38"/>
        <v>7.5610452737991736E-4</v>
      </c>
      <c r="M197" s="1">
        <f t="shared" si="39"/>
        <v>1.8785563630727906E-5</v>
      </c>
      <c r="N197" s="1">
        <f t="shared" si="41"/>
        <v>7.5610452737991732E-3</v>
      </c>
      <c r="O197" s="1">
        <f t="shared" si="40"/>
        <v>5.9405168203122442E-5</v>
      </c>
    </row>
    <row r="198" spans="1:15">
      <c r="A198" s="1">
        <v>1.9999999999999999E-20</v>
      </c>
      <c r="B198" s="1">
        <f t="shared" si="42"/>
        <v>1.2081883682382444E-9</v>
      </c>
      <c r="C198" s="1">
        <f t="shared" si="31"/>
        <v>2.4195344876157356E-3</v>
      </c>
      <c r="D198" s="1">
        <f t="shared" si="32"/>
        <v>1.0081393698398899E-4</v>
      </c>
      <c r="E198" s="1">
        <f t="shared" si="33"/>
        <v>5.3133602686616167E-6</v>
      </c>
      <c r="F198" s="1">
        <f t="shared" si="29"/>
        <v>6.0488362190393391E-4</v>
      </c>
      <c r="G198" s="1">
        <f t="shared" si="34"/>
        <v>1.7549449370088599E-5</v>
      </c>
      <c r="H198" s="1">
        <f t="shared" si="30"/>
        <v>6.0488362190393389E-3</v>
      </c>
      <c r="I198" s="1">
        <f t="shared" si="35"/>
        <v>5.5496231691287201E-5</v>
      </c>
      <c r="J198" s="1">
        <f t="shared" si="36"/>
        <v>1.0081393698398899E-4</v>
      </c>
      <c r="K198" s="1">
        <f t="shared" si="37"/>
        <v>4.8504122386880312E-6</v>
      </c>
      <c r="L198" s="1">
        <f t="shared" si="38"/>
        <v>6.0488362190393391E-4</v>
      </c>
      <c r="M198" s="1">
        <f t="shared" si="39"/>
        <v>1.5028451606006723E-5</v>
      </c>
      <c r="N198" s="1">
        <f t="shared" si="41"/>
        <v>6.0488362190393389E-3</v>
      </c>
      <c r="O198" s="1">
        <f t="shared" si="40"/>
        <v>4.7524136780596656E-5</v>
      </c>
    </row>
    <row r="199" spans="1:15">
      <c r="A199" s="1">
        <v>1.5000000000000001E-20</v>
      </c>
      <c r="B199" s="1">
        <f t="shared" si="42"/>
        <v>9.0614127617868339E-10</v>
      </c>
      <c r="C199" s="1">
        <f t="shared" si="31"/>
        <v>1.8146508657118016E-3</v>
      </c>
      <c r="D199" s="1">
        <f t="shared" si="32"/>
        <v>7.5610452737991739E-5</v>
      </c>
      <c r="E199" s="1">
        <f t="shared" si="33"/>
        <v>3.9850203409911722E-6</v>
      </c>
      <c r="F199" s="1">
        <f t="shared" si="29"/>
        <v>4.5366271642795041E-4</v>
      </c>
      <c r="G199" s="1">
        <f t="shared" si="34"/>
        <v>1.3162087865269265E-5</v>
      </c>
      <c r="H199" s="1">
        <f t="shared" si="30"/>
        <v>4.5366271642795037E-3</v>
      </c>
      <c r="I199" s="1">
        <f t="shared" si="35"/>
        <v>4.16221764175143E-5</v>
      </c>
      <c r="J199" s="1">
        <f t="shared" si="36"/>
        <v>7.5610452737991739E-5</v>
      </c>
      <c r="K199" s="1">
        <f t="shared" si="37"/>
        <v>3.6378092851334418E-6</v>
      </c>
      <c r="L199" s="1">
        <f t="shared" si="38"/>
        <v>4.5366271642795041E-4</v>
      </c>
      <c r="M199" s="1">
        <f t="shared" si="39"/>
        <v>1.1271339230573414E-5</v>
      </c>
      <c r="N199" s="1">
        <f t="shared" si="41"/>
        <v>4.5366271642795037E-3</v>
      </c>
      <c r="O199" s="1">
        <f t="shared" si="40"/>
        <v>3.5643104249021752E-5</v>
      </c>
    </row>
    <row r="200" spans="1:15">
      <c r="A200" s="1">
        <v>9.9999999999999904E-21</v>
      </c>
      <c r="B200" s="1">
        <f t="shared" si="42"/>
        <v>6.0409418411912157E-10</v>
      </c>
      <c r="C200" s="1">
        <f t="shared" si="31"/>
        <v>1.2097672438078663E-3</v>
      </c>
      <c r="D200" s="1">
        <f t="shared" si="32"/>
        <v>5.0406968491994432E-5</v>
      </c>
      <c r="E200" s="1">
        <f t="shared" si="33"/>
        <v>2.6566803203240944E-6</v>
      </c>
      <c r="F200" s="1">
        <f t="shared" si="29"/>
        <v>3.0244181095196658E-4</v>
      </c>
      <c r="G200" s="1">
        <f t="shared" si="34"/>
        <v>8.7747258019814849E-6</v>
      </c>
      <c r="H200" s="1">
        <f t="shared" si="30"/>
        <v>3.024418109519666E-3</v>
      </c>
      <c r="I200" s="1">
        <f t="shared" si="35"/>
        <v>2.7748119377709113E-5</v>
      </c>
      <c r="J200" s="1">
        <f t="shared" si="36"/>
        <v>5.0406968491994432E-5</v>
      </c>
      <c r="K200" s="1">
        <f t="shared" si="37"/>
        <v>2.4252062608339094E-6</v>
      </c>
      <c r="L200" s="1">
        <f t="shared" si="38"/>
        <v>3.0244181095196658E-4</v>
      </c>
      <c r="M200" s="1">
        <f t="shared" si="39"/>
        <v>7.5142265044278977E-6</v>
      </c>
      <c r="N200" s="1">
        <f t="shared" si="41"/>
        <v>3.024418109519666E-3</v>
      </c>
      <c r="O200" s="1">
        <f t="shared" si="40"/>
        <v>2.3762070608397476E-5</v>
      </c>
    </row>
  </sheetData>
  <mergeCells count="24">
    <mergeCell ref="N28:O28"/>
    <mergeCell ref="C18:D18"/>
    <mergeCell ref="C19:D19"/>
    <mergeCell ref="C20:D20"/>
    <mergeCell ref="C21:D21"/>
    <mergeCell ref="C22:D22"/>
    <mergeCell ref="D28:E28"/>
    <mergeCell ref="F28:G28"/>
    <mergeCell ref="H28:I28"/>
    <mergeCell ref="J28:K28"/>
    <mergeCell ref="L28:M28"/>
    <mergeCell ref="C17:D17"/>
    <mergeCell ref="C6:D6"/>
    <mergeCell ref="C7:D7"/>
    <mergeCell ref="E7:E11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C1E7-C71A-4D92-9D6C-D8D95B690B70}">
  <sheetPr>
    <tabColor theme="7" tint="0.79998168889431442"/>
  </sheetPr>
  <dimension ref="A1:P46"/>
  <sheetViews>
    <sheetView tabSelected="1" topLeftCell="A19" workbookViewId="0">
      <selection activeCell="B28" sqref="B28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231</v>
      </c>
    </row>
    <row r="2" spans="1:6">
      <c r="A2" s="16" t="s">
        <v>163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203">
        <v>60</v>
      </c>
      <c r="D5" s="203"/>
      <c r="E5" s="204"/>
      <c r="F5" s="16"/>
    </row>
    <row r="6" spans="1:6">
      <c r="A6" s="16"/>
      <c r="B6" s="19" t="s">
        <v>82</v>
      </c>
      <c r="C6" s="228">
        <v>20</v>
      </c>
      <c r="D6" s="228"/>
      <c r="E6" s="229"/>
      <c r="F6" s="16" t="s">
        <v>175</v>
      </c>
    </row>
    <row r="7" spans="1:6">
      <c r="A7" s="16"/>
      <c r="B7" s="20" t="s">
        <v>83</v>
      </c>
      <c r="C7" s="193">
        <v>0.75</v>
      </c>
      <c r="D7" s="193"/>
      <c r="E7" s="194"/>
      <c r="F7" s="207" t="s">
        <v>84</v>
      </c>
    </row>
    <row r="8" spans="1:6">
      <c r="A8" s="16"/>
      <c r="B8" s="20" t="s">
        <v>85</v>
      </c>
      <c r="C8" s="193">
        <v>0.75</v>
      </c>
      <c r="D8" s="193"/>
      <c r="E8" s="194"/>
      <c r="F8" s="207"/>
    </row>
    <row r="9" spans="1:6">
      <c r="A9" s="16"/>
      <c r="B9" s="20" t="s">
        <v>86</v>
      </c>
      <c r="C9" s="193">
        <v>1</v>
      </c>
      <c r="D9" s="193"/>
      <c r="E9" s="194"/>
      <c r="F9" s="47" t="s">
        <v>176</v>
      </c>
    </row>
    <row r="10" spans="1:6">
      <c r="A10" s="16"/>
      <c r="B10" s="20" t="s">
        <v>87</v>
      </c>
      <c r="C10" s="214">
        <v>0.5</v>
      </c>
      <c r="D10" s="214"/>
      <c r="E10" s="215"/>
      <c r="F10" s="42" t="s">
        <v>177</v>
      </c>
    </row>
    <row r="11" spans="1:6">
      <c r="A11" s="16"/>
      <c r="B11" s="20" t="s">
        <v>90</v>
      </c>
      <c r="C11" s="214">
        <v>0.36</v>
      </c>
      <c r="D11" s="214"/>
      <c r="E11" s="215"/>
      <c r="F11" s="43" t="s">
        <v>178</v>
      </c>
    </row>
    <row r="12" spans="1:6">
      <c r="A12" s="16"/>
      <c r="B12" s="45" t="s">
        <v>92</v>
      </c>
      <c r="C12" s="233">
        <f>((C5/2)^2*PI()-(C6/2)^2*PI())*C7*C8*C9*C10*C11</f>
        <v>254.46900494077323</v>
      </c>
      <c r="D12" s="233"/>
      <c r="E12" s="234"/>
      <c r="F12" s="16"/>
    </row>
    <row r="13" spans="1:6">
      <c r="A13" s="16"/>
      <c r="B13" s="20" t="s">
        <v>93</v>
      </c>
      <c r="C13" s="197">
        <v>17000</v>
      </c>
      <c r="D13" s="197"/>
      <c r="E13" s="198"/>
      <c r="F13" s="16"/>
    </row>
    <row r="14" spans="1:6">
      <c r="A14" s="16"/>
      <c r="B14" s="20" t="s">
        <v>94</v>
      </c>
      <c r="C14" s="199">
        <v>3</v>
      </c>
      <c r="D14" s="199"/>
      <c r="E14" s="200"/>
      <c r="F14" s="38" t="s">
        <v>126</v>
      </c>
    </row>
    <row r="15" spans="1:6">
      <c r="A15" s="16"/>
      <c r="B15" s="20" t="s">
        <v>95</v>
      </c>
      <c r="C15" s="216">
        <v>0.2</v>
      </c>
      <c r="D15" s="217"/>
      <c r="E15" s="218"/>
      <c r="F15" s="16"/>
    </row>
    <row r="16" spans="1:6">
      <c r="A16" s="16"/>
      <c r="B16" s="20" t="s">
        <v>96</v>
      </c>
      <c r="C16" s="222">
        <f>$C$14/10*C15/10</f>
        <v>6.0000000000000001E-3</v>
      </c>
      <c r="D16" s="223"/>
      <c r="E16" s="224"/>
      <c r="F16" s="16"/>
    </row>
    <row r="17" spans="1:16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</row>
    <row r="18" spans="1:16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</row>
    <row r="19" spans="1:16">
      <c r="A19" s="16"/>
      <c r="B19" s="25" t="s">
        <v>99</v>
      </c>
      <c r="C19" s="201">
        <f>C17/3600</f>
        <v>1.011101980911467E-2</v>
      </c>
      <c r="D19" s="201"/>
      <c r="E19" s="201"/>
      <c r="F19" s="16"/>
    </row>
    <row r="20" spans="1:16">
      <c r="A20" s="16"/>
      <c r="B20" s="26" t="s">
        <v>101</v>
      </c>
      <c r="C20" s="225">
        <f>C18/3600</f>
        <v>6.7406799424045796E-4</v>
      </c>
      <c r="D20" s="226"/>
      <c r="E20" s="227"/>
      <c r="F20" s="16"/>
    </row>
    <row r="22" spans="1:16" ht="76" customHeight="1">
      <c r="B22" t="s">
        <v>180</v>
      </c>
      <c r="C22" t="s">
        <v>183</v>
      </c>
      <c r="F22" t="s">
        <v>190</v>
      </c>
      <c r="G22" t="s">
        <v>195</v>
      </c>
      <c r="H22" t="s">
        <v>196</v>
      </c>
      <c r="J22" s="240" t="s">
        <v>197</v>
      </c>
      <c r="K22" s="240"/>
      <c r="L22" s="240" t="s">
        <v>237</v>
      </c>
      <c r="M22" s="240"/>
    </row>
    <row r="23" spans="1:16">
      <c r="B23" t="s">
        <v>181</v>
      </c>
      <c r="C23" t="s">
        <v>185</v>
      </c>
      <c r="D23" t="s">
        <v>180</v>
      </c>
      <c r="E23" t="s">
        <v>185</v>
      </c>
      <c r="F23" t="s">
        <v>191</v>
      </c>
    </row>
    <row r="24" spans="1:16">
      <c r="A24" t="s">
        <v>179</v>
      </c>
      <c r="B24" s="43" t="s">
        <v>184</v>
      </c>
      <c r="C24" t="s">
        <v>186</v>
      </c>
      <c r="D24" t="s">
        <v>184</v>
      </c>
      <c r="E24" s="43" t="s">
        <v>187</v>
      </c>
      <c r="F24" s="43" t="s">
        <v>192</v>
      </c>
      <c r="G24" s="43" t="s">
        <v>193</v>
      </c>
      <c r="H24" s="43" t="s">
        <v>193</v>
      </c>
      <c r="I24" s="51" t="s">
        <v>194</v>
      </c>
      <c r="J24" s="43" t="s">
        <v>193</v>
      </c>
      <c r="K24" s="43" t="s">
        <v>194</v>
      </c>
      <c r="L24" s="43" t="s">
        <v>193</v>
      </c>
      <c r="M24" s="51" t="s">
        <v>194</v>
      </c>
    </row>
    <row r="25" spans="1:16">
      <c r="A25">
        <v>100</v>
      </c>
      <c r="B25" s="43">
        <v>0.2</v>
      </c>
      <c r="E25" s="48"/>
      <c r="F25" s="43"/>
      <c r="I25" s="52"/>
      <c r="M25" s="52"/>
    </row>
    <row r="26" spans="1:16">
      <c r="A26">
        <v>105</v>
      </c>
      <c r="B26" s="43">
        <v>0.25</v>
      </c>
      <c r="E26" s="48"/>
      <c r="F26" s="43"/>
      <c r="I26" s="52"/>
      <c r="M26" s="52"/>
    </row>
    <row r="27" spans="1:16">
      <c r="A27">
        <v>110</v>
      </c>
      <c r="B27" s="43">
        <v>0.67</v>
      </c>
      <c r="E27" s="48"/>
      <c r="F27" s="43"/>
      <c r="I27" s="52"/>
      <c r="M27" s="52"/>
      <c r="N27" t="s">
        <v>113</v>
      </c>
      <c r="O27" t="s">
        <v>195</v>
      </c>
      <c r="P27" t="s">
        <v>198</v>
      </c>
    </row>
    <row r="28" spans="1:16">
      <c r="A28">
        <v>115</v>
      </c>
      <c r="B28" s="43">
        <v>0.9</v>
      </c>
      <c r="C28">
        <v>0.4</v>
      </c>
      <c r="D28">
        <v>0.62</v>
      </c>
      <c r="E28" s="48">
        <f>C28*B28/D28</f>
        <v>0.58064516129032262</v>
      </c>
      <c r="F28" s="48">
        <v>0.37582648709983441</v>
      </c>
      <c r="G28" s="50">
        <f>E28*F28</f>
        <v>0.2182218312192587</v>
      </c>
      <c r="H28" s="50">
        <f>B28*B28*G28</f>
        <v>0.17675968328759956</v>
      </c>
      <c r="I28" s="53">
        <f>(($C$5/2)^2*PI()-($C$6/2)^2*PI())*H28</f>
        <v>444.24553797374506</v>
      </c>
      <c r="J28" s="50">
        <f>B28*B28*F28</f>
        <v>0.30441945455086589</v>
      </c>
      <c r="K28" s="48">
        <f>(($C$5/2)^2*PI()-($C$6/2)^2*PI())*J28</f>
        <v>765.08953762144984</v>
      </c>
      <c r="L28" s="48">
        <f>B28^5*F28</f>
        <v>0.22192178236758128</v>
      </c>
      <c r="M28" s="53">
        <f>(($C$5/2)^2*PI()-($C$6/2)^2*PI())*L28</f>
        <v>557.75027292603704</v>
      </c>
      <c r="N28" t="s">
        <v>179</v>
      </c>
      <c r="O28" t="s">
        <v>92</v>
      </c>
    </row>
    <row r="29" spans="1:16">
      <c r="A29">
        <v>120</v>
      </c>
      <c r="B29" s="43">
        <v>0.92</v>
      </c>
      <c r="C29">
        <v>0.4</v>
      </c>
      <c r="D29">
        <v>0.62</v>
      </c>
      <c r="E29" s="48">
        <f>C29*B29/D29</f>
        <v>0.59354838709677427</v>
      </c>
      <c r="F29" s="48">
        <v>0.37102590432052945</v>
      </c>
      <c r="G29" s="50">
        <f>E29*F29</f>
        <v>0.22022182708057234</v>
      </c>
      <c r="H29" s="50">
        <f>B29*B29*G29</f>
        <v>0.18639575444099643</v>
      </c>
      <c r="I29" s="53">
        <f>(($C$5/2)^2*PI()-($C$6/2)^2*PI())*H29</f>
        <v>468.4636262497292</v>
      </c>
      <c r="J29" s="50">
        <f>B29*B29*F29</f>
        <v>0.31403632541689613</v>
      </c>
      <c r="K29" s="48">
        <f>(($C$5/2)^2*PI()-($C$6/2)^2*PI())*J29</f>
        <v>789.25937031204364</v>
      </c>
      <c r="L29" s="48">
        <f>B29^5*F29</f>
        <v>0.24453631816623206</v>
      </c>
      <c r="M29" s="53">
        <f>(($C$5/2)^2*PI()-($C$6/2)^2*PI())*L29</f>
        <v>614.58680054954471</v>
      </c>
      <c r="N29">
        <v>120</v>
      </c>
      <c r="O29">
        <v>468.4636262497292</v>
      </c>
      <c r="P29">
        <v>789.25937031204364</v>
      </c>
    </row>
    <row r="30" spans="1:16">
      <c r="A30">
        <v>125</v>
      </c>
      <c r="B30" s="43">
        <v>0.93</v>
      </c>
      <c r="C30">
        <v>0.44</v>
      </c>
      <c r="D30">
        <v>0.67</v>
      </c>
      <c r="E30" s="48">
        <f t="shared" ref="E30:E41" si="0">C30*B30/D30</f>
        <v>0.61074626865671644</v>
      </c>
      <c r="F30" s="49">
        <f>(F29+F31)/2</f>
        <v>0.32829969791945335</v>
      </c>
      <c r="G30" s="50">
        <f t="shared" ref="G30:G41" si="1">E30*F30</f>
        <v>0.20050781550543331</v>
      </c>
      <c r="H30" s="50">
        <f t="shared" ref="H30:H41" si="2">B30*B30*G30</f>
        <v>0.1734192096306493</v>
      </c>
      <c r="I30" s="53">
        <f t="shared" ref="I30:I41" si="3">(($C$5/2)^2*PI()-($C$6/2)^2*PI())*H30</f>
        <v>435.85001197359696</v>
      </c>
      <c r="J30" s="50">
        <f t="shared" ref="J30:J41" si="4">B30*B30*F30</f>
        <v>0.28394640873053523</v>
      </c>
      <c r="K30" s="48">
        <f t="shared" ref="K30:K41" si="5">(($C$5/2)^2*PI()-($C$6/2)^2*PI())*J30</f>
        <v>713.63516134484337</v>
      </c>
      <c r="L30" s="48">
        <f t="shared" ref="L30:L41" si="6">B30^5*F30</f>
        <v>0.22839428148726718</v>
      </c>
      <c r="M30" s="53">
        <f t="shared" ref="M30:M41" si="7">(($C$5/2)^2*PI()-($C$6/2)^2*PI())*L30</f>
        <v>574.01743747385433</v>
      </c>
      <c r="N30">
        <v>125</v>
      </c>
      <c r="O30">
        <v>435.85001197359696</v>
      </c>
      <c r="P30">
        <v>713.63516134484337</v>
      </c>
    </row>
    <row r="31" spans="1:16">
      <c r="A31">
        <v>130</v>
      </c>
      <c r="B31" s="43">
        <v>0.91</v>
      </c>
      <c r="C31">
        <v>0.44</v>
      </c>
      <c r="D31">
        <v>0.67</v>
      </c>
      <c r="E31" s="48">
        <f t="shared" si="0"/>
        <v>0.5976119402985075</v>
      </c>
      <c r="F31" s="48">
        <v>0.2855734915183773</v>
      </c>
      <c r="G31" s="50">
        <f t="shared" si="1"/>
        <v>0.17066212836411684</v>
      </c>
      <c r="H31" s="50">
        <f t="shared" si="2"/>
        <v>0.14132530849832517</v>
      </c>
      <c r="I31" s="53">
        <f t="shared" si="3"/>
        <v>355.1892407557196</v>
      </c>
      <c r="J31" s="50">
        <f t="shared" si="4"/>
        <v>0.23648340832636824</v>
      </c>
      <c r="K31" s="48">
        <f t="shared" si="5"/>
        <v>594.34763063519506</v>
      </c>
      <c r="L31" s="48">
        <f t="shared" si="6"/>
        <v>0.17820703849590969</v>
      </c>
      <c r="M31" s="53">
        <f t="shared" si="7"/>
        <v>447.8831383653947</v>
      </c>
      <c r="N31">
        <v>130</v>
      </c>
      <c r="O31">
        <v>355.1892407557196</v>
      </c>
      <c r="P31">
        <v>594.34763063519506</v>
      </c>
    </row>
    <row r="32" spans="1:16">
      <c r="A32">
        <v>135</v>
      </c>
      <c r="B32" s="43">
        <v>0.89</v>
      </c>
      <c r="C32">
        <v>0.42</v>
      </c>
      <c r="D32">
        <v>0.67</v>
      </c>
      <c r="E32" s="48">
        <f t="shared" si="0"/>
        <v>0.55791044776119392</v>
      </c>
      <c r="F32" s="48">
        <v>0.30899662300809955</v>
      </c>
      <c r="G32" s="50">
        <f t="shared" si="1"/>
        <v>0.17239244429914566</v>
      </c>
      <c r="H32" s="50">
        <f t="shared" si="2"/>
        <v>0.13655205512935328</v>
      </c>
      <c r="I32" s="53">
        <f t="shared" si="3"/>
        <v>343.19274658157178</v>
      </c>
      <c r="J32" s="50">
        <f t="shared" si="4"/>
        <v>0.24475622508471567</v>
      </c>
      <c r="K32" s="48">
        <f t="shared" si="5"/>
        <v>615.13948691721009</v>
      </c>
      <c r="L32" s="48">
        <f t="shared" si="6"/>
        <v>0.17254555124174692</v>
      </c>
      <c r="M32" s="53">
        <f t="shared" si="7"/>
        <v>433.6542689525387</v>
      </c>
      <c r="N32">
        <v>135</v>
      </c>
      <c r="O32">
        <v>343.19274658157178</v>
      </c>
      <c r="P32">
        <v>615.13948691721009</v>
      </c>
    </row>
    <row r="33" spans="1:16">
      <c r="A33">
        <v>140</v>
      </c>
      <c r="B33" s="43">
        <v>0.87</v>
      </c>
      <c r="C33">
        <v>0.4</v>
      </c>
      <c r="D33">
        <v>0.67</v>
      </c>
      <c r="E33" s="48">
        <f t="shared" si="0"/>
        <v>0.5194029850746269</v>
      </c>
      <c r="F33" s="48">
        <v>0.24612037686190918</v>
      </c>
      <c r="G33" s="50">
        <f t="shared" si="1"/>
        <v>0.12783565842976777</v>
      </c>
      <c r="H33" s="50">
        <f t="shared" si="2"/>
        <v>9.6758809865491222E-2</v>
      </c>
      <c r="I33" s="53">
        <f t="shared" si="3"/>
        <v>243.18141299481508</v>
      </c>
      <c r="J33" s="50">
        <f t="shared" si="4"/>
        <v>0.18628851324677906</v>
      </c>
      <c r="K33" s="48">
        <f t="shared" si="5"/>
        <v>468.19409973139676</v>
      </c>
      <c r="L33" s="48">
        <f t="shared" si="6"/>
        <v>0.12267154483854377</v>
      </c>
      <c r="M33" s="53">
        <f t="shared" si="7"/>
        <v>308.307219255424</v>
      </c>
      <c r="N33">
        <v>140</v>
      </c>
      <c r="O33">
        <v>243.18141299481508</v>
      </c>
      <c r="P33">
        <v>468.19409973139676</v>
      </c>
    </row>
    <row r="34" spans="1:16">
      <c r="A34">
        <v>145</v>
      </c>
      <c r="B34" s="43">
        <v>0.86</v>
      </c>
      <c r="C34">
        <v>0.38</v>
      </c>
      <c r="D34">
        <v>0.67</v>
      </c>
      <c r="E34" s="48">
        <f t="shared" si="0"/>
        <v>0.48776119402985069</v>
      </c>
      <c r="F34" s="48">
        <v>0.19838991517247778</v>
      </c>
      <c r="G34" s="50">
        <f t="shared" si="1"/>
        <v>9.676690190800856E-2</v>
      </c>
      <c r="H34" s="50">
        <f t="shared" si="2"/>
        <v>7.1568800651163125E-2</v>
      </c>
      <c r="I34" s="53">
        <f t="shared" si="3"/>
        <v>179.8720146815412</v>
      </c>
      <c r="J34" s="50">
        <f t="shared" si="4"/>
        <v>0.14672918126156456</v>
      </c>
      <c r="K34" s="48">
        <f t="shared" si="5"/>
        <v>368.77065433486109</v>
      </c>
      <c r="L34" s="48">
        <f t="shared" si="6"/>
        <v>9.3327976116505687E-2</v>
      </c>
      <c r="M34" s="53">
        <f t="shared" si="7"/>
        <v>234.55878731361435</v>
      </c>
      <c r="N34">
        <v>145</v>
      </c>
      <c r="O34">
        <v>179.8720146815412</v>
      </c>
      <c r="P34">
        <v>368.77065433486109</v>
      </c>
    </row>
    <row r="35" spans="1:16">
      <c r="A35">
        <v>150</v>
      </c>
      <c r="B35" s="43">
        <v>0.86</v>
      </c>
      <c r="C35">
        <v>0.36</v>
      </c>
      <c r="D35">
        <v>0.67</v>
      </c>
      <c r="E35" s="48">
        <f t="shared" si="0"/>
        <v>0.46208955223880593</v>
      </c>
      <c r="F35" s="48">
        <v>0.18063569617716008</v>
      </c>
      <c r="G35" s="50">
        <f t="shared" si="1"/>
        <v>8.3469867964848884E-2</v>
      </c>
      <c r="H35" s="50">
        <f t="shared" si="2"/>
        <v>6.1734314346802231E-2</v>
      </c>
      <c r="I35" s="53">
        <f t="shared" si="3"/>
        <v>155.15525474105348</v>
      </c>
      <c r="J35" s="50">
        <f t="shared" si="4"/>
        <v>0.13359816089262758</v>
      </c>
      <c r="K35" s="48">
        <f t="shared" si="5"/>
        <v>335.76880063470878</v>
      </c>
      <c r="L35" s="48">
        <f t="shared" si="6"/>
        <v>8.4975911824721112E-2</v>
      </c>
      <c r="M35" s="53">
        <f t="shared" si="7"/>
        <v>213.5677602565103</v>
      </c>
      <c r="N35">
        <v>150</v>
      </c>
      <c r="O35">
        <v>155.15525474105348</v>
      </c>
      <c r="P35">
        <v>335.76880063470878</v>
      </c>
    </row>
    <row r="36" spans="1:16">
      <c r="A36">
        <v>155</v>
      </c>
      <c r="B36" s="43">
        <v>0.86</v>
      </c>
      <c r="C36">
        <v>0.34</v>
      </c>
      <c r="D36">
        <v>0.64</v>
      </c>
      <c r="E36" s="48">
        <f t="shared" si="0"/>
        <v>0.45687499999999998</v>
      </c>
      <c r="F36" s="48">
        <v>0.13810064689087198</v>
      </c>
      <c r="G36" s="50">
        <f t="shared" si="1"/>
        <v>6.3094733048267126E-2</v>
      </c>
      <c r="H36" s="50">
        <f t="shared" si="2"/>
        <v>4.6664864562498361E-2</v>
      </c>
      <c r="I36" s="53">
        <f t="shared" si="3"/>
        <v>117.28159655224603</v>
      </c>
      <c r="J36" s="50">
        <f t="shared" si="4"/>
        <v>0.1021392384404889</v>
      </c>
      <c r="K36" s="48">
        <f t="shared" si="5"/>
        <v>256.70390490231694</v>
      </c>
      <c r="L36" s="48">
        <f t="shared" si="6"/>
        <v>6.4966275445503596E-2</v>
      </c>
      <c r="M36" s="53">
        <f t="shared" si="7"/>
        <v>163.27805893654806</v>
      </c>
      <c r="N36">
        <v>155</v>
      </c>
      <c r="O36">
        <v>117.28159655224603</v>
      </c>
      <c r="P36">
        <v>256.70390490231694</v>
      </c>
    </row>
    <row r="37" spans="1:16">
      <c r="A37">
        <v>160</v>
      </c>
      <c r="B37" s="43">
        <v>0.86</v>
      </c>
      <c r="C37">
        <v>0.32</v>
      </c>
      <c r="D37">
        <v>0.62</v>
      </c>
      <c r="E37" s="48">
        <f t="shared" si="0"/>
        <v>0.44387096774193546</v>
      </c>
      <c r="F37" s="48">
        <v>0.1122112642135074</v>
      </c>
      <c r="G37" s="50">
        <f t="shared" si="1"/>
        <v>4.9807322437995537E-2</v>
      </c>
      <c r="H37" s="50">
        <f t="shared" si="2"/>
        <v>3.6837495675141496E-2</v>
      </c>
      <c r="I37" s="53">
        <f t="shared" si="3"/>
        <v>92.582724631736241</v>
      </c>
      <c r="J37" s="50">
        <f t="shared" si="4"/>
        <v>8.2991451012310063E-2</v>
      </c>
      <c r="K37" s="48">
        <f t="shared" si="5"/>
        <v>208.58026624882442</v>
      </c>
      <c r="L37" s="48">
        <f t="shared" si="6"/>
        <v>5.2787210365085879E-2</v>
      </c>
      <c r="M37" s="53">
        <f t="shared" si="7"/>
        <v>132.66872982916223</v>
      </c>
      <c r="N37">
        <v>160</v>
      </c>
      <c r="O37">
        <v>92.582724631736241</v>
      </c>
      <c r="P37">
        <v>208.58026624882442</v>
      </c>
    </row>
    <row r="38" spans="1:16">
      <c r="A38">
        <v>165</v>
      </c>
      <c r="B38" s="43">
        <v>0.86</v>
      </c>
      <c r="C38">
        <v>0.3</v>
      </c>
      <c r="D38">
        <v>0.6</v>
      </c>
      <c r="E38" s="48">
        <f t="shared" si="0"/>
        <v>0.43000000000000005</v>
      </c>
      <c r="F38" s="49">
        <v>0.08</v>
      </c>
      <c r="G38" s="50">
        <f t="shared" si="1"/>
        <v>3.4400000000000007E-2</v>
      </c>
      <c r="H38" s="50">
        <f t="shared" si="2"/>
        <v>2.5442240000000001E-2</v>
      </c>
      <c r="I38" s="53">
        <f t="shared" si="3"/>
        <v>63.94332341989471</v>
      </c>
      <c r="J38" s="50">
        <f t="shared" si="4"/>
        <v>5.9167999999999998E-2</v>
      </c>
      <c r="K38" s="48">
        <f t="shared" si="5"/>
        <v>148.7054033020807</v>
      </c>
      <c r="L38" s="48">
        <f t="shared" si="6"/>
        <v>3.7634161407999994E-2</v>
      </c>
      <c r="M38" s="53">
        <f t="shared" si="7"/>
        <v>94.584964002708233</v>
      </c>
      <c r="N38">
        <v>165</v>
      </c>
      <c r="O38">
        <v>63.94332341989471</v>
      </c>
      <c r="P38">
        <v>148.7054033020807</v>
      </c>
    </row>
    <row r="39" spans="1:16">
      <c r="A39">
        <v>170</v>
      </c>
      <c r="B39" s="43">
        <v>0.86</v>
      </c>
      <c r="C39">
        <v>0.28000000000000003</v>
      </c>
      <c r="D39">
        <v>0.62</v>
      </c>
      <c r="E39" s="48">
        <f t="shared" si="0"/>
        <v>0.38838709677419359</v>
      </c>
      <c r="F39" s="49">
        <v>0.05</v>
      </c>
      <c r="G39" s="50">
        <f t="shared" si="1"/>
        <v>1.9419354838709681E-2</v>
      </c>
      <c r="H39" s="50">
        <f t="shared" si="2"/>
        <v>1.4362554838709679E-2</v>
      </c>
      <c r="I39" s="53">
        <f t="shared" si="3"/>
        <v>36.097037414456693</v>
      </c>
      <c r="J39" s="50">
        <f t="shared" si="4"/>
        <v>3.6979999999999999E-2</v>
      </c>
      <c r="K39" s="48">
        <f t="shared" si="5"/>
        <v>92.940877063800443</v>
      </c>
      <c r="L39" s="48">
        <f t="shared" si="6"/>
        <v>2.3521350879999996E-2</v>
      </c>
      <c r="M39" s="53">
        <f t="shared" si="7"/>
        <v>59.115602501692649</v>
      </c>
      <c r="N39">
        <v>170</v>
      </c>
      <c r="O39">
        <v>36.097037414456693</v>
      </c>
      <c r="P39">
        <v>92.940877063800443</v>
      </c>
    </row>
    <row r="40" spans="1:16">
      <c r="A40">
        <v>175</v>
      </c>
      <c r="B40" s="43">
        <v>0.86</v>
      </c>
      <c r="C40">
        <v>0.28000000000000003</v>
      </c>
      <c r="D40">
        <v>0.64</v>
      </c>
      <c r="E40" s="48">
        <f t="shared" si="0"/>
        <v>0.37625000000000003</v>
      </c>
      <c r="F40" s="49">
        <v>0.03</v>
      </c>
      <c r="G40" s="50">
        <f t="shared" si="1"/>
        <v>1.1287500000000001E-2</v>
      </c>
      <c r="H40" s="50">
        <f t="shared" si="2"/>
        <v>8.348234999999999E-3</v>
      </c>
      <c r="I40" s="53">
        <f t="shared" si="3"/>
        <v>20.981402997152948</v>
      </c>
      <c r="J40" s="50">
        <f t="shared" si="4"/>
        <v>2.2187999999999996E-2</v>
      </c>
      <c r="K40" s="48">
        <f t="shared" si="5"/>
        <v>55.764526238280254</v>
      </c>
      <c r="L40" s="48">
        <f t="shared" si="6"/>
        <v>1.4112810527999996E-2</v>
      </c>
      <c r="M40" s="53">
        <f t="shared" si="7"/>
        <v>35.469361501015584</v>
      </c>
      <c r="N40">
        <v>175</v>
      </c>
      <c r="O40">
        <v>20.981402997152948</v>
      </c>
      <c r="P40">
        <v>55.764526238280254</v>
      </c>
    </row>
    <row r="41" spans="1:16">
      <c r="A41">
        <v>180</v>
      </c>
      <c r="B41" s="43">
        <v>0.86</v>
      </c>
      <c r="C41">
        <v>0.28000000000000003</v>
      </c>
      <c r="D41">
        <v>0.67</v>
      </c>
      <c r="E41" s="48">
        <f t="shared" si="0"/>
        <v>0.35940298507462687</v>
      </c>
      <c r="F41" s="49">
        <v>0.02</v>
      </c>
      <c r="G41" s="50">
        <f t="shared" si="1"/>
        <v>7.1880597014925378E-3</v>
      </c>
      <c r="H41" s="50">
        <f t="shared" si="2"/>
        <v>5.3162889552238806E-3</v>
      </c>
      <c r="I41" s="53">
        <f t="shared" si="3"/>
        <v>13.36129146087352</v>
      </c>
      <c r="J41" s="50">
        <f t="shared" si="4"/>
        <v>1.4792E-2</v>
      </c>
      <c r="K41" s="48">
        <f t="shared" si="5"/>
        <v>37.176350825520174</v>
      </c>
      <c r="L41" s="48">
        <f t="shared" si="6"/>
        <v>9.4085403519999986E-3</v>
      </c>
      <c r="M41" s="53">
        <f t="shared" si="7"/>
        <v>23.646241000677058</v>
      </c>
      <c r="N41">
        <v>180</v>
      </c>
      <c r="O41">
        <v>13.36129146087352</v>
      </c>
      <c r="P41">
        <v>37.176350825520174</v>
      </c>
    </row>
    <row r="42" spans="1:16">
      <c r="B42" t="s">
        <v>182</v>
      </c>
      <c r="C42" t="s">
        <v>188</v>
      </c>
      <c r="K42" s="53"/>
      <c r="L42" s="48"/>
      <c r="M42" s="48"/>
    </row>
    <row r="46" spans="1:16">
      <c r="J46" t="s">
        <v>189</v>
      </c>
    </row>
  </sheetData>
  <mergeCells count="19">
    <mergeCell ref="C18:E18"/>
    <mergeCell ref="C19:E19"/>
    <mergeCell ref="C20:E20"/>
    <mergeCell ref="L22:M22"/>
    <mergeCell ref="J22:K22"/>
    <mergeCell ref="F7:F8"/>
    <mergeCell ref="C8:E8"/>
    <mergeCell ref="C9:E9"/>
    <mergeCell ref="C10:E10"/>
    <mergeCell ref="C11:E11"/>
    <mergeCell ref="C16:E16"/>
    <mergeCell ref="C17:E17"/>
    <mergeCell ref="C15:E15"/>
    <mergeCell ref="C5:E5"/>
    <mergeCell ref="C6:E6"/>
    <mergeCell ref="C7:E7"/>
    <mergeCell ref="C12:E12"/>
    <mergeCell ref="C13:E13"/>
    <mergeCell ref="C14:E14"/>
  </mergeCells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3E67-CC0B-4DC7-986A-0FFF0524CB26}">
  <sheetPr>
    <tabColor theme="9" tint="0.79998168889431442"/>
  </sheetPr>
  <dimension ref="A1:R46"/>
  <sheetViews>
    <sheetView topLeftCell="A19" workbookViewId="0">
      <selection activeCell="D31" sqref="D3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6">
      <c r="A1" t="s">
        <v>231</v>
      </c>
    </row>
    <row r="2" spans="1:6">
      <c r="A2" s="16" t="s">
        <v>204</v>
      </c>
      <c r="B2" s="16" t="s">
        <v>1</v>
      </c>
      <c r="C2" s="17">
        <v>6.626068E-34</v>
      </c>
      <c r="D2" s="16"/>
      <c r="E2" s="16"/>
      <c r="F2" s="16"/>
    </row>
    <row r="3" spans="1:6">
      <c r="A3" s="16"/>
      <c r="B3" s="16" t="s">
        <v>2</v>
      </c>
      <c r="C3" s="17">
        <v>299792458</v>
      </c>
      <c r="D3" s="16"/>
      <c r="E3" s="16"/>
      <c r="F3" s="16"/>
    </row>
    <row r="4" spans="1:6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</row>
    <row r="5" spans="1:6">
      <c r="A5" s="16"/>
      <c r="B5" s="18" t="s">
        <v>81</v>
      </c>
      <c r="C5" s="203">
        <v>60</v>
      </c>
      <c r="D5" s="203"/>
      <c r="E5" s="204"/>
      <c r="F5" s="16"/>
    </row>
    <row r="6" spans="1:6">
      <c r="A6" s="16"/>
      <c r="B6" s="19" t="s">
        <v>82</v>
      </c>
      <c r="C6" s="228">
        <v>20</v>
      </c>
      <c r="D6" s="228"/>
      <c r="E6" s="229"/>
      <c r="F6" s="16" t="s">
        <v>175</v>
      </c>
    </row>
    <row r="7" spans="1:6">
      <c r="A7" s="16"/>
      <c r="B7" s="20" t="s">
        <v>83</v>
      </c>
      <c r="C7" s="193">
        <v>0.75</v>
      </c>
      <c r="D7" s="193"/>
      <c r="E7" s="194"/>
      <c r="F7" s="207" t="s">
        <v>84</v>
      </c>
    </row>
    <row r="8" spans="1:6">
      <c r="A8" s="16"/>
      <c r="B8" s="20" t="s">
        <v>85</v>
      </c>
      <c r="C8" s="193">
        <v>0.75</v>
      </c>
      <c r="D8" s="193"/>
      <c r="E8" s="194"/>
      <c r="F8" s="207"/>
    </row>
    <row r="9" spans="1:6">
      <c r="A9" s="16"/>
      <c r="B9" s="20" t="s">
        <v>86</v>
      </c>
      <c r="C9" s="193">
        <v>1</v>
      </c>
      <c r="D9" s="193"/>
      <c r="E9" s="194"/>
      <c r="F9" s="47" t="s">
        <v>176</v>
      </c>
    </row>
    <row r="10" spans="1:6">
      <c r="A10" s="16"/>
      <c r="B10" s="20" t="s">
        <v>87</v>
      </c>
      <c r="C10" s="214">
        <v>0.5</v>
      </c>
      <c r="D10" s="214"/>
      <c r="E10" s="215"/>
      <c r="F10" s="42" t="s">
        <v>177</v>
      </c>
    </row>
    <row r="11" spans="1:6">
      <c r="A11" s="16"/>
      <c r="B11" s="20" t="s">
        <v>90</v>
      </c>
      <c r="C11" s="214">
        <v>0.36</v>
      </c>
      <c r="D11" s="214"/>
      <c r="E11" s="215"/>
      <c r="F11" s="43" t="s">
        <v>178</v>
      </c>
    </row>
    <row r="12" spans="1:6">
      <c r="A12" s="16"/>
      <c r="B12" s="45" t="s">
        <v>92</v>
      </c>
      <c r="C12" s="233">
        <f>((C5/2)^2*PI()-(C6/2)^2*PI())*C7*C8*C9*C10*C11</f>
        <v>254.46900494077323</v>
      </c>
      <c r="D12" s="233"/>
      <c r="E12" s="234"/>
      <c r="F12" s="16"/>
    </row>
    <row r="13" spans="1:6">
      <c r="A13" s="16"/>
      <c r="B13" s="20" t="s">
        <v>93</v>
      </c>
      <c r="C13" s="197">
        <v>17000</v>
      </c>
      <c r="D13" s="197"/>
      <c r="E13" s="198"/>
      <c r="F13" s="16"/>
    </row>
    <row r="14" spans="1:6">
      <c r="A14" s="16"/>
      <c r="B14" s="20" t="s">
        <v>94</v>
      </c>
      <c r="C14" s="199">
        <v>3</v>
      </c>
      <c r="D14" s="199"/>
      <c r="E14" s="200"/>
      <c r="F14" s="38" t="s">
        <v>126</v>
      </c>
    </row>
    <row r="15" spans="1:6">
      <c r="A15" s="16"/>
      <c r="B15" s="20" t="s">
        <v>95</v>
      </c>
      <c r="C15" s="216">
        <v>0.2</v>
      </c>
      <c r="D15" s="217"/>
      <c r="E15" s="218"/>
      <c r="F15" s="16"/>
    </row>
    <row r="16" spans="1:6">
      <c r="A16" s="16"/>
      <c r="B16" s="20" t="s">
        <v>96</v>
      </c>
      <c r="C16" s="222">
        <f>$C$14/10*C15/10</f>
        <v>6.0000000000000001E-3</v>
      </c>
      <c r="D16" s="223"/>
      <c r="E16" s="224"/>
      <c r="F16" s="16"/>
    </row>
    <row r="17" spans="1:18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</row>
    <row r="18" spans="1:18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</row>
    <row r="19" spans="1:18">
      <c r="A19" s="16"/>
      <c r="B19" s="25" t="s">
        <v>99</v>
      </c>
      <c r="C19" s="201">
        <f>C17/3600</f>
        <v>1.011101980911467E-2</v>
      </c>
      <c r="D19" s="201"/>
      <c r="E19" s="201"/>
      <c r="F19" s="16"/>
    </row>
    <row r="20" spans="1:18">
      <c r="A20" s="16"/>
      <c r="B20" s="26" t="s">
        <v>101</v>
      </c>
      <c r="C20" s="225">
        <f>C18/3600</f>
        <v>6.7406799424045796E-4</v>
      </c>
      <c r="D20" s="226"/>
      <c r="E20" s="227"/>
      <c r="F20" s="16"/>
    </row>
    <row r="22" spans="1:18" ht="65.5" customHeight="1">
      <c r="B22" t="s">
        <v>180</v>
      </c>
      <c r="D22" t="s">
        <v>183</v>
      </c>
      <c r="G22" t="s">
        <v>190</v>
      </c>
      <c r="I22" t="s">
        <v>195</v>
      </c>
      <c r="J22" t="s">
        <v>196</v>
      </c>
      <c r="L22" t="s">
        <v>197</v>
      </c>
      <c r="N22" s="240" t="s">
        <v>232</v>
      </c>
      <c r="O22" s="240"/>
    </row>
    <row r="23" spans="1:18">
      <c r="B23" t="s">
        <v>181</v>
      </c>
      <c r="D23" t="s">
        <v>185</v>
      </c>
      <c r="E23" t="s">
        <v>180</v>
      </c>
      <c r="F23" t="s">
        <v>185</v>
      </c>
      <c r="G23" t="s">
        <v>191</v>
      </c>
    </row>
    <row r="24" spans="1:18">
      <c r="A24" t="s">
        <v>179</v>
      </c>
      <c r="B24" s="55" t="s">
        <v>199</v>
      </c>
      <c r="C24" s="43" t="s">
        <v>200</v>
      </c>
      <c r="D24" s="43" t="s">
        <v>186</v>
      </c>
      <c r="E24" t="s">
        <v>184</v>
      </c>
      <c r="F24" s="55" t="s">
        <v>187</v>
      </c>
      <c r="G24" s="55" t="s">
        <v>192</v>
      </c>
      <c r="H24" s="43" t="s">
        <v>202</v>
      </c>
      <c r="I24" s="43" t="s">
        <v>193</v>
      </c>
      <c r="J24" s="43" t="s">
        <v>193</v>
      </c>
      <c r="K24" s="51" t="s">
        <v>194</v>
      </c>
      <c r="L24" s="43" t="s">
        <v>193</v>
      </c>
      <c r="M24" s="51" t="s">
        <v>194</v>
      </c>
      <c r="N24" s="43" t="s">
        <v>193</v>
      </c>
      <c r="O24" s="51" t="s">
        <v>194</v>
      </c>
    </row>
    <row r="25" spans="1:18">
      <c r="A25">
        <v>100</v>
      </c>
      <c r="B25" s="55">
        <v>0.2</v>
      </c>
      <c r="C25" s="43">
        <f>B25*0.85</f>
        <v>0.17</v>
      </c>
      <c r="D25" s="43"/>
      <c r="F25" s="56"/>
      <c r="G25" s="55"/>
      <c r="H25" s="43"/>
      <c r="K25" s="52"/>
    </row>
    <row r="26" spans="1:18">
      <c r="A26">
        <v>105</v>
      </c>
      <c r="B26" s="55">
        <v>0.25</v>
      </c>
      <c r="C26" s="43">
        <f t="shared" ref="C26:C41" si="0">B26*0.85</f>
        <v>0.21249999999999999</v>
      </c>
      <c r="D26" s="43"/>
      <c r="F26" s="56"/>
      <c r="G26" s="55"/>
      <c r="H26" s="43"/>
      <c r="K26" s="52"/>
    </row>
    <row r="27" spans="1:18">
      <c r="A27">
        <v>110</v>
      </c>
      <c r="B27" s="55">
        <v>0.67</v>
      </c>
      <c r="C27" s="43">
        <f t="shared" si="0"/>
        <v>0.56950000000000001</v>
      </c>
      <c r="D27" s="43"/>
      <c r="F27" s="56"/>
      <c r="G27" s="55"/>
      <c r="H27" s="43"/>
      <c r="K27" s="52"/>
      <c r="P27" t="s">
        <v>113</v>
      </c>
      <c r="Q27" t="s">
        <v>195</v>
      </c>
      <c r="R27" t="s">
        <v>198</v>
      </c>
    </row>
    <row r="28" spans="1:18">
      <c r="A28">
        <v>115</v>
      </c>
      <c r="B28" s="55">
        <v>0.9</v>
      </c>
      <c r="C28" s="43">
        <f t="shared" si="0"/>
        <v>0.76500000000000001</v>
      </c>
      <c r="D28" s="43">
        <v>0.4</v>
      </c>
      <c r="E28">
        <v>0.62</v>
      </c>
      <c r="F28" s="56">
        <f t="shared" ref="F28" si="1">D28*B28/E28</f>
        <v>0.58064516129032262</v>
      </c>
      <c r="G28" s="56">
        <v>0.37582648709983441</v>
      </c>
      <c r="H28" s="48">
        <f>G28*0.8</f>
        <v>0.30066118967986755</v>
      </c>
      <c r="I28" s="50">
        <f>D28*H28</f>
        <v>0.12026447587194702</v>
      </c>
      <c r="J28" s="50">
        <f>C28*C28*I28</f>
        <v>7.0381777892160199E-2</v>
      </c>
      <c r="K28" s="53">
        <f>(($C$5/2)^2*PI()-($C$6/2)^2*PI())*J28</f>
        <v>176.8887010980792</v>
      </c>
      <c r="L28" s="50">
        <f>C28*C28*H28</f>
        <v>0.17595444473040048</v>
      </c>
      <c r="M28" s="48">
        <f>(($C$5/2)^2*PI()-($C$6/2)^2*PI())*L28</f>
        <v>442.22175274519799</v>
      </c>
      <c r="N28" s="48">
        <f>C28^5*H28</f>
        <v>7.8774299036771703E-2</v>
      </c>
      <c r="O28" s="53">
        <f>(($C$5/2)^2*PI()-($C$6/2)^2*PI())*N28</f>
        <v>197.98140731648601</v>
      </c>
      <c r="P28" t="s">
        <v>179</v>
      </c>
      <c r="Q28" t="s">
        <v>92</v>
      </c>
    </row>
    <row r="29" spans="1:18">
      <c r="A29">
        <v>120</v>
      </c>
      <c r="B29" s="55">
        <v>0.92</v>
      </c>
      <c r="C29" s="43">
        <f t="shared" si="0"/>
        <v>0.78200000000000003</v>
      </c>
      <c r="D29" s="43">
        <v>0.4</v>
      </c>
      <c r="E29">
        <v>0.62</v>
      </c>
      <c r="F29" s="56">
        <f t="shared" ref="F29:F41" si="2">D29*B29/E29</f>
        <v>0.59354838709677427</v>
      </c>
      <c r="G29" s="56">
        <v>0.37102590432052945</v>
      </c>
      <c r="H29" s="48">
        <f t="shared" ref="H29:H41" si="3">G29*0.8</f>
        <v>0.29682072345642357</v>
      </c>
      <c r="I29" s="50">
        <f>D29*H29</f>
        <v>0.11872828938256944</v>
      </c>
      <c r="J29" s="50">
        <f>C29*C29*I29</f>
        <v>7.2605198436386395E-2</v>
      </c>
      <c r="K29" s="53">
        <f>(($C$5/2)^2*PI()-($C$6/2)^2*PI())*J29</f>
        <v>182.47676641614453</v>
      </c>
      <c r="L29" s="50">
        <f>C29*C29*H29</f>
        <v>0.18151299609096599</v>
      </c>
      <c r="M29" s="48">
        <f>(($C$5/2)^2*PI()-($C$6/2)^2*PI())*L29</f>
        <v>456.19191604036132</v>
      </c>
      <c r="N29" s="48">
        <f>C29^5*H29</f>
        <v>8.6801650775637951E-2</v>
      </c>
      <c r="O29" s="53">
        <f>(($C$5/2)^2*PI()-($C$6/2)^2*PI())*N29</f>
        <v>218.15634271696877</v>
      </c>
      <c r="P29">
        <v>120</v>
      </c>
      <c r="Q29">
        <v>468.4636262497292</v>
      </c>
      <c r="R29">
        <v>789.25937031204364</v>
      </c>
    </row>
    <row r="30" spans="1:18">
      <c r="A30">
        <v>125</v>
      </c>
      <c r="B30" s="55">
        <v>0.93</v>
      </c>
      <c r="C30" s="43">
        <f t="shared" si="0"/>
        <v>0.79049999999999998</v>
      </c>
      <c r="D30" s="43">
        <v>0.44</v>
      </c>
      <c r="E30">
        <v>0.67</v>
      </c>
      <c r="F30" s="56">
        <f t="shared" si="2"/>
        <v>0.61074626865671644</v>
      </c>
      <c r="G30" s="57">
        <f>(G29+G31)/2</f>
        <v>0.32829969791945335</v>
      </c>
      <c r="H30" s="48">
        <f t="shared" si="3"/>
        <v>0.26263975833556269</v>
      </c>
      <c r="I30" s="50">
        <f t="shared" ref="I30:I41" si="4">D30*H30</f>
        <v>0.11556149366764758</v>
      </c>
      <c r="J30" s="50">
        <f t="shared" ref="J30:J41" si="5">C30*C30*I30</f>
        <v>7.2213250668349716E-2</v>
      </c>
      <c r="K30" s="53">
        <f t="shared" ref="K30:K41" si="6">(($C$5/2)^2*PI()-($C$6/2)^2*PI())*J30</f>
        <v>181.49169423322056</v>
      </c>
      <c r="L30" s="50">
        <f t="shared" ref="L30:L41" si="7">C30*C30*H30</f>
        <v>0.16412102424624936</v>
      </c>
      <c r="M30" s="48">
        <f t="shared" ref="M30:M41" si="8">(($C$5/2)^2*PI()-($C$6/2)^2*PI())*L30</f>
        <v>412.48112325731944</v>
      </c>
      <c r="N30" s="48">
        <f t="shared" ref="N30:N41" si="9">C30^5*H30</f>
        <v>8.1071804832416647E-2</v>
      </c>
      <c r="O30" s="53">
        <f t="shared" ref="O30:O41" si="10">(($C$5/2)^2*PI()-($C$6/2)^2*PI())*N30</f>
        <v>203.75566917982852</v>
      </c>
      <c r="P30">
        <v>125</v>
      </c>
      <c r="Q30">
        <v>435.85001197359696</v>
      </c>
      <c r="R30">
        <v>713.63516134484337</v>
      </c>
    </row>
    <row r="31" spans="1:18">
      <c r="A31">
        <v>130</v>
      </c>
      <c r="B31" s="55">
        <v>0.91</v>
      </c>
      <c r="C31" s="43">
        <f t="shared" si="0"/>
        <v>0.77349999999999997</v>
      </c>
      <c r="D31" s="43">
        <v>0.44</v>
      </c>
      <c r="E31">
        <v>0.67</v>
      </c>
      <c r="F31" s="56">
        <f t="shared" si="2"/>
        <v>0.5976119402985075</v>
      </c>
      <c r="G31" s="56">
        <v>0.2855734915183773</v>
      </c>
      <c r="H31" s="48">
        <f t="shared" si="3"/>
        <v>0.22845879321470186</v>
      </c>
      <c r="I31" s="50">
        <f t="shared" si="4"/>
        <v>0.10052186901446881</v>
      </c>
      <c r="J31" s="50">
        <f t="shared" si="5"/>
        <v>6.0142460405561968E-2</v>
      </c>
      <c r="K31" s="53">
        <f t="shared" si="6"/>
        <v>151.15448942314279</v>
      </c>
      <c r="L31" s="50">
        <f t="shared" si="7"/>
        <v>0.13668741001264084</v>
      </c>
      <c r="M31" s="48">
        <f t="shared" si="8"/>
        <v>343.53293050714274</v>
      </c>
      <c r="N31" s="48">
        <f t="shared" si="9"/>
        <v>6.3257127764421689E-2</v>
      </c>
      <c r="O31" s="53">
        <f t="shared" si="10"/>
        <v>158.98250229751849</v>
      </c>
      <c r="P31">
        <v>130</v>
      </c>
      <c r="Q31">
        <v>355.1892407557196</v>
      </c>
      <c r="R31">
        <v>594.34763063519506</v>
      </c>
    </row>
    <row r="32" spans="1:18">
      <c r="A32">
        <v>135</v>
      </c>
      <c r="B32" s="55">
        <v>0.89</v>
      </c>
      <c r="C32" s="43">
        <f t="shared" si="0"/>
        <v>0.75649999999999995</v>
      </c>
      <c r="D32" s="43">
        <v>0.42</v>
      </c>
      <c r="E32">
        <v>0.67</v>
      </c>
      <c r="F32" s="56">
        <f t="shared" si="2"/>
        <v>0.55791044776119392</v>
      </c>
      <c r="G32" s="56">
        <v>0.30899662300809955</v>
      </c>
      <c r="H32" s="48">
        <f t="shared" si="3"/>
        <v>0.24719729840647964</v>
      </c>
      <c r="I32" s="50">
        <f t="shared" si="4"/>
        <v>0.10382286533072145</v>
      </c>
      <c r="J32" s="50">
        <f t="shared" si="5"/>
        <v>5.941702120156557E-2</v>
      </c>
      <c r="K32" s="53">
        <f t="shared" si="6"/>
        <v>149.3312618440219</v>
      </c>
      <c r="L32" s="50">
        <f t="shared" si="7"/>
        <v>0.14146909809896563</v>
      </c>
      <c r="M32" s="48">
        <f t="shared" si="8"/>
        <v>355.55062343814734</v>
      </c>
      <c r="N32" s="48">
        <f t="shared" si="9"/>
        <v>6.1247502187363245E-2</v>
      </c>
      <c r="O32" s="53">
        <f t="shared" si="10"/>
        <v>153.93176233803612</v>
      </c>
      <c r="P32">
        <v>135</v>
      </c>
      <c r="Q32">
        <v>343.19274658157178</v>
      </c>
      <c r="R32">
        <v>615.13948691721009</v>
      </c>
    </row>
    <row r="33" spans="1:18">
      <c r="A33">
        <v>140</v>
      </c>
      <c r="B33" s="55">
        <v>0.87</v>
      </c>
      <c r="C33" s="43">
        <f t="shared" si="0"/>
        <v>0.73949999999999994</v>
      </c>
      <c r="D33" s="43">
        <v>0.4</v>
      </c>
      <c r="E33">
        <v>0.67</v>
      </c>
      <c r="F33" s="56">
        <f t="shared" si="2"/>
        <v>0.5194029850746269</v>
      </c>
      <c r="G33" s="56">
        <v>0.24612037686190918</v>
      </c>
      <c r="H33" s="48">
        <f t="shared" si="3"/>
        <v>0.19689630148952736</v>
      </c>
      <c r="I33" s="50">
        <f t="shared" si="4"/>
        <v>7.8758520595810955E-2</v>
      </c>
      <c r="J33" s="50">
        <f t="shared" si="5"/>
        <v>4.306990426265532E-2</v>
      </c>
      <c r="K33" s="53">
        <f t="shared" si="6"/>
        <v>108.24647585789894</v>
      </c>
      <c r="L33" s="50">
        <f t="shared" si="7"/>
        <v>0.10767476065663829</v>
      </c>
      <c r="M33" s="48">
        <f t="shared" si="8"/>
        <v>270.61618964474735</v>
      </c>
      <c r="N33" s="48">
        <f t="shared" si="9"/>
        <v>4.3544012909955049E-2</v>
      </c>
      <c r="O33" s="53">
        <f t="shared" si="10"/>
        <v>109.43804085258712</v>
      </c>
      <c r="P33">
        <v>140</v>
      </c>
      <c r="Q33">
        <v>243.18141299481508</v>
      </c>
      <c r="R33">
        <v>468.19409973139676</v>
      </c>
    </row>
    <row r="34" spans="1:18">
      <c r="A34">
        <v>145</v>
      </c>
      <c r="B34" s="55">
        <v>0.86</v>
      </c>
      <c r="C34" s="43">
        <f t="shared" si="0"/>
        <v>0.73099999999999998</v>
      </c>
      <c r="D34" s="43">
        <v>0.38</v>
      </c>
      <c r="E34">
        <v>0.67</v>
      </c>
      <c r="F34" s="56">
        <f t="shared" si="2"/>
        <v>0.48776119402985069</v>
      </c>
      <c r="G34" s="56">
        <v>0.19838991517247778</v>
      </c>
      <c r="H34" s="48">
        <f t="shared" si="3"/>
        <v>0.15871193213798224</v>
      </c>
      <c r="I34" s="50">
        <f t="shared" si="4"/>
        <v>6.0310534212433251E-2</v>
      </c>
      <c r="J34" s="50">
        <f t="shared" si="5"/>
        <v>3.2227597372290043E-2</v>
      </c>
      <c r="K34" s="53">
        <f t="shared" si="6"/>
        <v>80.996786518108905</v>
      </c>
      <c r="L34" s="50">
        <f t="shared" si="7"/>
        <v>8.4809466769184327E-2</v>
      </c>
      <c r="M34" s="48">
        <f t="shared" si="8"/>
        <v>213.14943820554976</v>
      </c>
      <c r="N34" s="48">
        <f t="shared" si="9"/>
        <v>3.3128095046213363E-2</v>
      </c>
      <c r="O34" s="53">
        <f t="shared" si="10"/>
        <v>83.259984019686655</v>
      </c>
      <c r="P34">
        <v>145</v>
      </c>
      <c r="Q34">
        <v>179.8720146815412</v>
      </c>
      <c r="R34">
        <v>368.77065433486109</v>
      </c>
    </row>
    <row r="35" spans="1:18">
      <c r="A35">
        <v>150</v>
      </c>
      <c r="B35" s="55">
        <v>0.86</v>
      </c>
      <c r="C35" s="43">
        <f t="shared" si="0"/>
        <v>0.73099999999999998</v>
      </c>
      <c r="D35" s="43">
        <v>0.36</v>
      </c>
      <c r="E35">
        <v>0.67</v>
      </c>
      <c r="F35" s="56">
        <f t="shared" si="2"/>
        <v>0.46208955223880593</v>
      </c>
      <c r="G35" s="56">
        <v>0.18063569617716008</v>
      </c>
      <c r="H35" s="48">
        <f t="shared" si="3"/>
        <v>0.14450855694172807</v>
      </c>
      <c r="I35" s="50">
        <f t="shared" si="4"/>
        <v>5.2023080499022101E-2</v>
      </c>
      <c r="J35" s="50">
        <f t="shared" si="5"/>
        <v>2.7799105318537947E-2</v>
      </c>
      <c r="K35" s="53">
        <f t="shared" si="6"/>
        <v>69.866772036070216</v>
      </c>
      <c r="L35" s="50">
        <f t="shared" si="7"/>
        <v>7.7219736995938745E-2</v>
      </c>
      <c r="M35" s="48">
        <f t="shared" si="8"/>
        <v>194.07436676686171</v>
      </c>
      <c r="N35" s="48">
        <f t="shared" si="9"/>
        <v>3.0163410808928266E-2</v>
      </c>
      <c r="O35" s="53">
        <f t="shared" si="10"/>
        <v>75.808919843631998</v>
      </c>
      <c r="P35">
        <v>150</v>
      </c>
      <c r="Q35">
        <v>155.15525474105348</v>
      </c>
      <c r="R35">
        <v>335.76880063470878</v>
      </c>
    </row>
    <row r="36" spans="1:18">
      <c r="A36">
        <v>155</v>
      </c>
      <c r="B36" s="55">
        <v>0.86</v>
      </c>
      <c r="C36" s="43">
        <f t="shared" si="0"/>
        <v>0.73099999999999998</v>
      </c>
      <c r="D36" s="43">
        <v>0.34</v>
      </c>
      <c r="E36">
        <v>0.64</v>
      </c>
      <c r="F36" s="56">
        <f t="shared" si="2"/>
        <v>0.45687499999999998</v>
      </c>
      <c r="G36" s="56">
        <v>0.13810064689087198</v>
      </c>
      <c r="H36" s="48">
        <f t="shared" si="3"/>
        <v>0.11048051751269759</v>
      </c>
      <c r="I36" s="50">
        <f t="shared" si="4"/>
        <v>3.7563375954317184E-2</v>
      </c>
      <c r="J36" s="50">
        <f t="shared" si="5"/>
        <v>2.0072403138324885E-2</v>
      </c>
      <c r="K36" s="53">
        <f t="shared" si="6"/>
        <v>50.447451391403334</v>
      </c>
      <c r="L36" s="50">
        <f t="shared" si="7"/>
        <v>5.9036479818602598E-2</v>
      </c>
      <c r="M36" s="48">
        <f t="shared" si="8"/>
        <v>148.3748570335392</v>
      </c>
      <c r="N36" s="48">
        <f t="shared" si="9"/>
        <v>2.3060705238806607E-2</v>
      </c>
      <c r="O36" s="53">
        <f t="shared" si="10"/>
        <v>57.9578737318676</v>
      </c>
      <c r="P36">
        <v>155</v>
      </c>
      <c r="Q36">
        <v>117.28159655224603</v>
      </c>
      <c r="R36">
        <v>256.70390490231694</v>
      </c>
    </row>
    <row r="37" spans="1:18">
      <c r="A37">
        <v>160</v>
      </c>
      <c r="B37" s="55">
        <v>0.86</v>
      </c>
      <c r="C37" s="43">
        <f t="shared" si="0"/>
        <v>0.73099999999999998</v>
      </c>
      <c r="D37" s="43">
        <v>0.32</v>
      </c>
      <c r="E37">
        <v>0.62</v>
      </c>
      <c r="F37" s="56">
        <f t="shared" si="2"/>
        <v>0.44387096774193546</v>
      </c>
      <c r="G37" s="56">
        <v>0.1122112642135074</v>
      </c>
      <c r="H37" s="48">
        <f t="shared" si="3"/>
        <v>8.9769011370805923E-2</v>
      </c>
      <c r="I37" s="50">
        <f t="shared" si="4"/>
        <v>2.8726083638657897E-2</v>
      </c>
      <c r="J37" s="50">
        <f t="shared" si="5"/>
        <v>1.5350098779236872E-2</v>
      </c>
      <c r="K37" s="53">
        <f t="shared" si="6"/>
        <v>38.57900604538257</v>
      </c>
      <c r="L37" s="50">
        <f t="shared" si="7"/>
        <v>4.7969058685115223E-2</v>
      </c>
      <c r="M37" s="48">
        <f t="shared" si="8"/>
        <v>120.55939389182052</v>
      </c>
      <c r="N37" s="48">
        <f t="shared" si="9"/>
        <v>1.8737572536834939E-2</v>
      </c>
      <c r="O37" s="53">
        <f t="shared" si="10"/>
        <v>47.092656182261209</v>
      </c>
      <c r="P37">
        <v>160</v>
      </c>
      <c r="Q37">
        <v>92.582724631736241</v>
      </c>
      <c r="R37">
        <v>208.58026624882442</v>
      </c>
    </row>
    <row r="38" spans="1:18">
      <c r="A38">
        <v>165</v>
      </c>
      <c r="B38" s="55">
        <v>0.86</v>
      </c>
      <c r="C38" s="43">
        <f t="shared" si="0"/>
        <v>0.73099999999999998</v>
      </c>
      <c r="D38" s="43">
        <v>0.3</v>
      </c>
      <c r="E38">
        <v>0.6</v>
      </c>
      <c r="F38" s="56">
        <f t="shared" si="2"/>
        <v>0.43000000000000005</v>
      </c>
      <c r="G38" s="57">
        <v>0.08</v>
      </c>
      <c r="H38" s="48">
        <f t="shared" si="3"/>
        <v>6.4000000000000001E-2</v>
      </c>
      <c r="I38" s="50">
        <f t="shared" si="4"/>
        <v>1.9199999999999998E-2</v>
      </c>
      <c r="J38" s="50">
        <f t="shared" si="5"/>
        <v>1.0259731199999999E-2</v>
      </c>
      <c r="K38" s="53">
        <f t="shared" si="6"/>
        <v>25.785516932580791</v>
      </c>
      <c r="L38" s="50">
        <f t="shared" si="7"/>
        <v>3.4199104000000001E-2</v>
      </c>
      <c r="M38" s="48">
        <f t="shared" si="8"/>
        <v>85.95172310860265</v>
      </c>
      <c r="N38" s="48">
        <f t="shared" si="9"/>
        <v>1.3358781878569662E-2</v>
      </c>
      <c r="O38" s="53">
        <f t="shared" si="10"/>
        <v>33.574280808498322</v>
      </c>
      <c r="P38">
        <v>165</v>
      </c>
      <c r="Q38">
        <v>63.94332341989471</v>
      </c>
      <c r="R38">
        <v>148.7054033020807</v>
      </c>
    </row>
    <row r="39" spans="1:18">
      <c r="A39">
        <v>170</v>
      </c>
      <c r="B39" s="55">
        <v>0.86</v>
      </c>
      <c r="C39" s="43">
        <f t="shared" si="0"/>
        <v>0.73099999999999998</v>
      </c>
      <c r="D39" s="43">
        <v>0.28000000000000003</v>
      </c>
      <c r="E39">
        <v>0.62</v>
      </c>
      <c r="F39" s="56">
        <f t="shared" si="2"/>
        <v>0.38838709677419359</v>
      </c>
      <c r="G39" s="57">
        <v>0.05</v>
      </c>
      <c r="H39" s="48">
        <f t="shared" si="3"/>
        <v>4.0000000000000008E-2</v>
      </c>
      <c r="I39" s="50">
        <f t="shared" si="4"/>
        <v>1.1200000000000003E-2</v>
      </c>
      <c r="J39" s="50">
        <f t="shared" si="5"/>
        <v>5.9848432000000019E-3</v>
      </c>
      <c r="K39" s="53">
        <f t="shared" si="6"/>
        <v>15.041551544005468</v>
      </c>
      <c r="L39" s="50">
        <f t="shared" si="7"/>
        <v>2.1374440000000001E-2</v>
      </c>
      <c r="M39" s="48">
        <f t="shared" si="8"/>
        <v>53.719826942876658</v>
      </c>
      <c r="N39" s="48">
        <f t="shared" si="9"/>
        <v>8.3492386741060402E-3</v>
      </c>
      <c r="O39" s="53">
        <f t="shared" si="10"/>
        <v>20.983925505311458</v>
      </c>
      <c r="P39">
        <v>170</v>
      </c>
      <c r="Q39">
        <v>36.097037414456693</v>
      </c>
      <c r="R39">
        <v>92.940877063800443</v>
      </c>
    </row>
    <row r="40" spans="1:18">
      <c r="A40">
        <v>175</v>
      </c>
      <c r="B40" s="55">
        <v>0.86</v>
      </c>
      <c r="C40" s="43">
        <f t="shared" si="0"/>
        <v>0.73099999999999998</v>
      </c>
      <c r="D40" s="43">
        <v>0.28000000000000003</v>
      </c>
      <c r="E40">
        <v>0.64</v>
      </c>
      <c r="F40" s="56">
        <f t="shared" si="2"/>
        <v>0.37625000000000003</v>
      </c>
      <c r="G40" s="57">
        <v>0.03</v>
      </c>
      <c r="H40" s="48">
        <f t="shared" si="3"/>
        <v>2.4E-2</v>
      </c>
      <c r="I40" s="50">
        <f t="shared" si="4"/>
        <v>6.7200000000000011E-3</v>
      </c>
      <c r="J40" s="50">
        <f t="shared" si="5"/>
        <v>3.5909059200000004E-3</v>
      </c>
      <c r="K40" s="53">
        <f t="shared" si="6"/>
        <v>9.0249309264032789</v>
      </c>
      <c r="L40" s="50">
        <f t="shared" si="7"/>
        <v>1.2824664E-2</v>
      </c>
      <c r="M40" s="48">
        <f t="shared" si="8"/>
        <v>32.231896165725992</v>
      </c>
      <c r="N40" s="48">
        <f t="shared" si="9"/>
        <v>5.0095432044636231E-3</v>
      </c>
      <c r="O40" s="53">
        <f t="shared" si="10"/>
        <v>12.590355303186872</v>
      </c>
      <c r="P40">
        <v>175</v>
      </c>
      <c r="Q40">
        <v>20.981402997152948</v>
      </c>
      <c r="R40">
        <v>55.764526238280254</v>
      </c>
    </row>
    <row r="41" spans="1:18">
      <c r="A41">
        <v>180</v>
      </c>
      <c r="B41" s="55">
        <v>0.86</v>
      </c>
      <c r="C41" s="43">
        <f t="shared" si="0"/>
        <v>0.73099999999999998</v>
      </c>
      <c r="D41" s="43">
        <v>0.28000000000000003</v>
      </c>
      <c r="E41">
        <v>0.67</v>
      </c>
      <c r="F41" s="56">
        <f t="shared" si="2"/>
        <v>0.35940298507462687</v>
      </c>
      <c r="G41" s="57">
        <v>0.02</v>
      </c>
      <c r="H41" s="48">
        <f t="shared" si="3"/>
        <v>1.6E-2</v>
      </c>
      <c r="I41" s="50">
        <f t="shared" si="4"/>
        <v>4.4800000000000005E-3</v>
      </c>
      <c r="J41" s="50">
        <f t="shared" si="5"/>
        <v>2.3939372800000002E-3</v>
      </c>
      <c r="K41" s="53">
        <f t="shared" si="6"/>
        <v>6.0166206176021859</v>
      </c>
      <c r="L41" s="50">
        <f t="shared" si="7"/>
        <v>8.5497760000000003E-3</v>
      </c>
      <c r="M41" s="48">
        <f t="shared" si="8"/>
        <v>21.487930777150662</v>
      </c>
      <c r="N41" s="48">
        <f t="shared" si="9"/>
        <v>3.3396954696424154E-3</v>
      </c>
      <c r="O41" s="53">
        <f t="shared" si="10"/>
        <v>8.3935702021245806</v>
      </c>
      <c r="P41">
        <v>180</v>
      </c>
      <c r="Q41">
        <v>13.36129146087352</v>
      </c>
      <c r="R41">
        <v>37.176350825520174</v>
      </c>
    </row>
    <row r="42" spans="1:18">
      <c r="B42" t="s">
        <v>182</v>
      </c>
      <c r="C42" s="43" t="s">
        <v>201</v>
      </c>
      <c r="D42" s="43" t="s">
        <v>188</v>
      </c>
      <c r="H42" s="48" t="s">
        <v>203</v>
      </c>
      <c r="M42" s="53"/>
      <c r="N42" s="48"/>
      <c r="O42" s="48"/>
    </row>
    <row r="46" spans="1:18">
      <c r="K46" t="s">
        <v>189</v>
      </c>
    </row>
  </sheetData>
  <mergeCells count="18">
    <mergeCell ref="C16:E16"/>
    <mergeCell ref="C15:E15"/>
    <mergeCell ref="C5:E5"/>
    <mergeCell ref="C6:E6"/>
    <mergeCell ref="C7:E7"/>
    <mergeCell ref="C12:E12"/>
    <mergeCell ref="C13:E13"/>
    <mergeCell ref="C14:E14"/>
    <mergeCell ref="F7:F8"/>
    <mergeCell ref="C8:E8"/>
    <mergeCell ref="C9:E9"/>
    <mergeCell ref="C10:E10"/>
    <mergeCell ref="C11:E11"/>
    <mergeCell ref="C17:E17"/>
    <mergeCell ref="C18:E18"/>
    <mergeCell ref="C19:E19"/>
    <mergeCell ref="C20:E20"/>
    <mergeCell ref="N22:O22"/>
  </mergeCells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5AD3-F3B9-4260-9A4B-CCDC35D39725}">
  <sheetPr>
    <tabColor theme="8" tint="0.79998168889431442"/>
  </sheetPr>
  <dimension ref="A1:X54"/>
  <sheetViews>
    <sheetView topLeftCell="A22" workbookViewId="0">
      <selection activeCell="J31" sqref="J31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  <col min="16" max="16" width="13.33203125" bestFit="1" customWidth="1"/>
    <col min="17" max="17" width="8.83203125" customWidth="1"/>
  </cols>
  <sheetData>
    <row r="1" spans="1:7">
      <c r="A1" t="s">
        <v>268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203">
        <v>60</v>
      </c>
      <c r="D5" s="203"/>
      <c r="E5" s="244"/>
      <c r="F5" s="204"/>
      <c r="G5" s="16"/>
    </row>
    <row r="6" spans="1:7">
      <c r="A6" s="16"/>
      <c r="B6" s="19" t="s">
        <v>82</v>
      </c>
      <c r="C6" s="228">
        <v>19</v>
      </c>
      <c r="D6" s="228"/>
      <c r="E6" s="245"/>
      <c r="F6" s="229"/>
      <c r="G6" s="16" t="s">
        <v>269</v>
      </c>
    </row>
    <row r="7" spans="1:7">
      <c r="A7" s="16"/>
      <c r="B7" s="20" t="s">
        <v>83</v>
      </c>
      <c r="C7" s="193">
        <v>0.86</v>
      </c>
      <c r="D7" s="193"/>
      <c r="E7" s="246"/>
      <c r="F7" s="194"/>
      <c r="G7" s="207" t="s">
        <v>84</v>
      </c>
    </row>
    <row r="8" spans="1:7">
      <c r="A8" s="16"/>
      <c r="B8" s="20" t="s">
        <v>85</v>
      </c>
      <c r="C8" s="193">
        <v>0.83</v>
      </c>
      <c r="D8" s="193"/>
      <c r="E8" s="246"/>
      <c r="F8" s="194"/>
      <c r="G8" s="207"/>
    </row>
    <row r="9" spans="1:7">
      <c r="A9" s="16"/>
      <c r="B9" s="20" t="s">
        <v>86</v>
      </c>
      <c r="C9" s="193">
        <v>1</v>
      </c>
      <c r="D9" s="193"/>
      <c r="E9" s="246"/>
      <c r="F9" s="194"/>
      <c r="G9" s="47" t="s">
        <v>176</v>
      </c>
    </row>
    <row r="10" spans="1:7">
      <c r="A10" s="16"/>
      <c r="B10" s="20" t="s">
        <v>87</v>
      </c>
      <c r="C10" s="214">
        <v>0.5</v>
      </c>
      <c r="D10" s="214"/>
      <c r="E10" s="247"/>
      <c r="F10" s="215"/>
      <c r="G10" s="42" t="s">
        <v>177</v>
      </c>
    </row>
    <row r="11" spans="1:7">
      <c r="A11" s="16"/>
      <c r="B11" s="20" t="s">
        <v>90</v>
      </c>
      <c r="C11" s="214">
        <v>0.36</v>
      </c>
      <c r="D11" s="214"/>
      <c r="E11" s="247"/>
      <c r="F11" s="215"/>
      <c r="G11" s="43" t="s">
        <v>178</v>
      </c>
    </row>
    <row r="12" spans="1:7">
      <c r="A12" s="16"/>
      <c r="B12" s="45" t="s">
        <v>92</v>
      </c>
      <c r="C12" s="233">
        <f>((C5/2)^2*PI()-(C6/2)^2*PI())*C7*C8*C9*C10*C11</f>
        <v>326.85104521047714</v>
      </c>
      <c r="D12" s="233"/>
      <c r="E12" s="248"/>
      <c r="F12" s="234"/>
      <c r="G12" s="16"/>
    </row>
    <row r="13" spans="1:7">
      <c r="A13" s="16"/>
      <c r="B13" s="20" t="s">
        <v>93</v>
      </c>
      <c r="C13" s="197">
        <v>17000</v>
      </c>
      <c r="D13" s="197"/>
      <c r="E13" s="249"/>
      <c r="F13" s="198"/>
      <c r="G13" s="16"/>
    </row>
    <row r="14" spans="1:7">
      <c r="A14" s="16"/>
      <c r="B14" s="20" t="s">
        <v>94</v>
      </c>
      <c r="C14" s="199">
        <v>3</v>
      </c>
      <c r="D14" s="199"/>
      <c r="E14" s="243"/>
      <c r="F14" s="200"/>
      <c r="G14" s="38" t="s">
        <v>126</v>
      </c>
    </row>
    <row r="15" spans="1:7">
      <c r="A15" s="16"/>
      <c r="B15" s="20" t="s">
        <v>95</v>
      </c>
      <c r="C15" s="216">
        <v>0.2</v>
      </c>
      <c r="D15" s="217"/>
      <c r="E15" s="217"/>
      <c r="F15" s="218"/>
      <c r="G15" s="16"/>
    </row>
    <row r="16" spans="1:7">
      <c r="A16" s="16"/>
      <c r="B16" s="20" t="s">
        <v>96</v>
      </c>
      <c r="C16" s="222">
        <f>$C$14/10*C15/10</f>
        <v>6.0000000000000001E-3</v>
      </c>
      <c r="D16" s="223"/>
      <c r="E16" s="223"/>
      <c r="F16" s="224"/>
      <c r="G16" s="16"/>
    </row>
    <row r="17" spans="1:24">
      <c r="A17" s="16"/>
      <c r="B17" s="21" t="s">
        <v>97</v>
      </c>
      <c r="C17" s="199">
        <f>DEGREES(ATAN(C14/C13))*3600</f>
        <v>36.399671312812814</v>
      </c>
      <c r="D17" s="199"/>
      <c r="E17" s="243"/>
      <c r="F17" s="200"/>
      <c r="G17" s="38" t="s">
        <v>126</v>
      </c>
    </row>
    <row r="18" spans="1:24" ht="19" thickBot="1">
      <c r="A18" s="16"/>
      <c r="B18" s="24" t="s">
        <v>98</v>
      </c>
      <c r="C18" s="219">
        <f>DEGREES(ATAN(C15/C13))*3600</f>
        <v>2.4266447792656485</v>
      </c>
      <c r="D18" s="220"/>
      <c r="E18" s="220"/>
      <c r="F18" s="221"/>
      <c r="G18" s="16"/>
    </row>
    <row r="19" spans="1:24">
      <c r="A19" s="16"/>
      <c r="B19" s="25" t="s">
        <v>99</v>
      </c>
      <c r="C19" s="201">
        <f>C17/3600</f>
        <v>1.011101980911467E-2</v>
      </c>
      <c r="D19" s="201"/>
      <c r="E19" s="201"/>
      <c r="F19" s="201"/>
      <c r="G19" s="16"/>
    </row>
    <row r="20" spans="1:24">
      <c r="A20" s="16"/>
      <c r="B20" s="26" t="s">
        <v>101</v>
      </c>
      <c r="C20" s="225">
        <f>C18/3600</f>
        <v>6.7406799424045796E-4</v>
      </c>
      <c r="D20" s="226"/>
      <c r="E20" s="226"/>
      <c r="F20" s="227"/>
      <c r="G20" s="16"/>
    </row>
    <row r="22" spans="1:24" ht="76" customHeight="1" thickBot="1">
      <c r="B22" t="s">
        <v>180</v>
      </c>
      <c r="D22" t="s">
        <v>183</v>
      </c>
      <c r="G22" t="s">
        <v>190</v>
      </c>
      <c r="H22" t="s">
        <v>195</v>
      </c>
      <c r="I22" t="s">
        <v>196</v>
      </c>
      <c r="K22" s="240" t="s">
        <v>197</v>
      </c>
      <c r="L22" s="240"/>
      <c r="M22" s="240" t="s">
        <v>237</v>
      </c>
      <c r="N22" s="240"/>
      <c r="O22" t="s">
        <v>263</v>
      </c>
      <c r="Q22" s="240" t="s">
        <v>270</v>
      </c>
      <c r="R22" s="240"/>
    </row>
    <row r="23" spans="1:24" ht="19" thickBot="1">
      <c r="B23" s="118" t="s">
        <v>181</v>
      </c>
      <c r="C23" s="38" t="s">
        <v>180</v>
      </c>
      <c r="D23" t="s">
        <v>185</v>
      </c>
      <c r="E23" t="s">
        <v>180</v>
      </c>
      <c r="F23" t="s">
        <v>185</v>
      </c>
      <c r="G23" t="s">
        <v>191</v>
      </c>
      <c r="V23" s="128" t="s">
        <v>268</v>
      </c>
      <c r="W23" s="129"/>
      <c r="X23" s="130"/>
    </row>
    <row r="24" spans="1:24">
      <c r="A24" t="s">
        <v>179</v>
      </c>
      <c r="B24" s="119" t="s">
        <v>262</v>
      </c>
      <c r="C24" s="38" t="s">
        <v>261</v>
      </c>
      <c r="D24" t="s">
        <v>186</v>
      </c>
      <c r="E24" t="s">
        <v>184</v>
      </c>
      <c r="F24" s="43" t="s">
        <v>187</v>
      </c>
      <c r="G24" s="43" t="s">
        <v>192</v>
      </c>
      <c r="H24" s="43" t="s">
        <v>193</v>
      </c>
      <c r="I24" s="43" t="s">
        <v>193</v>
      </c>
      <c r="J24" s="43" t="s">
        <v>194</v>
      </c>
      <c r="K24" s="43" t="s">
        <v>193</v>
      </c>
      <c r="L24" s="43" t="s">
        <v>194</v>
      </c>
      <c r="M24" s="43" t="s">
        <v>193</v>
      </c>
      <c r="N24" s="43" t="s">
        <v>194</v>
      </c>
      <c r="O24" s="43" t="s">
        <v>193</v>
      </c>
      <c r="P24" s="122" t="s">
        <v>194</v>
      </c>
      <c r="Q24" s="43" t="s">
        <v>193</v>
      </c>
      <c r="R24" s="122" t="s">
        <v>194</v>
      </c>
      <c r="V24" s="131" t="s">
        <v>271</v>
      </c>
      <c r="W24" s="51"/>
      <c r="X24" s="132"/>
    </row>
    <row r="25" spans="1:24">
      <c r="A25">
        <v>100</v>
      </c>
      <c r="B25" s="48">
        <v>0.17045892788276129</v>
      </c>
      <c r="F25" s="48"/>
      <c r="G25" s="43"/>
      <c r="P25" s="123"/>
      <c r="R25" s="123"/>
      <c r="V25" s="131" t="s">
        <v>272</v>
      </c>
      <c r="W25" s="51"/>
      <c r="X25" s="132"/>
    </row>
    <row r="26" spans="1:24">
      <c r="A26">
        <v>105</v>
      </c>
      <c r="B26" s="48">
        <v>0.17641001185304983</v>
      </c>
      <c r="F26" s="48"/>
      <c r="G26" s="43"/>
      <c r="P26" s="123"/>
      <c r="R26" s="123"/>
      <c r="V26" s="131" t="s">
        <v>273</v>
      </c>
      <c r="W26" s="51"/>
      <c r="X26" s="132"/>
    </row>
    <row r="27" spans="1:24">
      <c r="A27">
        <v>110</v>
      </c>
      <c r="B27" s="48">
        <v>0.27570247933884301</v>
      </c>
      <c r="F27" s="48"/>
      <c r="G27" s="43"/>
      <c r="P27" s="123"/>
      <c r="R27" s="123"/>
      <c r="V27" s="131" t="s">
        <v>113</v>
      </c>
      <c r="W27" s="51" t="s">
        <v>195</v>
      </c>
      <c r="X27" s="132" t="s">
        <v>198</v>
      </c>
    </row>
    <row r="28" spans="1:24">
      <c r="A28">
        <v>115</v>
      </c>
      <c r="B28" s="48">
        <v>0.71937067618835071</v>
      </c>
      <c r="C28" s="121">
        <v>0.49374256752930518</v>
      </c>
      <c r="D28" s="135">
        <f>0.64*0.57</f>
        <v>0.36479999999999996</v>
      </c>
      <c r="E28" s="135">
        <v>0.64</v>
      </c>
      <c r="F28" s="48">
        <f t="shared" ref="F28:F41" si="0">D28*B28/E28</f>
        <v>0.41004128542735985</v>
      </c>
      <c r="G28" s="48">
        <v>0.37582648709983441</v>
      </c>
      <c r="H28" s="50">
        <f>F28*G28</f>
        <v>0.15410437586806516</v>
      </c>
      <c r="I28" s="50">
        <f>$B28*$B28*$H28</f>
        <v>7.9748116046178819E-2</v>
      </c>
      <c r="J28" s="48">
        <f>(($C$5/2)^2*PI()-($C$6/2)^2*PI())*I28</f>
        <v>202.87160333784729</v>
      </c>
      <c r="K28" s="50">
        <f t="shared" ref="K28:K41" si="1">B28*B28*G28</f>
        <v>0.19448801591542778</v>
      </c>
      <c r="L28" s="48">
        <f>(($C$5/2)^2*PI()-($C$6/2)^2*PI())*K28</f>
        <v>494.758968298539</v>
      </c>
      <c r="M28" s="48">
        <f>B28^5*G28</f>
        <v>7.2402079128449703E-2</v>
      </c>
      <c r="N28" s="48">
        <f>(($C$5/2)^2*PI()-($C$6/2)^2*PI())*M28</f>
        <v>184.18398585462359</v>
      </c>
      <c r="O28" s="50">
        <f>$B28*$C28*$H28</f>
        <v>5.4735397029105279E-2</v>
      </c>
      <c r="P28" s="124">
        <f>(($C$5/2)^2*PI()-($C$6/2)^2*PI())*O28</f>
        <v>139.24163109004627</v>
      </c>
      <c r="Q28" s="48">
        <f>B28^4*C28*G28</f>
        <v>4.969341902112908E-2</v>
      </c>
      <c r="R28" s="124">
        <f>(($C$5/2)^2*PI()-($C$6/2)^2*PI())*Q28</f>
        <v>126.41531978408398</v>
      </c>
      <c r="V28" s="131" t="s">
        <v>179</v>
      </c>
      <c r="W28" s="51" t="s">
        <v>92</v>
      </c>
      <c r="X28" s="132"/>
    </row>
    <row r="29" spans="1:24">
      <c r="A29">
        <v>120</v>
      </c>
      <c r="B29" s="48">
        <v>0.82490399830674177</v>
      </c>
      <c r="C29" s="121">
        <v>0.67349413633995403</v>
      </c>
      <c r="D29" s="134">
        <v>0.42</v>
      </c>
      <c r="E29" s="134">
        <v>0.73</v>
      </c>
      <c r="F29" s="48">
        <f t="shared" si="0"/>
        <v>0.47460230039565965</v>
      </c>
      <c r="G29" s="48">
        <v>0.37102590432052945</v>
      </c>
      <c r="H29" s="50">
        <f>F29*G29</f>
        <v>0.17608974769690319</v>
      </c>
      <c r="I29" s="50">
        <f t="shared" ref="I29:I41" si="2">$B29*$B29*$H29</f>
        <v>0.11982319304109698</v>
      </c>
      <c r="J29" s="48">
        <f t="shared" ref="J29:J41" si="3">(($C$5/2)^2*PI()-($C$6/2)^2*PI())*I29</f>
        <v>304.81877810419445</v>
      </c>
      <c r="K29" s="50">
        <f t="shared" si="1"/>
        <v>0.25247073800781095</v>
      </c>
      <c r="L29" s="48">
        <f>(($C$5/2)^2*PI()-($C$6/2)^2*PI())*K29</f>
        <v>642.26148472116017</v>
      </c>
      <c r="M29" s="48">
        <f t="shared" ref="M29:M41" si="4">B29^5*G29</f>
        <v>0.14171677981844144</v>
      </c>
      <c r="N29" s="48">
        <f>(($C$5/2)^2*PI()-($C$6/2)^2*PI())*M29</f>
        <v>360.51397533950251</v>
      </c>
      <c r="O29" s="50">
        <f t="shared" ref="O29:O41" si="5">$B29*$C29*$H29</f>
        <v>9.7829829987926303E-2</v>
      </c>
      <c r="P29" s="124">
        <f t="shared" ref="P29:R41" si="6">(($C$5/2)^2*PI()-($C$6/2)^2*PI())*O29</f>
        <v>248.86975953672825</v>
      </c>
      <c r="Q29" s="48">
        <f t="shared" ref="Q29:Q41" si="7">B29^4*C29*G29</f>
        <v>0.11570488253738484</v>
      </c>
      <c r="R29" s="124">
        <f>(($C$5/2)^2*PI()-($C$6/2)^2*PI())*Q29</f>
        <v>294.34218885853272</v>
      </c>
      <c r="V29" s="131">
        <v>115</v>
      </c>
      <c r="W29" s="136">
        <v>139.24163109004627</v>
      </c>
      <c r="X29" s="137">
        <v>126.41531978408398</v>
      </c>
    </row>
    <row r="30" spans="1:24">
      <c r="A30">
        <v>125</v>
      </c>
      <c r="B30" s="48">
        <v>0.86132111952688484</v>
      </c>
      <c r="C30" s="121">
        <v>0.80124275747613405</v>
      </c>
      <c r="D30" s="134">
        <v>0.48</v>
      </c>
      <c r="E30" s="134">
        <v>0.82</v>
      </c>
      <c r="F30" s="48">
        <f t="shared" si="0"/>
        <v>0.50418797240598134</v>
      </c>
      <c r="G30" s="49">
        <f>(G29+G31)/2</f>
        <v>0.32829969791945335</v>
      </c>
      <c r="H30" s="50">
        <f t="shared" ref="H30:H41" si="8">F30*G30</f>
        <v>0.16552475903550534</v>
      </c>
      <c r="I30" s="50">
        <f t="shared" si="2"/>
        <v>0.12279852682753713</v>
      </c>
      <c r="J30" s="48">
        <f t="shared" si="3"/>
        <v>312.38774356252395</v>
      </c>
      <c r="K30" s="50">
        <f t="shared" si="1"/>
        <v>0.24355703338487719</v>
      </c>
      <c r="L30" s="48">
        <f t="shared" ref="L30:L41" si="9">(($C$5/2)^2*PI()-($C$6/2)^2*PI())*K30</f>
        <v>619.58587007106087</v>
      </c>
      <c r="M30" s="48">
        <f t="shared" si="4"/>
        <v>0.15563094846406283</v>
      </c>
      <c r="N30" s="48">
        <f t="shared" ref="N30:N41" si="10">(($C$5/2)^2*PI()-($C$6/2)^2*PI())*M30</f>
        <v>395.91029367529688</v>
      </c>
      <c r="O30" s="50">
        <f t="shared" si="5"/>
        <v>0.11423315650653998</v>
      </c>
      <c r="P30" s="124">
        <f t="shared" si="6"/>
        <v>290.59825816330914</v>
      </c>
      <c r="Q30" s="48">
        <f t="shared" si="7"/>
        <v>0.14477547045922581</v>
      </c>
      <c r="R30" s="124">
        <f t="shared" si="6"/>
        <v>368.29499268731138</v>
      </c>
      <c r="V30" s="131">
        <v>120</v>
      </c>
      <c r="W30" s="136">
        <v>248.86975953672825</v>
      </c>
      <c r="X30" s="137">
        <v>294.34218885853272</v>
      </c>
    </row>
    <row r="31" spans="1:24">
      <c r="A31">
        <v>130</v>
      </c>
      <c r="B31" s="48">
        <v>0.86073431922488519</v>
      </c>
      <c r="C31" s="121">
        <v>0.83222289879576472</v>
      </c>
      <c r="D31" s="134">
        <v>0.48</v>
      </c>
      <c r="E31" s="134">
        <v>0.84</v>
      </c>
      <c r="F31" s="48">
        <f t="shared" si="0"/>
        <v>0.49184818241422007</v>
      </c>
      <c r="G31" s="48">
        <v>0.2855734915183773</v>
      </c>
      <c r="H31" s="50">
        <f t="shared" si="8"/>
        <v>0.14045880274899655</v>
      </c>
      <c r="I31" s="50">
        <f t="shared" si="2"/>
        <v>0.10406080980257726</v>
      </c>
      <c r="J31" s="48">
        <f t="shared" si="3"/>
        <v>264.72077806902837</v>
      </c>
      <c r="K31" s="50">
        <f t="shared" si="1"/>
        <v>0.211570995935775</v>
      </c>
      <c r="L31" s="48">
        <f t="shared" si="9"/>
        <v>538.21644062941436</v>
      </c>
      <c r="M31" s="48">
        <f t="shared" si="4"/>
        <v>0.13491601002187573</v>
      </c>
      <c r="N31" s="48">
        <f t="shared" si="10"/>
        <v>343.21346542197699</v>
      </c>
      <c r="O31" s="50">
        <f t="shared" si="5"/>
        <v>0.10061384430787292</v>
      </c>
      <c r="P31" s="124">
        <f t="shared" si="6"/>
        <v>255.95202651437128</v>
      </c>
      <c r="Q31" s="48">
        <f t="shared" si="7"/>
        <v>0.13044698049855297</v>
      </c>
      <c r="R31" s="124">
        <f t="shared" si="6"/>
        <v>331.84468043104795</v>
      </c>
      <c r="V31" s="131">
        <v>125</v>
      </c>
      <c r="W31" s="136">
        <v>290.59825816330914</v>
      </c>
      <c r="X31" s="137">
        <v>368.29499268731138</v>
      </c>
    </row>
    <row r="32" spans="1:24">
      <c r="A32">
        <v>135</v>
      </c>
      <c r="B32" s="50">
        <f>AVERAGE(B31,B33)</f>
        <v>0.85381530656481219</v>
      </c>
      <c r="C32" s="121">
        <f>AVERAGE(C31,C33)</f>
        <v>0.83032179625044633</v>
      </c>
      <c r="D32" s="134">
        <v>0.48</v>
      </c>
      <c r="E32" s="134">
        <v>0.84</v>
      </c>
      <c r="F32" s="48">
        <f t="shared" si="0"/>
        <v>0.48789446089417843</v>
      </c>
      <c r="G32" s="48">
        <v>0.30899662300809955</v>
      </c>
      <c r="H32" s="50">
        <f t="shared" si="8"/>
        <v>0.15075774080065843</v>
      </c>
      <c r="I32" s="50">
        <f t="shared" si="2"/>
        <v>0.10990248014009996</v>
      </c>
      <c r="J32" s="48">
        <f t="shared" si="3"/>
        <v>279.58143041168847</v>
      </c>
      <c r="K32" s="50">
        <f t="shared" si="1"/>
        <v>0.22525871668778213</v>
      </c>
      <c r="L32" s="48">
        <f t="shared" si="9"/>
        <v>573.03669711537896</v>
      </c>
      <c r="M32" s="48">
        <f t="shared" si="4"/>
        <v>0.14020820015207833</v>
      </c>
      <c r="N32" s="48">
        <f t="shared" si="10"/>
        <v>356.67629250946874</v>
      </c>
      <c r="O32" s="50">
        <f t="shared" si="5"/>
        <v>0.10687841272072554</v>
      </c>
      <c r="P32" s="124">
        <f t="shared" si="6"/>
        <v>271.88849123786542</v>
      </c>
      <c r="Q32" s="48">
        <f t="shared" si="7"/>
        <v>0.13635024308442592</v>
      </c>
      <c r="R32" s="124">
        <f t="shared" si="6"/>
        <v>346.86201758076686</v>
      </c>
      <c r="V32" s="131">
        <v>130</v>
      </c>
      <c r="W32" s="136">
        <v>255.95202651437128</v>
      </c>
      <c r="X32" s="137">
        <v>331.84468043104795</v>
      </c>
    </row>
    <row r="33" spans="1:24">
      <c r="A33">
        <v>140</v>
      </c>
      <c r="B33" s="48">
        <v>0.84689629390473931</v>
      </c>
      <c r="C33" s="121">
        <v>0.82842069370512805</v>
      </c>
      <c r="D33" s="134">
        <v>0.47</v>
      </c>
      <c r="E33" s="134">
        <v>0.84</v>
      </c>
      <c r="F33" s="48">
        <f t="shared" si="0"/>
        <v>0.47385864063717553</v>
      </c>
      <c r="G33" s="48">
        <v>0.24612037686190918</v>
      </c>
      <c r="H33" s="50">
        <f t="shared" si="8"/>
        <v>0.11662626721289364</v>
      </c>
      <c r="I33" s="50">
        <f t="shared" si="2"/>
        <v>8.3648246305251917E-2</v>
      </c>
      <c r="J33" s="48">
        <f t="shared" si="3"/>
        <v>212.79316284436212</v>
      </c>
      <c r="K33" s="50">
        <f t="shared" si="1"/>
        <v>0.17652573812471592</v>
      </c>
      <c r="L33" s="48">
        <f t="shared" si="9"/>
        <v>449.06464627980426</v>
      </c>
      <c r="M33" s="48">
        <f t="shared" si="4"/>
        <v>0.10722566125862606</v>
      </c>
      <c r="N33" s="48">
        <f t="shared" si="10"/>
        <v>272.77185840856833</v>
      </c>
      <c r="O33" s="50">
        <f t="shared" si="5"/>
        <v>8.1823404742881981E-2</v>
      </c>
      <c r="P33" s="124">
        <f t="shared" si="6"/>
        <v>208.15093990606528</v>
      </c>
      <c r="Q33" s="48">
        <f t="shared" si="7"/>
        <v>0.10488646286702683</v>
      </c>
      <c r="R33" s="124">
        <f t="shared" si="6"/>
        <v>266.82116073999578</v>
      </c>
      <c r="V33" s="131">
        <v>135</v>
      </c>
      <c r="W33" s="136">
        <v>271.88849123786542</v>
      </c>
      <c r="X33" s="137">
        <v>346.86201758076686</v>
      </c>
    </row>
    <row r="34" spans="1:24">
      <c r="A34">
        <v>145</v>
      </c>
      <c r="B34" s="50">
        <f>AVERAGE(B33,B35)</f>
        <v>0.82064686686819976</v>
      </c>
      <c r="C34" s="121">
        <f>AVERAGE(C33,C35)</f>
        <v>0.82296254046685458</v>
      </c>
      <c r="D34" s="134">
        <v>0.46</v>
      </c>
      <c r="E34" s="134">
        <v>0.83</v>
      </c>
      <c r="F34" s="48">
        <f t="shared" si="0"/>
        <v>0.45481633585466497</v>
      </c>
      <c r="G34" s="48">
        <v>0.19838991517247778</v>
      </c>
      <c r="H34" s="50">
        <f t="shared" si="8"/>
        <v>9.0230974289264146E-2</v>
      </c>
      <c r="I34" s="50">
        <f t="shared" si="2"/>
        <v>6.0767067449571506E-2</v>
      </c>
      <c r="J34" s="48">
        <f t="shared" si="3"/>
        <v>154.5856255274432</v>
      </c>
      <c r="K34" s="50">
        <f t="shared" si="1"/>
        <v>0.1336079262311049</v>
      </c>
      <c r="L34" s="48">
        <f t="shared" si="9"/>
        <v>339.88582498241777</v>
      </c>
      <c r="M34" s="48">
        <f t="shared" si="4"/>
        <v>7.3841612254379158E-2</v>
      </c>
      <c r="N34" s="48">
        <f t="shared" si="10"/>
        <v>187.84602086929584</v>
      </c>
      <c r="O34" s="50">
        <f t="shared" si="5"/>
        <v>6.0938537907135874E-2</v>
      </c>
      <c r="P34" s="124">
        <f t="shared" si="6"/>
        <v>155.02183002199217</v>
      </c>
      <c r="Q34" s="48">
        <f t="shared" si="7"/>
        <v>7.4049976020675048E-2</v>
      </c>
      <c r="R34" s="124">
        <f t="shared" si="6"/>
        <v>188.37607842352674</v>
      </c>
      <c r="V34" s="131">
        <v>140</v>
      </c>
      <c r="W34" s="136">
        <v>208.15093990606528</v>
      </c>
      <c r="X34" s="137">
        <v>266.82116073999578</v>
      </c>
    </row>
    <row r="35" spans="1:24">
      <c r="A35">
        <v>150</v>
      </c>
      <c r="B35" s="48">
        <v>0.79439743983166022</v>
      </c>
      <c r="C35" s="121">
        <v>0.8175043872285811</v>
      </c>
      <c r="D35" s="134">
        <v>0.45</v>
      </c>
      <c r="E35" s="134">
        <v>0.83</v>
      </c>
      <c r="F35" s="48">
        <f t="shared" si="0"/>
        <v>0.43069740713764715</v>
      </c>
      <c r="G35" s="48">
        <v>0.18063569617716008</v>
      </c>
      <c r="H35" s="50">
        <f t="shared" si="8"/>
        <v>7.7799325980006648E-2</v>
      </c>
      <c r="I35" s="50">
        <f t="shared" si="2"/>
        <v>4.9096609997611056E-2</v>
      </c>
      <c r="J35" s="48">
        <f t="shared" si="3"/>
        <v>124.89709453325189</v>
      </c>
      <c r="K35" s="50">
        <f t="shared" si="1"/>
        <v>0.11399327969931382</v>
      </c>
      <c r="L35" s="48">
        <f t="shared" si="9"/>
        <v>289.98803443768088</v>
      </c>
      <c r="M35" s="48">
        <f t="shared" si="4"/>
        <v>5.7146910516305438E-2</v>
      </c>
      <c r="N35" s="48">
        <f t="shared" si="10"/>
        <v>145.37629146667322</v>
      </c>
      <c r="O35" s="50">
        <f t="shared" si="5"/>
        <v>5.0524702193908089E-2</v>
      </c>
      <c r="P35" s="124">
        <f t="shared" si="6"/>
        <v>128.53002491381764</v>
      </c>
      <c r="Q35" s="48">
        <f t="shared" si="7"/>
        <v>5.8809164935801857E-2</v>
      </c>
      <c r="R35" s="124">
        <f t="shared" si="6"/>
        <v>149.6049082159816</v>
      </c>
      <c r="V35" s="131">
        <v>145</v>
      </c>
      <c r="W35" s="136">
        <v>155.02183002199217</v>
      </c>
      <c r="X35" s="137">
        <v>188.37607842352674</v>
      </c>
    </row>
    <row r="36" spans="1:24">
      <c r="A36">
        <v>155</v>
      </c>
      <c r="B36" s="50">
        <f>AVERAGE(B35,B37)</f>
        <v>0.77986026455203206</v>
      </c>
      <c r="C36" s="121">
        <f>AVERAGE(C35,C37)</f>
        <v>0.81254884060299859</v>
      </c>
      <c r="D36" s="134">
        <v>0.43</v>
      </c>
      <c r="E36" s="134">
        <v>0.82</v>
      </c>
      <c r="F36" s="48">
        <f t="shared" si="0"/>
        <v>0.4089511143382607</v>
      </c>
      <c r="G36" s="48">
        <v>0.13810064689087198</v>
      </c>
      <c r="H36" s="50">
        <f t="shared" si="8"/>
        <v>5.6476413436856755E-2</v>
      </c>
      <c r="I36" s="50">
        <f t="shared" si="2"/>
        <v>3.4347939896929129E-2</v>
      </c>
      <c r="J36" s="48">
        <f t="shared" si="3"/>
        <v>87.377884064458883</v>
      </c>
      <c r="K36" s="50">
        <f t="shared" si="1"/>
        <v>8.3990332077976695E-2</v>
      </c>
      <c r="L36" s="48">
        <f t="shared" si="9"/>
        <v>213.66339643272119</v>
      </c>
      <c r="M36" s="48">
        <f t="shared" si="4"/>
        <v>3.9836362579654262E-2</v>
      </c>
      <c r="N36" s="48">
        <f t="shared" si="10"/>
        <v>101.33990805503826</v>
      </c>
      <c r="O36" s="50">
        <f t="shared" si="5"/>
        <v>3.5787666084491396E-2</v>
      </c>
      <c r="P36" s="124">
        <f t="shared" si="6"/>
        <v>91.040410209516807</v>
      </c>
      <c r="Q36" s="48">
        <f t="shared" si="7"/>
        <v>4.1506141163035366E-2</v>
      </c>
      <c r="R36" s="124">
        <f t="shared" si="6"/>
        <v>105.58766555984963</v>
      </c>
      <c r="V36" s="131">
        <v>150</v>
      </c>
      <c r="W36" s="136">
        <v>128.53002491381764</v>
      </c>
      <c r="X36" s="137">
        <v>149.6049082159816</v>
      </c>
    </row>
    <row r="37" spans="1:24">
      <c r="A37">
        <v>160</v>
      </c>
      <c r="B37" s="48">
        <v>0.765323089272404</v>
      </c>
      <c r="C37" s="121">
        <v>0.80759329397741619</v>
      </c>
      <c r="D37" s="134">
        <v>0.41</v>
      </c>
      <c r="E37" s="134">
        <v>0.82</v>
      </c>
      <c r="F37" s="48">
        <f t="shared" si="0"/>
        <v>0.382661544636202</v>
      </c>
      <c r="G37" s="48">
        <v>0.1122112642135074</v>
      </c>
      <c r="H37" s="50">
        <f t="shared" si="8"/>
        <v>4.2938935689521715E-2</v>
      </c>
      <c r="I37" s="50">
        <f t="shared" si="2"/>
        <v>2.515016897867248E-2</v>
      </c>
      <c r="J37" s="48">
        <f t="shared" si="3"/>
        <v>63.97963184442591</v>
      </c>
      <c r="K37" s="50">
        <f t="shared" si="1"/>
        <v>6.5724317823947678E-2</v>
      </c>
      <c r="L37" s="48">
        <f t="shared" si="9"/>
        <v>167.19639781220147</v>
      </c>
      <c r="M37" s="48">
        <f t="shared" si="4"/>
        <v>2.9461885326148629E-2</v>
      </c>
      <c r="N37" s="48">
        <f t="shared" si="10"/>
        <v>74.948227115616717</v>
      </c>
      <c r="O37" s="50">
        <f t="shared" si="5"/>
        <v>2.6539259162930259E-2</v>
      </c>
      <c r="P37" s="124">
        <f t="shared" si="6"/>
        <v>67.51334482515712</v>
      </c>
      <c r="Q37" s="48">
        <f t="shared" si="7"/>
        <v>3.1089119550737183E-2</v>
      </c>
      <c r="R37" s="124">
        <f t="shared" si="6"/>
        <v>79.087755828211513</v>
      </c>
      <c r="V37" s="131">
        <v>155</v>
      </c>
      <c r="W37" s="136">
        <v>91.040410209516807</v>
      </c>
      <c r="X37" s="137">
        <v>105.58766555984963</v>
      </c>
    </row>
    <row r="38" spans="1:24">
      <c r="A38">
        <v>165</v>
      </c>
      <c r="B38" s="126">
        <f>B37</f>
        <v>0.765323089272404</v>
      </c>
      <c r="C38" s="127">
        <f>C37</f>
        <v>0.80759329397741619</v>
      </c>
      <c r="D38" s="126">
        <f>D37</f>
        <v>0.41</v>
      </c>
      <c r="E38" s="126">
        <f>E37</f>
        <v>0.82</v>
      </c>
      <c r="F38" s="48">
        <f t="shared" si="0"/>
        <v>0.382661544636202</v>
      </c>
      <c r="G38" s="49">
        <v>0.08</v>
      </c>
      <c r="H38" s="50">
        <f t="shared" si="8"/>
        <v>3.061292357089616E-2</v>
      </c>
      <c r="I38" s="50">
        <f t="shared" si="2"/>
        <v>1.7930584174379198E-2</v>
      </c>
      <c r="J38" s="48">
        <f t="shared" si="3"/>
        <v>45.613696480731306</v>
      </c>
      <c r="K38" s="50">
        <f t="shared" si="1"/>
        <v>4.6857554477876484E-2</v>
      </c>
      <c r="L38" s="48">
        <f t="shared" si="9"/>
        <v>119.20115078220481</v>
      </c>
      <c r="M38" s="48">
        <f t="shared" si="4"/>
        <v>2.1004583119278081E-2</v>
      </c>
      <c r="N38" s="48">
        <f t="shared" si="10"/>
        <v>53.433656694579753</v>
      </c>
      <c r="O38" s="50">
        <f t="shared" si="5"/>
        <v>1.892092338425725E-2</v>
      </c>
      <c r="P38" s="124">
        <f t="shared" si="6"/>
        <v>48.133025003049724</v>
      </c>
      <c r="Q38" s="48">
        <f t="shared" si="7"/>
        <v>2.2164704956239029E-2</v>
      </c>
      <c r="R38" s="124">
        <f t="shared" si="6"/>
        <v>56.384896031634831</v>
      </c>
      <c r="V38" s="131">
        <v>160</v>
      </c>
      <c r="W38" s="136">
        <v>67.51334482515712</v>
      </c>
      <c r="X38" s="137">
        <v>79.087755828211513</v>
      </c>
    </row>
    <row r="39" spans="1:24">
      <c r="A39">
        <v>170</v>
      </c>
      <c r="B39" s="126">
        <f t="shared" ref="B39:E41" si="11">B38</f>
        <v>0.765323089272404</v>
      </c>
      <c r="C39" s="127">
        <f t="shared" si="11"/>
        <v>0.80759329397741619</v>
      </c>
      <c r="D39" s="126">
        <f t="shared" si="11"/>
        <v>0.41</v>
      </c>
      <c r="E39" s="126">
        <f t="shared" si="11"/>
        <v>0.82</v>
      </c>
      <c r="F39" s="48">
        <f t="shared" si="0"/>
        <v>0.382661544636202</v>
      </c>
      <c r="G39" s="49">
        <v>0.05</v>
      </c>
      <c r="H39" s="50">
        <f t="shared" si="8"/>
        <v>1.9133077231810101E-2</v>
      </c>
      <c r="I39" s="50">
        <f t="shared" si="2"/>
        <v>1.1206615108987E-2</v>
      </c>
      <c r="J39" s="48">
        <f t="shared" si="3"/>
        <v>28.50856030045707</v>
      </c>
      <c r="K39" s="50">
        <f t="shared" si="1"/>
        <v>2.9285971548672803E-2</v>
      </c>
      <c r="L39" s="48">
        <f t="shared" si="9"/>
        <v>74.500719238878006</v>
      </c>
      <c r="M39" s="48">
        <f t="shared" si="4"/>
        <v>1.3127864449548802E-2</v>
      </c>
      <c r="N39" s="48">
        <f t="shared" si="10"/>
        <v>33.396035434112349</v>
      </c>
      <c r="O39" s="50">
        <f t="shared" si="5"/>
        <v>1.1825577115160782E-2</v>
      </c>
      <c r="P39" s="124">
        <f t="shared" si="6"/>
        <v>30.083140626906079</v>
      </c>
      <c r="Q39" s="48">
        <f t="shared" si="7"/>
        <v>1.3852940597649395E-2</v>
      </c>
      <c r="R39" s="124">
        <f t="shared" si="6"/>
        <v>35.240560019771777</v>
      </c>
      <c r="V39" s="131">
        <v>165</v>
      </c>
      <c r="W39" s="136">
        <v>48.133025003049724</v>
      </c>
      <c r="X39" s="137">
        <v>56.384896031634831</v>
      </c>
    </row>
    <row r="40" spans="1:24">
      <c r="A40">
        <v>175</v>
      </c>
      <c r="B40" s="126">
        <f t="shared" si="11"/>
        <v>0.765323089272404</v>
      </c>
      <c r="C40" s="127">
        <f t="shared" si="11"/>
        <v>0.80759329397741619</v>
      </c>
      <c r="D40" s="126">
        <f t="shared" si="11"/>
        <v>0.41</v>
      </c>
      <c r="E40" s="126">
        <f t="shared" si="11"/>
        <v>0.82</v>
      </c>
      <c r="F40" s="48">
        <f t="shared" si="0"/>
        <v>0.382661544636202</v>
      </c>
      <c r="G40" s="49">
        <v>0.03</v>
      </c>
      <c r="H40" s="50">
        <f t="shared" si="8"/>
        <v>1.147984633908606E-2</v>
      </c>
      <c r="I40" s="50">
        <f t="shared" si="2"/>
        <v>6.7239690653921992E-3</v>
      </c>
      <c r="J40" s="48">
        <f t="shared" si="3"/>
        <v>17.10513618027424</v>
      </c>
      <c r="K40" s="50">
        <f t="shared" si="1"/>
        <v>1.7571582929203682E-2</v>
      </c>
      <c r="L40" s="48">
        <f t="shared" si="9"/>
        <v>44.700431543326808</v>
      </c>
      <c r="M40" s="48">
        <f t="shared" si="4"/>
        <v>7.8767186697292803E-3</v>
      </c>
      <c r="N40" s="48">
        <f t="shared" si="10"/>
        <v>20.037621260467407</v>
      </c>
      <c r="O40" s="50">
        <f t="shared" si="5"/>
        <v>7.0953462690964688E-3</v>
      </c>
      <c r="P40" s="124">
        <f t="shared" si="6"/>
        <v>18.049884376143648</v>
      </c>
      <c r="Q40" s="48">
        <f t="shared" si="7"/>
        <v>8.3117643585896364E-3</v>
      </c>
      <c r="R40" s="124">
        <f t="shared" si="6"/>
        <v>21.144336011863064</v>
      </c>
      <c r="V40" s="131">
        <v>170</v>
      </c>
      <c r="W40" s="136">
        <v>30.083140626906079</v>
      </c>
      <c r="X40" s="137">
        <v>35.240560019771777</v>
      </c>
    </row>
    <row r="41" spans="1:24" ht="19" thickBot="1">
      <c r="A41">
        <v>180</v>
      </c>
      <c r="B41" s="126">
        <f t="shared" si="11"/>
        <v>0.765323089272404</v>
      </c>
      <c r="C41" s="127">
        <f t="shared" si="11"/>
        <v>0.80759329397741619</v>
      </c>
      <c r="D41" s="126">
        <f t="shared" si="11"/>
        <v>0.41</v>
      </c>
      <c r="E41" s="126">
        <f t="shared" si="11"/>
        <v>0.82</v>
      </c>
      <c r="F41" s="48">
        <f t="shared" si="0"/>
        <v>0.382661544636202</v>
      </c>
      <c r="G41" s="49">
        <v>0.02</v>
      </c>
      <c r="H41" s="50">
        <f t="shared" si="8"/>
        <v>7.6532308927240401E-3</v>
      </c>
      <c r="I41" s="50">
        <f t="shared" si="2"/>
        <v>4.4826460435947995E-3</v>
      </c>
      <c r="J41" s="48">
        <f t="shared" si="3"/>
        <v>11.403424120182827</v>
      </c>
      <c r="K41" s="50">
        <f t="shared" si="1"/>
        <v>1.1714388619469121E-2</v>
      </c>
      <c r="L41" s="48">
        <f t="shared" si="9"/>
        <v>29.800287695551201</v>
      </c>
      <c r="M41" s="48">
        <f t="shared" si="4"/>
        <v>5.2511457798195202E-3</v>
      </c>
      <c r="N41" s="48">
        <f t="shared" si="10"/>
        <v>13.358414173644938</v>
      </c>
      <c r="O41" s="50">
        <f t="shared" si="5"/>
        <v>4.7302308460643126E-3</v>
      </c>
      <c r="P41" s="125">
        <f t="shared" si="6"/>
        <v>12.033256250762431</v>
      </c>
      <c r="Q41" s="48">
        <f t="shared" si="7"/>
        <v>5.5411762390597573E-3</v>
      </c>
      <c r="R41" s="125">
        <f t="shared" si="6"/>
        <v>14.096224007908708</v>
      </c>
      <c r="V41" s="131">
        <v>175</v>
      </c>
      <c r="W41" s="136">
        <v>18.049884376143648</v>
      </c>
      <c r="X41" s="137">
        <v>21.144336011863064</v>
      </c>
    </row>
    <row r="42" spans="1:24" ht="19" thickBot="1">
      <c r="B42" s="43" t="s">
        <v>275</v>
      </c>
      <c r="D42" s="43" t="s">
        <v>274</v>
      </c>
      <c r="L42" s="53"/>
      <c r="M42" s="48"/>
      <c r="N42" s="48"/>
      <c r="O42" s="48"/>
      <c r="P42" s="48"/>
      <c r="Q42" s="48"/>
      <c r="V42" s="133">
        <v>180</v>
      </c>
      <c r="W42" s="138">
        <v>12.033256250762431</v>
      </c>
      <c r="X42" s="139">
        <v>14.096224007908708</v>
      </c>
    </row>
    <row r="44" spans="1:24">
      <c r="C44" t="s">
        <v>264</v>
      </c>
      <c r="D44" t="s">
        <v>265</v>
      </c>
      <c r="E44" t="s">
        <v>266</v>
      </c>
      <c r="F44" t="s">
        <v>267</v>
      </c>
    </row>
    <row r="45" spans="1:24">
      <c r="C45">
        <v>115</v>
      </c>
      <c r="D45" s="120">
        <v>226.85781143932243</v>
      </c>
      <c r="E45" s="120">
        <v>155.70464850975236</v>
      </c>
      <c r="F45" s="50">
        <f>E45/D45</f>
        <v>0.68635348071934754</v>
      </c>
    </row>
    <row r="46" spans="1:24">
      <c r="C46">
        <v>120</v>
      </c>
      <c r="D46" s="120">
        <v>337.69343653571099</v>
      </c>
      <c r="E46" s="120">
        <v>275.71032490342941</v>
      </c>
      <c r="F46" s="50">
        <f t="shared" ref="F46:F54" si="12">E46/D46</f>
        <v>0.81645153584225238</v>
      </c>
      <c r="K46" t="s">
        <v>189</v>
      </c>
    </row>
    <row r="47" spans="1:24">
      <c r="C47">
        <v>125</v>
      </c>
      <c r="D47" s="120">
        <v>346.24499569874808</v>
      </c>
      <c r="E47" s="120">
        <v>322.09391924392219</v>
      </c>
      <c r="F47" s="50">
        <f t="shared" si="12"/>
        <v>0.93024859057937503</v>
      </c>
    </row>
    <row r="48" spans="1:24">
      <c r="C48">
        <v>130</v>
      </c>
      <c r="D48" s="120">
        <v>300.56816741950297</v>
      </c>
      <c r="E48" s="120">
        <v>290.61198791381662</v>
      </c>
      <c r="F48" s="50">
        <f t="shared" si="12"/>
        <v>0.96687546924491674</v>
      </c>
    </row>
    <row r="49" spans="3:6">
      <c r="C49">
        <v>135</v>
      </c>
      <c r="D49" s="120">
        <v>303.01204274780355</v>
      </c>
      <c r="E49" s="120">
        <v>294.67438881148104</v>
      </c>
      <c r="F49" s="50">
        <f t="shared" si="12"/>
        <v>0.97248408393041352</v>
      </c>
    </row>
    <row r="50" spans="3:6">
      <c r="C50">
        <v>140</v>
      </c>
      <c r="D50" s="120">
        <v>224.31758298454537</v>
      </c>
      <c r="E50" s="120">
        <v>219.42394723387133</v>
      </c>
      <c r="F50" s="50">
        <f t="shared" si="12"/>
        <v>0.9781843416571977</v>
      </c>
    </row>
    <row r="51" spans="3:6">
      <c r="C51">
        <v>145</v>
      </c>
      <c r="D51" s="120">
        <v>156.29215974873262</v>
      </c>
      <c r="E51" s="120">
        <v>156.73317968388216</v>
      </c>
      <c r="F51" s="50">
        <f t="shared" si="12"/>
        <v>1.0028217662092491</v>
      </c>
    </row>
    <row r="52" spans="3:6">
      <c r="C52">
        <v>150</v>
      </c>
      <c r="D52" s="120">
        <v>122.28822534329903</v>
      </c>
      <c r="E52" s="120">
        <v>125.84527053074225</v>
      </c>
      <c r="F52" s="50">
        <f t="shared" si="12"/>
        <v>1.0290873890553041</v>
      </c>
    </row>
    <row r="53" spans="3:6">
      <c r="C53">
        <v>155</v>
      </c>
      <c r="D53" s="120">
        <v>87.455050285298853</v>
      </c>
      <c r="E53" s="120">
        <v>91.12081092503891</v>
      </c>
      <c r="F53" s="50">
        <f t="shared" si="12"/>
        <v>1.0419159399918185</v>
      </c>
    </row>
    <row r="54" spans="3:6">
      <c r="C54">
        <v>160</v>
      </c>
      <c r="D54" s="120">
        <v>65.248277553498326</v>
      </c>
      <c r="E54" s="120">
        <v>68.852060174845775</v>
      </c>
      <c r="F54" s="50">
        <f t="shared" si="12"/>
        <v>1.0552318429922174</v>
      </c>
    </row>
  </sheetData>
  <mergeCells count="20">
    <mergeCell ref="M22:N22"/>
    <mergeCell ref="Q22:R22"/>
    <mergeCell ref="C16:F16"/>
    <mergeCell ref="C17:F17"/>
    <mergeCell ref="C18:F18"/>
    <mergeCell ref="C19:F19"/>
    <mergeCell ref="C20:F20"/>
    <mergeCell ref="K22:L22"/>
    <mergeCell ref="C15:F15"/>
    <mergeCell ref="C5:F5"/>
    <mergeCell ref="C6:F6"/>
    <mergeCell ref="C7:F7"/>
    <mergeCell ref="G7:G8"/>
    <mergeCell ref="C8:F8"/>
    <mergeCell ref="C9:F9"/>
    <mergeCell ref="C10:F10"/>
    <mergeCell ref="C11:F11"/>
    <mergeCell ref="C12:F12"/>
    <mergeCell ref="C13:F13"/>
    <mergeCell ref="C14:F14"/>
  </mergeCells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B59-7B29-4A8E-BD6D-60DD0B9252B9}">
  <dimension ref="A1:T46"/>
  <sheetViews>
    <sheetView topLeftCell="B1" workbookViewId="0">
      <selection activeCell="N24" sqref="N24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</cols>
  <sheetData>
    <row r="1" spans="1:7">
      <c r="A1" t="s">
        <v>231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203">
        <v>170</v>
      </c>
      <c r="D5" s="203"/>
      <c r="E5" s="204"/>
      <c r="F5" s="16"/>
      <c r="G5" s="16"/>
    </row>
    <row r="6" spans="1:7">
      <c r="A6" s="16"/>
      <c r="B6" s="19" t="s">
        <v>82</v>
      </c>
      <c r="C6" s="228">
        <v>38</v>
      </c>
      <c r="D6" s="228"/>
      <c r="E6" s="229"/>
      <c r="F6" s="16" t="s">
        <v>175</v>
      </c>
      <c r="G6" s="16"/>
    </row>
    <row r="7" spans="1:7">
      <c r="A7" s="16"/>
      <c r="B7" s="20" t="s">
        <v>83</v>
      </c>
      <c r="C7" s="193">
        <v>0.75</v>
      </c>
      <c r="D7" s="193"/>
      <c r="E7" s="194"/>
      <c r="F7" s="207" t="s">
        <v>84</v>
      </c>
      <c r="G7" s="54"/>
    </row>
    <row r="8" spans="1:7">
      <c r="A8" s="16"/>
      <c r="B8" s="20" t="s">
        <v>85</v>
      </c>
      <c r="C8" s="193">
        <v>0.75</v>
      </c>
      <c r="D8" s="193"/>
      <c r="E8" s="194"/>
      <c r="F8" s="207"/>
      <c r="G8" s="54"/>
    </row>
    <row r="9" spans="1:7">
      <c r="A9" s="16"/>
      <c r="B9" s="20" t="s">
        <v>86</v>
      </c>
      <c r="C9" s="193">
        <v>0.75</v>
      </c>
      <c r="D9" s="193"/>
      <c r="E9" s="194"/>
      <c r="F9" s="47" t="s">
        <v>176</v>
      </c>
      <c r="G9" s="16"/>
    </row>
    <row r="10" spans="1:7">
      <c r="A10" s="16"/>
      <c r="B10" s="20" t="s">
        <v>87</v>
      </c>
      <c r="C10" s="214">
        <v>0.28999999999999998</v>
      </c>
      <c r="D10" s="214"/>
      <c r="E10" s="215"/>
      <c r="F10" s="42" t="s">
        <v>177</v>
      </c>
      <c r="G10" s="42"/>
    </row>
    <row r="11" spans="1:7">
      <c r="A11" s="16"/>
      <c r="B11" s="20" t="s">
        <v>90</v>
      </c>
      <c r="C11" s="214">
        <v>0.18</v>
      </c>
      <c r="D11" s="214"/>
      <c r="E11" s="215"/>
      <c r="F11" s="43" t="s">
        <v>178</v>
      </c>
      <c r="G11" s="43"/>
    </row>
    <row r="12" spans="1:7">
      <c r="A12" s="16"/>
      <c r="B12" s="45" t="s">
        <v>92</v>
      </c>
      <c r="C12" s="233">
        <f>((C5/2)^2*PI()-(C6/2)^2*PI())*C7*C8*C9*C10*C11</f>
        <v>474.87733357022393</v>
      </c>
      <c r="D12" s="233"/>
      <c r="E12" s="234"/>
      <c r="F12" s="16"/>
      <c r="G12" s="16"/>
    </row>
    <row r="13" spans="1:7">
      <c r="A13" s="16"/>
      <c r="B13" s="20" t="s">
        <v>93</v>
      </c>
      <c r="C13" s="197">
        <v>17000</v>
      </c>
      <c r="D13" s="197"/>
      <c r="E13" s="198"/>
      <c r="F13" s="16"/>
      <c r="G13" s="16"/>
    </row>
    <row r="14" spans="1:7">
      <c r="A14" s="16"/>
      <c r="B14" s="20" t="s">
        <v>94</v>
      </c>
      <c r="C14" s="199">
        <v>3</v>
      </c>
      <c r="D14" s="199"/>
      <c r="E14" s="200"/>
      <c r="F14" s="38" t="s">
        <v>126</v>
      </c>
      <c r="G14" s="38"/>
    </row>
    <row r="15" spans="1:7">
      <c r="A15" s="16"/>
      <c r="B15" s="20" t="s">
        <v>95</v>
      </c>
      <c r="C15" s="216">
        <v>0.2</v>
      </c>
      <c r="D15" s="217"/>
      <c r="E15" s="218"/>
      <c r="F15" s="16"/>
      <c r="G15" s="16"/>
    </row>
    <row r="16" spans="1:7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</row>
    <row r="17" spans="1:20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38"/>
    </row>
    <row r="18" spans="1:20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</row>
    <row r="19" spans="1:20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</row>
    <row r="20" spans="1:20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</row>
    <row r="22" spans="1:20" ht="76" customHeight="1">
      <c r="B22" t="s">
        <v>180</v>
      </c>
      <c r="C22" t="s">
        <v>183</v>
      </c>
      <c r="F22" t="s">
        <v>190</v>
      </c>
      <c r="H22" t="s">
        <v>195</v>
      </c>
      <c r="I22" t="s">
        <v>196</v>
      </c>
      <c r="K22" s="240"/>
      <c r="L22" s="240"/>
      <c r="M22" s="240"/>
      <c r="N22" s="240"/>
    </row>
    <row r="23" spans="1:20">
      <c r="B23" t="s">
        <v>181</v>
      </c>
      <c r="C23" t="s">
        <v>185</v>
      </c>
      <c r="D23" t="s">
        <v>180</v>
      </c>
      <c r="E23" t="s">
        <v>185</v>
      </c>
      <c r="F23" t="s">
        <v>191</v>
      </c>
    </row>
    <row r="24" spans="1:20">
      <c r="A24" t="s">
        <v>179</v>
      </c>
      <c r="B24" s="43" t="s">
        <v>184</v>
      </c>
      <c r="C24" t="s">
        <v>186</v>
      </c>
      <c r="D24" t="s">
        <v>184</v>
      </c>
      <c r="E24" s="43" t="s">
        <v>187</v>
      </c>
      <c r="F24" s="43" t="s">
        <v>192</v>
      </c>
      <c r="G24" s="43" t="s">
        <v>252</v>
      </c>
      <c r="H24" s="43" t="s">
        <v>193</v>
      </c>
      <c r="I24" s="43" t="s">
        <v>193</v>
      </c>
      <c r="J24" s="51" t="s">
        <v>194</v>
      </c>
      <c r="K24" s="43"/>
      <c r="L24" s="43"/>
      <c r="M24" s="43"/>
      <c r="N24" s="51"/>
    </row>
    <row r="25" spans="1:20">
      <c r="A25">
        <v>100</v>
      </c>
      <c r="B25" s="43">
        <v>0.17</v>
      </c>
      <c r="E25" s="48"/>
      <c r="F25" s="43"/>
      <c r="G25" s="43"/>
      <c r="J25" s="52"/>
      <c r="N25" s="52"/>
    </row>
    <row r="26" spans="1:20">
      <c r="A26">
        <v>105</v>
      </c>
      <c r="B26" s="43">
        <v>0.21249999999999999</v>
      </c>
      <c r="E26" s="48"/>
      <c r="F26" s="43"/>
      <c r="G26" s="43"/>
      <c r="J26" s="52"/>
      <c r="N26" s="52"/>
    </row>
    <row r="27" spans="1:20">
      <c r="A27">
        <v>110</v>
      </c>
      <c r="B27" s="43">
        <v>0.56950000000000001</v>
      </c>
      <c r="E27" s="48"/>
      <c r="F27" s="43"/>
      <c r="G27" s="43"/>
      <c r="J27" s="52"/>
      <c r="N27" s="52"/>
      <c r="O27" t="s">
        <v>113</v>
      </c>
      <c r="P27" t="s">
        <v>195</v>
      </c>
      <c r="Q27" t="s">
        <v>198</v>
      </c>
      <c r="S27" t="s">
        <v>253</v>
      </c>
    </row>
    <row r="28" spans="1:20">
      <c r="A28">
        <v>115</v>
      </c>
      <c r="B28" s="43">
        <v>0.76500000000000001</v>
      </c>
      <c r="E28" s="48"/>
      <c r="F28" s="48">
        <v>0.37582648709983402</v>
      </c>
      <c r="G28" s="113">
        <f>F28/1.6</f>
        <v>0.23489155443739626</v>
      </c>
      <c r="J28" s="52"/>
      <c r="N28" s="52"/>
      <c r="O28" t="s">
        <v>179</v>
      </c>
      <c r="P28" t="s">
        <v>92</v>
      </c>
      <c r="S28" t="s">
        <v>254</v>
      </c>
      <c r="T28" t="s">
        <v>194</v>
      </c>
    </row>
    <row r="29" spans="1:20">
      <c r="A29">
        <v>120</v>
      </c>
      <c r="B29" s="43">
        <v>0.78200000000000003</v>
      </c>
      <c r="C29">
        <v>0.4</v>
      </c>
      <c r="D29">
        <v>0.62</v>
      </c>
      <c r="E29" s="113">
        <f>C29*B29/D29/1.78</f>
        <v>0.28343602754621239</v>
      </c>
      <c r="F29" s="48">
        <v>0.37102590432052945</v>
      </c>
      <c r="G29" s="113">
        <f t="shared" ref="G29:G41" si="0">F29/1.6</f>
        <v>0.23189119020033089</v>
      </c>
      <c r="H29" s="50">
        <f>E29*G29</f>
        <v>6.5726317773344964E-2</v>
      </c>
      <c r="I29" s="50">
        <f>B29^3*H29</f>
        <v>3.1431098626521124E-2</v>
      </c>
      <c r="J29" s="53">
        <f>(($C$5/2)^2*PI()-($C$6/2)^2*PI())*I29</f>
        <v>677.77681541399534</v>
      </c>
      <c r="K29" s="50"/>
      <c r="L29" s="48"/>
      <c r="M29" s="48"/>
      <c r="N29" s="53"/>
      <c r="O29">
        <v>120</v>
      </c>
      <c r="P29">
        <v>468.4636262497292</v>
      </c>
      <c r="Q29">
        <v>789.25937031204364</v>
      </c>
      <c r="S29">
        <v>120</v>
      </c>
      <c r="T29">
        <v>677.77681541399534</v>
      </c>
    </row>
    <row r="30" spans="1:20">
      <c r="A30">
        <v>125</v>
      </c>
      <c r="B30" s="43">
        <v>0.79049999999999998</v>
      </c>
      <c r="C30">
        <v>0.44</v>
      </c>
      <c r="D30">
        <v>0.67</v>
      </c>
      <c r="E30" s="113">
        <f t="shared" ref="E30:E41" si="1">C30*B30/D30/1.78</f>
        <v>0.29164849907764545</v>
      </c>
      <c r="F30" s="49">
        <f>(F29+F31)/2</f>
        <v>0.32829969791945335</v>
      </c>
      <c r="G30" s="113">
        <f t="shared" si="0"/>
        <v>0.20518731119965833</v>
      </c>
      <c r="H30" s="50">
        <f t="shared" ref="H30:H41" si="2">E30*G30</f>
        <v>5.9842571341158099E-2</v>
      </c>
      <c r="I30" s="50">
        <f t="shared" ref="I30:I41" si="3">B30^3*H30</f>
        <v>2.9560778618838112E-2</v>
      </c>
      <c r="J30" s="53">
        <f t="shared" ref="J30:J41" si="4">(($C$5/2)^2*PI()-($C$6/2)^2*PI())*I30</f>
        <v>637.44543681105858</v>
      </c>
      <c r="K30" s="50"/>
      <c r="L30" s="48"/>
      <c r="M30" s="48"/>
      <c r="N30" s="53"/>
      <c r="O30">
        <v>125</v>
      </c>
      <c r="P30">
        <v>435.85001197359696</v>
      </c>
      <c r="Q30">
        <v>713.63516134484337</v>
      </c>
      <c r="S30">
        <v>125</v>
      </c>
      <c r="T30">
        <v>637.44543681105858</v>
      </c>
    </row>
    <row r="31" spans="1:20">
      <c r="A31">
        <v>130</v>
      </c>
      <c r="B31" s="43">
        <v>0.77349999999999997</v>
      </c>
      <c r="C31">
        <v>0.44</v>
      </c>
      <c r="D31">
        <v>0.67</v>
      </c>
      <c r="E31" s="113">
        <f t="shared" si="1"/>
        <v>0.28537648834479284</v>
      </c>
      <c r="F31" s="48">
        <v>0.2855734915183773</v>
      </c>
      <c r="G31" s="113">
        <f t="shared" si="0"/>
        <v>0.1784834321989858</v>
      </c>
      <c r="H31" s="50">
        <f t="shared" si="2"/>
        <v>5.0934975108672495E-2</v>
      </c>
      <c r="I31" s="50">
        <f t="shared" si="3"/>
        <v>2.3572033648373056E-2</v>
      </c>
      <c r="J31" s="53">
        <f t="shared" si="4"/>
        <v>508.30478720667492</v>
      </c>
      <c r="K31" s="50"/>
      <c r="L31" s="48"/>
      <c r="M31" s="48"/>
      <c r="N31" s="53"/>
      <c r="O31">
        <v>130</v>
      </c>
      <c r="P31">
        <v>355.1892407557196</v>
      </c>
      <c r="Q31">
        <v>594.34763063519506</v>
      </c>
      <c r="S31">
        <v>130</v>
      </c>
      <c r="T31">
        <v>508.30478720667492</v>
      </c>
    </row>
    <row r="32" spans="1:20">
      <c r="A32">
        <v>135</v>
      </c>
      <c r="B32" s="43">
        <v>0.75649999999999995</v>
      </c>
      <c r="C32">
        <v>0.42</v>
      </c>
      <c r="D32">
        <v>0.67</v>
      </c>
      <c r="E32" s="113">
        <f t="shared" si="1"/>
        <v>0.26641791044776114</v>
      </c>
      <c r="F32" s="48">
        <v>0.30899662300809955</v>
      </c>
      <c r="G32" s="113">
        <f t="shared" si="0"/>
        <v>0.1931228893800622</v>
      </c>
      <c r="H32" s="50">
        <f t="shared" si="2"/>
        <v>5.1451396648270288E-2</v>
      </c>
      <c r="I32" s="50">
        <f t="shared" si="3"/>
        <v>2.2275320696208422E-2</v>
      </c>
      <c r="J32" s="53">
        <f t="shared" si="4"/>
        <v>480.34260918459847</v>
      </c>
      <c r="K32" s="50"/>
      <c r="L32" s="48"/>
      <c r="M32" s="48"/>
      <c r="N32" s="53"/>
      <c r="O32">
        <v>135</v>
      </c>
      <c r="P32">
        <v>343.19274658157178</v>
      </c>
      <c r="Q32">
        <v>615.13948691721009</v>
      </c>
      <c r="S32">
        <v>135</v>
      </c>
      <c r="T32">
        <v>480.34260918459847</v>
      </c>
    </row>
    <row r="33" spans="1:20">
      <c r="A33">
        <v>140</v>
      </c>
      <c r="B33" s="43">
        <v>0.73949999999999994</v>
      </c>
      <c r="C33">
        <v>0.4</v>
      </c>
      <c r="D33">
        <v>0.67</v>
      </c>
      <c r="E33" s="113">
        <f t="shared" si="1"/>
        <v>0.24802951534462517</v>
      </c>
      <c r="F33" s="48">
        <v>0.24612037686190918</v>
      </c>
      <c r="G33" s="113">
        <f t="shared" si="0"/>
        <v>0.15382523553869323</v>
      </c>
      <c r="H33" s="50">
        <f t="shared" si="2"/>
        <v>3.8153198618434893E-2</v>
      </c>
      <c r="I33" s="50">
        <f t="shared" si="3"/>
        <v>1.5429273889867558E-2</v>
      </c>
      <c r="J33" s="53">
        <f t="shared" si="4"/>
        <v>332.71519540207106</v>
      </c>
      <c r="K33" s="50"/>
      <c r="L33" s="48"/>
      <c r="M33" s="48"/>
      <c r="N33" s="53"/>
      <c r="O33">
        <v>140</v>
      </c>
      <c r="P33">
        <v>243.18141299481508</v>
      </c>
      <c r="Q33">
        <v>468.19409973139676</v>
      </c>
      <c r="S33">
        <v>140</v>
      </c>
      <c r="T33">
        <v>332.71519540207106</v>
      </c>
    </row>
    <row r="34" spans="1:20">
      <c r="A34">
        <v>145</v>
      </c>
      <c r="B34" s="43">
        <v>0.73099999999999998</v>
      </c>
      <c r="C34">
        <v>0.38</v>
      </c>
      <c r="D34">
        <v>0.67</v>
      </c>
      <c r="E34" s="113">
        <f t="shared" si="1"/>
        <v>0.23291967130638935</v>
      </c>
      <c r="F34" s="48">
        <v>0.19838991517247778</v>
      </c>
      <c r="G34" s="113">
        <f t="shared" si="0"/>
        <v>0.12399369698279861</v>
      </c>
      <c r="H34" s="50">
        <f t="shared" si="2"/>
        <v>2.8880571145297494E-2</v>
      </c>
      <c r="I34" s="50">
        <f t="shared" si="3"/>
        <v>1.1281267791651561E-2</v>
      </c>
      <c r="J34" s="53">
        <f t="shared" si="4"/>
        <v>243.26803999165114</v>
      </c>
      <c r="K34" s="50"/>
      <c r="L34" s="48"/>
      <c r="M34" s="48"/>
      <c r="N34" s="53"/>
      <c r="O34">
        <v>145</v>
      </c>
      <c r="P34">
        <v>179.8720146815412</v>
      </c>
      <c r="Q34">
        <v>368.77065433486109</v>
      </c>
      <c r="S34">
        <v>145</v>
      </c>
      <c r="T34">
        <v>243.26803999165114</v>
      </c>
    </row>
    <row r="35" spans="1:20">
      <c r="A35">
        <v>150</v>
      </c>
      <c r="B35" s="43">
        <v>0.73099999999999998</v>
      </c>
      <c r="C35">
        <v>0.36</v>
      </c>
      <c r="D35">
        <v>0.67</v>
      </c>
      <c r="E35" s="113">
        <f t="shared" si="1"/>
        <v>0.22066074123763205</v>
      </c>
      <c r="F35" s="48">
        <v>0.18063569617716008</v>
      </c>
      <c r="G35" s="113">
        <f t="shared" si="0"/>
        <v>0.11289731011072504</v>
      </c>
      <c r="H35" s="50">
        <f t="shared" si="2"/>
        <v>2.4912004132767399E-2</v>
      </c>
      <c r="I35" s="50">
        <f t="shared" si="3"/>
        <v>9.731074514924885E-3</v>
      </c>
      <c r="J35" s="53">
        <f t="shared" si="4"/>
        <v>209.8398396331234</v>
      </c>
      <c r="K35" s="50"/>
      <c r="L35" s="48"/>
      <c r="M35" s="48"/>
      <c r="N35" s="53"/>
      <c r="O35">
        <v>150</v>
      </c>
      <c r="P35">
        <v>155.15525474105348</v>
      </c>
      <c r="Q35">
        <v>335.76880063470878</v>
      </c>
      <c r="S35">
        <v>150</v>
      </c>
      <c r="T35">
        <v>209.8398396331234</v>
      </c>
    </row>
    <row r="36" spans="1:20">
      <c r="A36">
        <v>155</v>
      </c>
      <c r="B36" s="43">
        <v>0.73099999999999998</v>
      </c>
      <c r="C36">
        <v>0.34</v>
      </c>
      <c r="D36">
        <v>0.64</v>
      </c>
      <c r="E36" s="113">
        <f t="shared" si="1"/>
        <v>0.21817064606741571</v>
      </c>
      <c r="F36" s="48">
        <v>0.13810064689087198</v>
      </c>
      <c r="G36" s="113">
        <f t="shared" si="0"/>
        <v>8.6312904306794988E-2</v>
      </c>
      <c r="H36" s="50">
        <f t="shared" si="2"/>
        <v>1.8830942096568489E-2</v>
      </c>
      <c r="I36" s="50">
        <f t="shared" si="3"/>
        <v>7.3557028873047015E-3</v>
      </c>
      <c r="J36" s="53">
        <f t="shared" si="4"/>
        <v>158.61758245644634</v>
      </c>
      <c r="K36" s="50"/>
      <c r="L36" s="48"/>
      <c r="M36" s="48"/>
      <c r="N36" s="53"/>
      <c r="O36">
        <v>155</v>
      </c>
      <c r="P36">
        <v>117.28159655224603</v>
      </c>
      <c r="Q36">
        <v>256.70390490231694</v>
      </c>
      <c r="S36">
        <v>155</v>
      </c>
      <c r="T36">
        <v>158.61758245644634</v>
      </c>
    </row>
    <row r="37" spans="1:20">
      <c r="A37">
        <v>160</v>
      </c>
      <c r="B37" s="43">
        <v>0.73099999999999998</v>
      </c>
      <c r="C37">
        <v>0.32</v>
      </c>
      <c r="D37">
        <v>0.62</v>
      </c>
      <c r="E37" s="113">
        <f t="shared" si="1"/>
        <v>0.21196085538238491</v>
      </c>
      <c r="F37" s="48">
        <v>0.1122112642135074</v>
      </c>
      <c r="G37" s="113">
        <f t="shared" si="0"/>
        <v>7.0132040133442125E-2</v>
      </c>
      <c r="H37" s="50">
        <f t="shared" si="2"/>
        <v>1.486524721639614E-2</v>
      </c>
      <c r="I37" s="50">
        <f t="shared" si="3"/>
        <v>5.8066315168622809E-3</v>
      </c>
      <c r="J37" s="53">
        <f t="shared" si="4"/>
        <v>125.21357476383754</v>
      </c>
      <c r="K37" s="50"/>
      <c r="L37" s="48"/>
      <c r="M37" s="48"/>
      <c r="N37" s="53"/>
      <c r="O37">
        <v>160</v>
      </c>
      <c r="P37">
        <v>92.582724631736241</v>
      </c>
      <c r="Q37">
        <v>208.58026624882442</v>
      </c>
      <c r="S37">
        <v>160</v>
      </c>
      <c r="T37">
        <v>125.21357476383754</v>
      </c>
    </row>
    <row r="38" spans="1:20">
      <c r="A38">
        <v>165</v>
      </c>
      <c r="B38" s="43">
        <v>0.73099999999999998</v>
      </c>
      <c r="C38">
        <v>0.3</v>
      </c>
      <c r="D38">
        <v>0.6</v>
      </c>
      <c r="E38" s="113">
        <f t="shared" si="1"/>
        <v>0.20533707865168538</v>
      </c>
      <c r="F38" s="49">
        <v>0.08</v>
      </c>
      <c r="G38" s="113">
        <f t="shared" si="0"/>
        <v>4.9999999999999996E-2</v>
      </c>
      <c r="H38" s="50">
        <f t="shared" si="2"/>
        <v>1.0266853932584268E-2</v>
      </c>
      <c r="I38" s="50">
        <f t="shared" si="3"/>
        <v>4.0104168303511231E-3</v>
      </c>
      <c r="J38" s="53">
        <f t="shared" si="4"/>
        <v>86.480195301366962</v>
      </c>
      <c r="K38" s="50"/>
      <c r="L38" s="48"/>
      <c r="M38" s="48"/>
      <c r="N38" s="53"/>
      <c r="O38">
        <v>165</v>
      </c>
      <c r="P38">
        <v>63.94332341989471</v>
      </c>
      <c r="Q38">
        <v>148.7054033020807</v>
      </c>
      <c r="S38">
        <v>165</v>
      </c>
      <c r="T38">
        <v>86.480195301366962</v>
      </c>
    </row>
    <row r="39" spans="1:20">
      <c r="A39">
        <v>170</v>
      </c>
      <c r="B39" s="43">
        <v>0.73099999999999998</v>
      </c>
      <c r="C39">
        <v>0.28000000000000003</v>
      </c>
      <c r="D39">
        <v>0.62</v>
      </c>
      <c r="E39" s="113">
        <f t="shared" si="1"/>
        <v>0.18546574845958683</v>
      </c>
      <c r="F39" s="49">
        <v>0.05</v>
      </c>
      <c r="G39" s="113">
        <f t="shared" si="0"/>
        <v>3.125E-2</v>
      </c>
      <c r="H39" s="50">
        <f t="shared" si="2"/>
        <v>5.7958046393620883E-3</v>
      </c>
      <c r="I39" s="50">
        <f t="shared" si="3"/>
        <v>2.2639449848756345E-3</v>
      </c>
      <c r="J39" s="53">
        <f t="shared" si="4"/>
        <v>48.819465089481362</v>
      </c>
      <c r="K39" s="50"/>
      <c r="L39" s="48"/>
      <c r="M39" s="48"/>
      <c r="N39" s="53"/>
      <c r="O39">
        <v>170</v>
      </c>
      <c r="P39">
        <v>36.097037414456693</v>
      </c>
      <c r="Q39">
        <v>92.940877063800443</v>
      </c>
      <c r="S39">
        <v>170</v>
      </c>
      <c r="T39">
        <v>48.819465089481362</v>
      </c>
    </row>
    <row r="40" spans="1:20">
      <c r="A40">
        <v>175</v>
      </c>
      <c r="B40" s="43">
        <v>0.73099999999999998</v>
      </c>
      <c r="C40">
        <v>0.28000000000000003</v>
      </c>
      <c r="D40">
        <v>0.64</v>
      </c>
      <c r="E40" s="113">
        <f t="shared" si="1"/>
        <v>0.17966994382022475</v>
      </c>
      <c r="F40" s="49">
        <v>0.03</v>
      </c>
      <c r="G40" s="113">
        <f t="shared" si="0"/>
        <v>1.8749999999999999E-2</v>
      </c>
      <c r="H40" s="50">
        <f t="shared" si="2"/>
        <v>3.3688114466292138E-3</v>
      </c>
      <c r="I40" s="50">
        <f t="shared" si="3"/>
        <v>1.3159180224589625E-3</v>
      </c>
      <c r="J40" s="53">
        <f t="shared" si="4"/>
        <v>28.37631408326104</v>
      </c>
      <c r="K40" s="50"/>
      <c r="L40" s="48"/>
      <c r="M40" s="48"/>
      <c r="N40" s="53"/>
      <c r="O40">
        <v>175</v>
      </c>
      <c r="P40">
        <v>20.981402997152948</v>
      </c>
      <c r="Q40">
        <v>55.764526238280254</v>
      </c>
      <c r="S40">
        <v>175</v>
      </c>
      <c r="T40">
        <v>28.37631408326104</v>
      </c>
    </row>
    <row r="41" spans="1:20">
      <c r="A41">
        <v>180</v>
      </c>
      <c r="B41" s="43">
        <v>0.73099999999999998</v>
      </c>
      <c r="C41">
        <v>0.28000000000000003</v>
      </c>
      <c r="D41">
        <v>0.67</v>
      </c>
      <c r="E41" s="113">
        <f t="shared" si="1"/>
        <v>0.17162502096260271</v>
      </c>
      <c r="F41" s="49">
        <v>0.02</v>
      </c>
      <c r="G41" s="113">
        <f t="shared" si="0"/>
        <v>1.2499999999999999E-2</v>
      </c>
      <c r="H41" s="50">
        <f t="shared" si="2"/>
        <v>2.1453127620325338E-3</v>
      </c>
      <c r="I41" s="50">
        <f t="shared" si="3"/>
        <v>8.3799754664053323E-4</v>
      </c>
      <c r="J41" s="53">
        <f t="shared" si="4"/>
        <v>18.070488570434886</v>
      </c>
      <c r="K41" s="50"/>
      <c r="L41" s="48"/>
      <c r="M41" s="48"/>
      <c r="N41" s="53"/>
      <c r="O41">
        <v>180</v>
      </c>
      <c r="P41">
        <v>13.36129146087352</v>
      </c>
      <c r="Q41">
        <v>37.176350825520174</v>
      </c>
      <c r="S41">
        <v>180</v>
      </c>
      <c r="T41">
        <v>18.070488570434886</v>
      </c>
    </row>
    <row r="42" spans="1:20">
      <c r="B42" t="s">
        <v>182</v>
      </c>
      <c r="C42" t="s">
        <v>188</v>
      </c>
      <c r="E42" s="48" t="s">
        <v>250</v>
      </c>
      <c r="G42" s="48" t="s">
        <v>251</v>
      </c>
      <c r="L42" s="53"/>
      <c r="M42" s="48"/>
      <c r="N42" s="48"/>
    </row>
    <row r="46" spans="1:20">
      <c r="K46" t="s">
        <v>189</v>
      </c>
    </row>
  </sheetData>
  <mergeCells count="19">
    <mergeCell ref="C15:E15"/>
    <mergeCell ref="C5:E5"/>
    <mergeCell ref="C6:E6"/>
    <mergeCell ref="C7:E7"/>
    <mergeCell ref="F7:F8"/>
    <mergeCell ref="C8:E8"/>
    <mergeCell ref="C9:E9"/>
    <mergeCell ref="C10:E10"/>
    <mergeCell ref="C11:E11"/>
    <mergeCell ref="C12:E12"/>
    <mergeCell ref="C13:E13"/>
    <mergeCell ref="C14:E14"/>
    <mergeCell ref="M22:N22"/>
    <mergeCell ref="C16:E16"/>
    <mergeCell ref="C17:E17"/>
    <mergeCell ref="C18:E18"/>
    <mergeCell ref="C19:E19"/>
    <mergeCell ref="C20:E20"/>
    <mergeCell ref="K22:L22"/>
  </mergeCells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6987-0F2C-4CC3-9171-BDD793DC2B79}">
  <dimension ref="A1:K22"/>
  <sheetViews>
    <sheetView workbookViewId="0">
      <selection activeCell="K23" sqref="K23"/>
    </sheetView>
  </sheetViews>
  <sheetFormatPr baseColWidth="10" defaultColWidth="8.83203125" defaultRowHeight="18"/>
  <cols>
    <col min="1" max="1" width="18.33203125" customWidth="1"/>
    <col min="4" max="4" width="18.33203125" customWidth="1"/>
    <col min="7" max="7" width="18.33203125" customWidth="1"/>
    <col min="10" max="10" width="18.33203125" customWidth="1"/>
  </cols>
  <sheetData>
    <row r="1" spans="1:11">
      <c r="A1" t="s">
        <v>255</v>
      </c>
      <c r="D1" t="s">
        <v>255</v>
      </c>
      <c r="G1" t="s">
        <v>255</v>
      </c>
      <c r="J1" t="s">
        <v>255</v>
      </c>
    </row>
    <row r="2" spans="1:11">
      <c r="A2" t="s">
        <v>256</v>
      </c>
      <c r="D2" t="s">
        <v>256</v>
      </c>
      <c r="G2" t="s">
        <v>256</v>
      </c>
      <c r="J2" t="s">
        <v>256</v>
      </c>
    </row>
    <row r="3" spans="1:11">
      <c r="A3" t="s">
        <v>257</v>
      </c>
      <c r="D3" t="s">
        <v>258</v>
      </c>
      <c r="G3" t="s">
        <v>259</v>
      </c>
      <c r="J3" t="s">
        <v>260</v>
      </c>
    </row>
    <row r="4" spans="1:11">
      <c r="A4" t="s">
        <v>179</v>
      </c>
      <c r="B4" t="s">
        <v>92</v>
      </c>
      <c r="D4" t="s">
        <v>179</v>
      </c>
      <c r="E4" t="s">
        <v>92</v>
      </c>
      <c r="G4" t="s">
        <v>179</v>
      </c>
      <c r="H4" t="s">
        <v>92</v>
      </c>
      <c r="J4" t="s">
        <v>179</v>
      </c>
      <c r="K4" t="s">
        <v>92</v>
      </c>
    </row>
    <row r="5" spans="1:11">
      <c r="A5">
        <v>115</v>
      </c>
      <c r="B5">
        <v>30</v>
      </c>
      <c r="D5">
        <v>115</v>
      </c>
      <c r="E5">
        <v>1E-3</v>
      </c>
      <c r="G5">
        <v>115</v>
      </c>
      <c r="H5">
        <v>18</v>
      </c>
      <c r="J5">
        <v>115</v>
      </c>
    </row>
    <row r="6" spans="1:11">
      <c r="A6">
        <v>120</v>
      </c>
      <c r="B6">
        <v>160</v>
      </c>
      <c r="D6">
        <v>120</v>
      </c>
      <c r="E6">
        <v>1E-3</v>
      </c>
      <c r="G6">
        <v>120</v>
      </c>
      <c r="H6">
        <v>90</v>
      </c>
      <c r="J6">
        <v>120</v>
      </c>
    </row>
    <row r="7" spans="1:11">
      <c r="A7">
        <v>125</v>
      </c>
      <c r="B7">
        <v>280</v>
      </c>
      <c r="D7">
        <v>125</v>
      </c>
      <c r="E7">
        <v>1E-3</v>
      </c>
      <c r="G7">
        <v>125</v>
      </c>
      <c r="H7">
        <v>160</v>
      </c>
      <c r="J7">
        <v>125</v>
      </c>
    </row>
    <row r="8" spans="1:11">
      <c r="A8">
        <v>130</v>
      </c>
      <c r="B8">
        <v>310</v>
      </c>
      <c r="D8">
        <v>130</v>
      </c>
      <c r="E8">
        <v>1E-3</v>
      </c>
      <c r="G8">
        <v>130</v>
      </c>
      <c r="H8">
        <v>210</v>
      </c>
      <c r="J8">
        <v>130</v>
      </c>
    </row>
    <row r="9" spans="1:11">
      <c r="A9">
        <v>135</v>
      </c>
      <c r="B9">
        <v>300</v>
      </c>
      <c r="D9">
        <v>135</v>
      </c>
      <c r="E9">
        <v>1E-3</v>
      </c>
      <c r="G9">
        <v>135</v>
      </c>
      <c r="H9">
        <v>210</v>
      </c>
      <c r="J9">
        <v>135</v>
      </c>
    </row>
    <row r="10" spans="1:11">
      <c r="A10">
        <v>140</v>
      </c>
      <c r="B10">
        <v>250</v>
      </c>
      <c r="D10">
        <v>140</v>
      </c>
      <c r="E10">
        <v>1E-3</v>
      </c>
      <c r="G10">
        <v>140</v>
      </c>
      <c r="H10">
        <v>210</v>
      </c>
      <c r="J10">
        <v>140</v>
      </c>
    </row>
    <row r="11" spans="1:11">
      <c r="A11">
        <v>145</v>
      </c>
      <c r="B11">
        <v>210</v>
      </c>
      <c r="D11">
        <v>145</v>
      </c>
      <c r="E11">
        <v>1E-3</v>
      </c>
      <c r="G11">
        <v>145</v>
      </c>
      <c r="H11">
        <v>220</v>
      </c>
      <c r="J11">
        <v>145</v>
      </c>
    </row>
    <row r="12" spans="1:11">
      <c r="A12">
        <v>150</v>
      </c>
      <c r="B12">
        <v>150</v>
      </c>
      <c r="D12">
        <v>150</v>
      </c>
      <c r="E12">
        <v>1E-3</v>
      </c>
      <c r="G12">
        <v>150</v>
      </c>
      <c r="H12">
        <v>250</v>
      </c>
      <c r="J12">
        <v>150</v>
      </c>
    </row>
    <row r="13" spans="1:11">
      <c r="A13">
        <v>155</v>
      </c>
      <c r="B13">
        <v>110</v>
      </c>
      <c r="D13">
        <v>155</v>
      </c>
      <c r="E13">
        <v>1E-3</v>
      </c>
      <c r="G13">
        <v>155</v>
      </c>
      <c r="H13">
        <v>270</v>
      </c>
      <c r="J13">
        <v>155</v>
      </c>
    </row>
    <row r="14" spans="1:11">
      <c r="A14">
        <v>160</v>
      </c>
      <c r="B14">
        <v>80</v>
      </c>
      <c r="D14">
        <v>160</v>
      </c>
      <c r="E14">
        <v>1E-3</v>
      </c>
      <c r="G14">
        <v>160</v>
      </c>
      <c r="H14">
        <v>280</v>
      </c>
      <c r="J14">
        <v>160</v>
      </c>
    </row>
    <row r="15" spans="1:11">
      <c r="A15">
        <v>165</v>
      </c>
      <c r="B15">
        <v>50</v>
      </c>
      <c r="D15">
        <v>165</v>
      </c>
      <c r="E15">
        <v>150</v>
      </c>
      <c r="G15">
        <v>165</v>
      </c>
      <c r="H15">
        <v>300</v>
      </c>
      <c r="J15">
        <v>165</v>
      </c>
    </row>
    <row r="16" spans="1:11">
      <c r="A16">
        <v>170</v>
      </c>
      <c r="B16">
        <v>32</v>
      </c>
      <c r="D16">
        <v>170</v>
      </c>
      <c r="E16">
        <v>300</v>
      </c>
      <c r="G16">
        <v>170</v>
      </c>
      <c r="H16">
        <v>310</v>
      </c>
      <c r="J16">
        <v>170</v>
      </c>
    </row>
    <row r="17" spans="1:11">
      <c r="A17">
        <v>175</v>
      </c>
      <c r="B17">
        <v>1E-3</v>
      </c>
      <c r="D17">
        <v>175</v>
      </c>
      <c r="E17">
        <v>420</v>
      </c>
      <c r="G17">
        <v>175</v>
      </c>
      <c r="H17">
        <v>320</v>
      </c>
      <c r="J17">
        <v>175</v>
      </c>
    </row>
    <row r="18" spans="1:11">
      <c r="A18">
        <v>180</v>
      </c>
      <c r="B18">
        <v>1E-3</v>
      </c>
      <c r="D18">
        <v>180</v>
      </c>
      <c r="E18">
        <v>500</v>
      </c>
      <c r="G18">
        <v>180</v>
      </c>
      <c r="H18">
        <v>350</v>
      </c>
      <c r="J18">
        <v>180</v>
      </c>
    </row>
    <row r="19" spans="1:11">
      <c r="A19">
        <v>185</v>
      </c>
      <c r="B19">
        <v>1E-3</v>
      </c>
      <c r="D19">
        <v>185</v>
      </c>
      <c r="E19">
        <v>500</v>
      </c>
      <c r="G19">
        <v>185</v>
      </c>
      <c r="H19">
        <v>380</v>
      </c>
      <c r="J19">
        <v>185</v>
      </c>
      <c r="K19">
        <v>550</v>
      </c>
    </row>
    <row r="20" spans="1:11">
      <c r="A20">
        <v>190</v>
      </c>
      <c r="B20">
        <v>1E-3</v>
      </c>
      <c r="D20">
        <v>190</v>
      </c>
      <c r="E20">
        <v>500</v>
      </c>
      <c r="G20">
        <v>190</v>
      </c>
      <c r="J20">
        <v>190</v>
      </c>
      <c r="K20">
        <v>580</v>
      </c>
    </row>
    <row r="21" spans="1:11">
      <c r="A21">
        <v>195</v>
      </c>
      <c r="B21">
        <v>1E-3</v>
      </c>
      <c r="D21">
        <v>195</v>
      </c>
      <c r="E21">
        <v>490</v>
      </c>
      <c r="G21">
        <v>195</v>
      </c>
      <c r="J21">
        <v>195</v>
      </c>
      <c r="K21">
        <v>850</v>
      </c>
    </row>
    <row r="22" spans="1:11">
      <c r="A22">
        <v>200</v>
      </c>
      <c r="B22">
        <v>1E-3</v>
      </c>
      <c r="D22">
        <v>200</v>
      </c>
      <c r="E22">
        <v>480</v>
      </c>
      <c r="G22">
        <v>200</v>
      </c>
      <c r="J22">
        <v>200</v>
      </c>
      <c r="K22">
        <v>1000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1DDB-74F9-42F0-9E2F-3B97CB04336D}">
  <sheetPr>
    <tabColor theme="7" tint="0.79998168889431442"/>
  </sheetPr>
  <dimension ref="A1:I10"/>
  <sheetViews>
    <sheetView workbookViewId="0">
      <selection activeCell="H9" sqref="H9"/>
    </sheetView>
  </sheetViews>
  <sheetFormatPr baseColWidth="10" defaultColWidth="8.83203125" defaultRowHeight="18"/>
  <cols>
    <col min="2" max="2" width="34.83203125" bestFit="1" customWidth="1"/>
    <col min="3" max="3" width="12.1640625" customWidth="1"/>
    <col min="4" max="5" width="13.5" customWidth="1"/>
    <col min="6" max="8" width="12.6640625" customWidth="1"/>
    <col min="9" max="9" width="13.83203125" customWidth="1"/>
  </cols>
  <sheetData>
    <row r="1" spans="1:9" ht="19" thickBot="1">
      <c r="A1" t="s">
        <v>268</v>
      </c>
    </row>
    <row r="2" spans="1:9" ht="57">
      <c r="B2" s="2"/>
      <c r="C2" s="2" t="s">
        <v>245</v>
      </c>
      <c r="D2" s="32" t="s">
        <v>247</v>
      </c>
      <c r="E2" s="97" t="s">
        <v>248</v>
      </c>
      <c r="F2" s="112" t="s">
        <v>249</v>
      </c>
      <c r="G2" s="112" t="s">
        <v>281</v>
      </c>
      <c r="H2" s="112" t="s">
        <v>280</v>
      </c>
      <c r="I2" s="151"/>
    </row>
    <row r="3" spans="1:9">
      <c r="B3" s="13" t="s">
        <v>81</v>
      </c>
      <c r="C3" s="94">
        <v>20</v>
      </c>
      <c r="D3" s="94">
        <v>170</v>
      </c>
      <c r="E3" s="95">
        <v>170</v>
      </c>
      <c r="F3" s="99">
        <v>60</v>
      </c>
      <c r="G3" s="99">
        <v>60</v>
      </c>
      <c r="H3" s="99">
        <v>60</v>
      </c>
    </row>
    <row r="4" spans="1:9">
      <c r="B4" s="13" t="s">
        <v>82</v>
      </c>
      <c r="C4" s="94">
        <v>0</v>
      </c>
      <c r="D4" s="94">
        <v>38</v>
      </c>
      <c r="E4" s="95">
        <v>38</v>
      </c>
      <c r="F4" s="99">
        <v>20</v>
      </c>
      <c r="G4" s="99">
        <v>19</v>
      </c>
      <c r="H4" s="99">
        <v>20</v>
      </c>
    </row>
    <row r="5" spans="1:9">
      <c r="B5" s="13" t="s">
        <v>243</v>
      </c>
      <c r="C5" s="96">
        <v>0.47</v>
      </c>
      <c r="D5" s="96">
        <v>0.75</v>
      </c>
      <c r="E5" s="98">
        <v>0.75</v>
      </c>
      <c r="F5" s="101">
        <v>0.91</v>
      </c>
      <c r="G5" s="101">
        <v>0.83</v>
      </c>
      <c r="H5" s="101">
        <v>0.77</v>
      </c>
    </row>
    <row r="6" spans="1:9">
      <c r="B6" s="13" t="s">
        <v>244</v>
      </c>
      <c r="C6" s="96" t="s">
        <v>246</v>
      </c>
      <c r="D6" s="96">
        <v>0.75</v>
      </c>
      <c r="E6" s="98">
        <v>0.75</v>
      </c>
      <c r="F6" s="101">
        <v>0.91</v>
      </c>
      <c r="G6" s="101">
        <v>0.86</v>
      </c>
      <c r="H6" s="101">
        <v>0.77</v>
      </c>
    </row>
    <row r="7" spans="1:9">
      <c r="B7" s="13" t="s">
        <v>86</v>
      </c>
      <c r="C7" s="96" t="s">
        <v>246</v>
      </c>
      <c r="D7" s="96">
        <v>0.75</v>
      </c>
      <c r="E7" s="98">
        <v>0.75</v>
      </c>
      <c r="F7" s="100" t="s">
        <v>246</v>
      </c>
      <c r="G7" s="100" t="s">
        <v>246</v>
      </c>
      <c r="H7" s="100" t="s">
        <v>246</v>
      </c>
    </row>
    <row r="8" spans="1:9">
      <c r="B8" s="13" t="s">
        <v>87</v>
      </c>
      <c r="C8" s="96">
        <v>0.14000000000000001</v>
      </c>
      <c r="D8" s="96">
        <v>0.28999999999999998</v>
      </c>
      <c r="E8" s="102">
        <v>0.44</v>
      </c>
      <c r="F8" s="101">
        <v>0.5976119402985075</v>
      </c>
      <c r="G8" s="101">
        <v>0.49</v>
      </c>
      <c r="H8" s="101">
        <v>0.44</v>
      </c>
    </row>
    <row r="9" spans="1:9" ht="19" thickBot="1">
      <c r="B9" s="108" t="s">
        <v>90</v>
      </c>
      <c r="C9" s="109">
        <v>0.11</v>
      </c>
      <c r="D9" s="109">
        <v>0.18</v>
      </c>
      <c r="E9" s="110">
        <v>0.2855734915183773</v>
      </c>
      <c r="F9" s="111">
        <v>0.2855734915183773</v>
      </c>
      <c r="G9" s="111">
        <v>0.2855734915183773</v>
      </c>
      <c r="H9" s="111">
        <v>0.23</v>
      </c>
    </row>
    <row r="10" spans="1:9" ht="20" thickTop="1" thickBot="1">
      <c r="B10" s="103" t="s">
        <v>92</v>
      </c>
      <c r="C10" s="104">
        <f>((C3/2)^2*PI()-(C4/2)^2*PI())*C5*C8*C9</f>
        <v>2.2738847626682928</v>
      </c>
      <c r="D10" s="105">
        <f>((D3/2)^2*PI()-(D4/2)^2*PI())*D5*D6*D7*D8*D9</f>
        <v>474.87733357022393</v>
      </c>
      <c r="E10" s="106">
        <f>((E3/2)^2*PI()-(E4/2)^2*PI())*E5*E6*E7*E8*E9</f>
        <v>1143.0928429857822</v>
      </c>
      <c r="F10" s="107">
        <f>((F3/2)^2*PI()-(F4/2)^2*PI())*F5*F6*F8*F9</f>
        <v>355.18924075571954</v>
      </c>
      <c r="G10" s="107">
        <f>((G3/2)^2*PI()-(G4/2)^2*PI())*G5*G6*G8*G9</f>
        <v>254.09220639845336</v>
      </c>
      <c r="H10" s="107">
        <f>((H3/2)^2*PI()-(H4/2)^2*PI())*H5*H6*H8*H9</f>
        <v>150.8001670180119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CE50-434B-488D-9F00-EB7BB868E6EC}">
  <dimension ref="A1:M562"/>
  <sheetViews>
    <sheetView workbookViewId="0">
      <selection activeCell="C31" sqref="C31"/>
    </sheetView>
  </sheetViews>
  <sheetFormatPr baseColWidth="10" defaultColWidth="8.83203125" defaultRowHeight="18"/>
  <cols>
    <col min="1" max="1" width="20.5" customWidth="1"/>
    <col min="2" max="2" width="49.5" bestFit="1" customWidth="1"/>
    <col min="3" max="3" width="18.6640625" customWidth="1"/>
    <col min="4" max="5" width="18" customWidth="1"/>
    <col min="6" max="6" width="16.6640625" customWidth="1"/>
    <col min="7" max="8" width="17.1640625" customWidth="1"/>
    <col min="9" max="9" width="16.6640625" customWidth="1"/>
    <col min="10" max="10" width="18.33203125" customWidth="1"/>
    <col min="11" max="11" width="17.1640625" customWidth="1"/>
    <col min="12" max="12" width="16.6640625" customWidth="1"/>
  </cols>
  <sheetData>
    <row r="1" spans="1:10">
      <c r="A1" t="s">
        <v>76</v>
      </c>
    </row>
    <row r="2" spans="1:10">
      <c r="A2" s="16"/>
      <c r="B2" s="16" t="s">
        <v>1</v>
      </c>
      <c r="C2" s="17">
        <v>6.626068E-34</v>
      </c>
      <c r="D2" s="16"/>
      <c r="E2" s="16"/>
      <c r="F2" s="16"/>
      <c r="G2" s="16"/>
      <c r="H2" s="16"/>
      <c r="I2" s="16"/>
      <c r="J2" s="16"/>
    </row>
    <row r="3" spans="1:10">
      <c r="A3" s="16"/>
      <c r="B3" s="16" t="s">
        <v>2</v>
      </c>
      <c r="C3" s="17">
        <v>299792458</v>
      </c>
      <c r="D3" s="16"/>
      <c r="E3" s="16"/>
      <c r="F3" s="16"/>
      <c r="G3" s="16"/>
      <c r="H3" s="16"/>
      <c r="I3" s="16"/>
      <c r="J3" s="16"/>
    </row>
    <row r="4" spans="1:10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  <c r="I4" s="16"/>
      <c r="J4" s="16"/>
    </row>
    <row r="5" spans="1:10" ht="19" thickBot="1">
      <c r="A5" s="16"/>
      <c r="B5" s="16"/>
      <c r="C5" s="17" t="s">
        <v>212</v>
      </c>
      <c r="D5" s="16" t="s">
        <v>213</v>
      </c>
      <c r="E5" s="16" t="s">
        <v>214</v>
      </c>
      <c r="F5" s="16" t="s">
        <v>214</v>
      </c>
      <c r="G5" s="16"/>
      <c r="H5" s="16"/>
      <c r="I5" s="16"/>
      <c r="J5" s="16"/>
    </row>
    <row r="6" spans="1:10">
      <c r="A6" s="16"/>
      <c r="B6" s="18" t="s">
        <v>81</v>
      </c>
      <c r="C6" s="203"/>
      <c r="D6" s="203"/>
      <c r="E6" s="244"/>
      <c r="F6" s="204"/>
      <c r="G6" s="16"/>
      <c r="H6" s="16"/>
      <c r="I6" s="16"/>
      <c r="J6" s="16"/>
    </row>
    <row r="7" spans="1:10">
      <c r="A7" s="16"/>
      <c r="B7" s="19" t="s">
        <v>82</v>
      </c>
      <c r="C7" s="205"/>
      <c r="D7" s="205"/>
      <c r="E7" s="250"/>
      <c r="F7" s="206"/>
      <c r="G7" s="16"/>
      <c r="H7" s="16"/>
      <c r="I7" s="16"/>
      <c r="J7" s="16"/>
    </row>
    <row r="8" spans="1:10">
      <c r="A8" s="16"/>
      <c r="B8" s="20" t="s">
        <v>83</v>
      </c>
      <c r="C8" s="193"/>
      <c r="D8" s="193"/>
      <c r="E8" s="246"/>
      <c r="F8" s="194"/>
      <c r="G8" s="207"/>
      <c r="H8" s="54"/>
      <c r="I8" s="16"/>
      <c r="J8" s="16"/>
    </row>
    <row r="9" spans="1:10">
      <c r="A9" s="16"/>
      <c r="B9" s="20" t="s">
        <v>85</v>
      </c>
      <c r="C9" s="193"/>
      <c r="D9" s="193"/>
      <c r="E9" s="246"/>
      <c r="F9" s="194"/>
      <c r="G9" s="207"/>
      <c r="H9" s="54"/>
      <c r="I9" s="16"/>
      <c r="J9" s="16"/>
    </row>
    <row r="10" spans="1:10">
      <c r="A10" s="16"/>
      <c r="B10" s="20" t="s">
        <v>86</v>
      </c>
      <c r="C10" s="193"/>
      <c r="D10" s="193"/>
      <c r="E10" s="246"/>
      <c r="F10" s="194"/>
      <c r="G10" s="207"/>
      <c r="H10" s="54"/>
      <c r="I10" s="16"/>
      <c r="J10" s="16"/>
    </row>
    <row r="11" spans="1:10">
      <c r="A11" s="16"/>
      <c r="B11" s="20" t="s">
        <v>87</v>
      </c>
      <c r="C11" s="193"/>
      <c r="D11" s="193"/>
      <c r="E11" s="246"/>
      <c r="F11" s="194"/>
      <c r="G11" s="16"/>
      <c r="H11" s="16"/>
      <c r="I11" s="16" t="s">
        <v>89</v>
      </c>
      <c r="J11" s="16"/>
    </row>
    <row r="12" spans="1:10">
      <c r="A12" s="16"/>
      <c r="B12" s="20" t="s">
        <v>90</v>
      </c>
      <c r="C12" s="193"/>
      <c r="D12" s="193"/>
      <c r="E12" s="246"/>
      <c r="F12" s="194"/>
      <c r="I12" s="16">
        <f>C8*C9*C11*C12</f>
        <v>0</v>
      </c>
      <c r="J12" s="16"/>
    </row>
    <row r="13" spans="1:10">
      <c r="A13" s="16"/>
      <c r="B13" s="21" t="s">
        <v>92</v>
      </c>
      <c r="C13" s="70">
        <v>350</v>
      </c>
      <c r="D13" s="70">
        <v>468</v>
      </c>
      <c r="E13" s="72">
        <v>456</v>
      </c>
      <c r="F13" s="71">
        <v>789</v>
      </c>
      <c r="G13" s="16"/>
      <c r="H13" s="16"/>
      <c r="I13" s="16"/>
      <c r="J13" s="16"/>
    </row>
    <row r="14" spans="1:10">
      <c r="A14" s="16"/>
      <c r="B14" s="20" t="s">
        <v>93</v>
      </c>
      <c r="C14" s="76">
        <f>600*32</f>
        <v>19200</v>
      </c>
      <c r="D14" s="76">
        <f>600*32</f>
        <v>19200</v>
      </c>
      <c r="E14" s="76">
        <f>600*32</f>
        <v>19200</v>
      </c>
      <c r="F14" s="76">
        <f>600*32</f>
        <v>19200</v>
      </c>
      <c r="G14" s="16"/>
      <c r="H14" s="16"/>
      <c r="I14" s="16"/>
      <c r="J14" s="16"/>
    </row>
    <row r="15" spans="1:10">
      <c r="A15" s="16"/>
      <c r="B15" s="20" t="s">
        <v>94</v>
      </c>
      <c r="C15" s="197"/>
      <c r="D15" s="197"/>
      <c r="E15" s="249"/>
      <c r="F15" s="198"/>
      <c r="G15" s="16"/>
      <c r="H15" s="16"/>
      <c r="I15" s="16"/>
      <c r="J15" s="16"/>
    </row>
    <row r="16" spans="1:10">
      <c r="A16" s="16"/>
      <c r="B16" s="20" t="s">
        <v>95</v>
      </c>
      <c r="C16" s="216"/>
      <c r="D16" s="217"/>
      <c r="E16" s="217"/>
      <c r="F16" s="218"/>
      <c r="G16" s="16"/>
      <c r="H16" s="16"/>
      <c r="I16" s="16"/>
      <c r="J16" s="16"/>
    </row>
    <row r="17" spans="1:12">
      <c r="A17" s="16"/>
      <c r="B17" s="20" t="s">
        <v>96</v>
      </c>
      <c r="C17" s="216"/>
      <c r="D17" s="217"/>
      <c r="E17" s="217"/>
      <c r="F17" s="218"/>
      <c r="G17" s="16"/>
      <c r="H17" s="16"/>
      <c r="I17" s="16"/>
      <c r="J17" s="16"/>
    </row>
    <row r="18" spans="1:12">
      <c r="A18" s="16"/>
      <c r="B18" s="21" t="s">
        <v>97</v>
      </c>
      <c r="C18" s="70">
        <v>0.1</v>
      </c>
      <c r="D18" s="70">
        <v>0.1</v>
      </c>
      <c r="E18" s="72">
        <v>0.5</v>
      </c>
      <c r="F18" s="71">
        <v>0.5</v>
      </c>
      <c r="G18" s="16"/>
      <c r="H18" s="16"/>
      <c r="I18" s="16"/>
      <c r="J18" s="16"/>
    </row>
    <row r="19" spans="1:12" ht="19" thickBot="1">
      <c r="A19" s="16"/>
      <c r="B19" s="24" t="s">
        <v>98</v>
      </c>
      <c r="C19" s="73">
        <v>0.1</v>
      </c>
      <c r="D19" s="73">
        <v>0.1</v>
      </c>
      <c r="E19" s="72">
        <v>0.5</v>
      </c>
      <c r="F19" s="71">
        <v>0.5</v>
      </c>
      <c r="G19" s="16"/>
      <c r="H19" s="16"/>
      <c r="I19" s="16"/>
      <c r="J19" s="16"/>
    </row>
    <row r="20" spans="1:12">
      <c r="A20" s="16"/>
      <c r="B20" s="25" t="s">
        <v>99</v>
      </c>
      <c r="C20" s="74">
        <f t="shared" ref="C20:F21" si="0">C18/3600</f>
        <v>2.7777777777777779E-5</v>
      </c>
      <c r="D20" s="74">
        <f t="shared" si="0"/>
        <v>2.7777777777777779E-5</v>
      </c>
      <c r="E20" s="74">
        <f t="shared" si="0"/>
        <v>1.3888888888888889E-4</v>
      </c>
      <c r="F20" s="74">
        <f t="shared" si="0"/>
        <v>1.3888888888888889E-4</v>
      </c>
      <c r="G20" s="16">
        <f>(C14*TAN(RADIANS(C20)))</f>
        <v>9.3084226773038226E-3</v>
      </c>
      <c r="H20" s="16" t="s">
        <v>230</v>
      </c>
      <c r="I20" s="16"/>
      <c r="J20" s="16"/>
    </row>
    <row r="21" spans="1:12">
      <c r="A21" s="16"/>
      <c r="B21" s="26" t="s">
        <v>101</v>
      </c>
      <c r="C21" s="74">
        <f t="shared" si="0"/>
        <v>2.7777777777777779E-5</v>
      </c>
      <c r="D21" s="74">
        <f t="shared" si="0"/>
        <v>2.7777777777777779E-5</v>
      </c>
      <c r="E21" s="74">
        <f t="shared" si="0"/>
        <v>1.3888888888888889E-4</v>
      </c>
      <c r="F21" s="74">
        <f t="shared" si="0"/>
        <v>1.3888888888888889E-4</v>
      </c>
      <c r="G21" s="16"/>
      <c r="H21" s="16"/>
      <c r="I21" s="16"/>
      <c r="J21" s="16"/>
    </row>
    <row r="22" spans="1:12">
      <c r="A22" s="16"/>
      <c r="B22" s="26" t="s">
        <v>308</v>
      </c>
      <c r="C22" s="74">
        <f>$C$14*ATAN(RADIANS(C20))*1000</f>
        <v>9.3084226773023619</v>
      </c>
      <c r="D22" s="74"/>
      <c r="E22" s="74"/>
      <c r="F22" s="74"/>
      <c r="G22" s="16"/>
      <c r="H22" s="16"/>
      <c r="I22" s="16"/>
      <c r="J22" s="16"/>
    </row>
    <row r="23" spans="1:12">
      <c r="A23" s="16"/>
      <c r="B23" s="26" t="s">
        <v>305</v>
      </c>
      <c r="C23" s="176">
        <f>$C$14*ATAN(RADIANS(C20))/10*$C$14*ATAN(RADIANS(C21))/10</f>
        <v>8.6646732739316881E-7</v>
      </c>
      <c r="D23" s="74"/>
      <c r="E23" s="74"/>
      <c r="F23" s="74"/>
      <c r="G23" s="16"/>
      <c r="H23" s="16"/>
      <c r="I23" s="16"/>
      <c r="J23" s="16"/>
    </row>
    <row r="24" spans="1:12">
      <c r="A24" s="16"/>
      <c r="B24" s="26" t="s">
        <v>306</v>
      </c>
      <c r="C24" s="176">
        <v>3</v>
      </c>
      <c r="D24" s="74"/>
      <c r="E24" s="74"/>
      <c r="F24" s="74"/>
      <c r="G24" s="16"/>
      <c r="H24" s="16"/>
      <c r="I24" s="16"/>
      <c r="J24" s="16"/>
    </row>
    <row r="25" spans="1:12">
      <c r="A25" s="16"/>
      <c r="B25" s="178" t="s">
        <v>307</v>
      </c>
      <c r="C25" s="179">
        <f>C23*C24^2</f>
        <v>7.7982059465385185E-6</v>
      </c>
      <c r="D25" s="74"/>
      <c r="E25" s="74"/>
      <c r="F25" s="74"/>
      <c r="G25" s="16"/>
      <c r="H25" s="16"/>
      <c r="I25" s="16"/>
      <c r="J25" s="16"/>
    </row>
    <row r="26" spans="1:12">
      <c r="A26" s="16"/>
      <c r="B26" s="13" t="s">
        <v>105</v>
      </c>
      <c r="C26" s="75">
        <v>500</v>
      </c>
      <c r="D26" s="75">
        <v>500</v>
      </c>
      <c r="E26" s="75">
        <v>0</v>
      </c>
      <c r="F26" s="75">
        <v>0</v>
      </c>
      <c r="G26" s="16"/>
      <c r="H26" s="16"/>
      <c r="I26" s="16"/>
      <c r="J26" s="16"/>
    </row>
    <row r="27" spans="1:12" ht="19" thickBot="1">
      <c r="A27" s="16"/>
      <c r="B27" s="13" t="s">
        <v>215</v>
      </c>
      <c r="C27" s="75">
        <v>30000</v>
      </c>
      <c r="D27" s="75">
        <v>30000</v>
      </c>
      <c r="E27" s="75">
        <v>30000</v>
      </c>
      <c r="F27" s="75">
        <v>30000</v>
      </c>
      <c r="G27" s="16"/>
      <c r="H27" s="16"/>
      <c r="I27" s="16"/>
      <c r="J27" s="16"/>
    </row>
    <row r="28" spans="1:12">
      <c r="A28" s="16"/>
      <c r="B28" s="13" t="s">
        <v>216</v>
      </c>
      <c r="C28" s="75">
        <v>1500</v>
      </c>
      <c r="D28" s="75">
        <v>1500</v>
      </c>
      <c r="E28" s="75">
        <v>1500</v>
      </c>
      <c r="F28" s="75">
        <v>1500</v>
      </c>
      <c r="G28" s="16"/>
      <c r="H28" s="253"/>
      <c r="I28" s="251" t="s">
        <v>228</v>
      </c>
      <c r="J28" s="251"/>
      <c r="K28" s="251"/>
      <c r="L28" s="252"/>
    </row>
    <row r="29" spans="1:12" ht="39" thickBot="1">
      <c r="A29" s="16"/>
      <c r="B29" s="13" t="s">
        <v>229</v>
      </c>
      <c r="C29" s="75">
        <v>10</v>
      </c>
      <c r="D29" s="75">
        <v>10</v>
      </c>
      <c r="E29" s="75">
        <v>10</v>
      </c>
      <c r="F29" s="75">
        <v>10</v>
      </c>
      <c r="G29" s="16"/>
      <c r="H29" s="254"/>
      <c r="I29" s="89" t="s">
        <v>222</v>
      </c>
      <c r="J29" s="89" t="s">
        <v>223</v>
      </c>
      <c r="K29" s="90" t="s">
        <v>224</v>
      </c>
      <c r="L29" s="91" t="s">
        <v>225</v>
      </c>
    </row>
    <row r="30" spans="1:12" ht="19" thickTop="1">
      <c r="A30" s="16"/>
      <c r="B30" s="13" t="s">
        <v>217</v>
      </c>
      <c r="C30" s="75">
        <v>1</v>
      </c>
      <c r="D30" s="75">
        <v>1</v>
      </c>
      <c r="E30" s="75">
        <v>1</v>
      </c>
      <c r="F30" s="75">
        <v>1</v>
      </c>
      <c r="G30" s="16"/>
      <c r="H30" s="85" t="s">
        <v>220</v>
      </c>
      <c r="I30" s="86">
        <v>0.10386069710749732</v>
      </c>
      <c r="J30" s="86">
        <v>0.2670177086938586</v>
      </c>
      <c r="K30" s="87">
        <v>6.5042989988992348</v>
      </c>
      <c r="L30" s="88">
        <v>11.253537185809924</v>
      </c>
    </row>
    <row r="31" spans="1:12">
      <c r="A31" s="16"/>
      <c r="B31" s="178" t="s">
        <v>218</v>
      </c>
      <c r="C31" s="177">
        <f>(C26+C27)*1000000/(4*PI())*C13*RADIANS(C20)*RADIANS(C21)+(C29+C30)*(C14*TAN(RADIANS(C20))*C14*TAN(RADIANS(C21)))/100</f>
        <v>0.19967720266237204</v>
      </c>
      <c r="D31" s="30">
        <f>(D26+D27)*1000000/(4*PI())*D13*RADIANS(D20)*RADIANS(D21)+(D29+D30)*(D14*TAN(RADIANS(D20))*D14*TAN(RADIANS(D21)))/100</f>
        <v>0.26699373191828335</v>
      </c>
      <c r="E31" s="30">
        <f>(E26+E27)*1000000/(4*PI())*E13*RADIANS(E20)*RADIANS(E21)+(E29+E30)*(E14*TAN(RADIANS(E20))*E14*TAN(RADIANS(E21)))/100</f>
        <v>6.3970854598214117</v>
      </c>
      <c r="F31" s="30">
        <f>(F26+F27)*1000000/(4*PI())*F13*RADIANS(F20)*RADIANS(F21)+(F29+F30)*(F14*TAN(RADIANS(F20))*F14*TAN(RADIANS(F21)))/100</f>
        <v>11.068467283012255</v>
      </c>
      <c r="G31" s="16">
        <f>(C14*TAN(RADIANS(C20))*C14*TAN(RADIANS(C21)))/100</f>
        <v>8.664673273934406E-7</v>
      </c>
      <c r="H31" s="79" t="s">
        <v>221</v>
      </c>
      <c r="I31" s="77">
        <v>6.8418481910172508E-3</v>
      </c>
      <c r="J31" s="77">
        <v>1.7540668622909792E-2</v>
      </c>
      <c r="K31" s="78">
        <v>0.42729417665817532</v>
      </c>
      <c r="L31" s="80">
        <v>0.73871963153756459</v>
      </c>
    </row>
    <row r="32" spans="1:12" ht="19" thickBot="1">
      <c r="A32" s="16"/>
      <c r="B32" s="13" t="s">
        <v>219</v>
      </c>
      <c r="C32" s="30">
        <f>(C26+C28)*1000000/(4*PI())*C13*RADIANS(C20)*RADIANS(C21)+(C29+C30)*(C14*TAN(RADIANS(C20))*C14*TAN(RADIANS(C21)))/100</f>
        <v>1.3102493207602688E-2</v>
      </c>
      <c r="D32" s="30">
        <f>(D26+D28)*1000000/(4*PI())*D13*RADIANS(D20)*RADIANS(D21)+(D29+D30)*(D14*TAN(RADIANS(D20))*D14*TAN(RADIANS(D21)))/100</f>
        <v>1.7516691847334578E-2</v>
      </c>
      <c r="E32" s="30">
        <f>(E26+E28)*1000000/(4*PI())*E13*RADIANS(E20)*RADIANS(E21)+(E29+E30)*(E14*TAN(RADIANS(E20))*E14*TAN(RADIANS(E21)))/100</f>
        <v>0.32008063758035299</v>
      </c>
      <c r="F32" s="30">
        <f>(F26+F28)*1000000/(4*PI())*F13*RADIANS(F20)*RADIANS(F21)+(F29+F30)*(F14*TAN(RADIANS(F20))*F14*TAN(RADIANS(F21)))/100</f>
        <v>0.55364972873989504</v>
      </c>
      <c r="G32" s="16"/>
      <c r="H32" s="81" t="s">
        <v>226</v>
      </c>
      <c r="I32" s="82">
        <v>1.7355929848867201E-3</v>
      </c>
      <c r="J32" s="82">
        <v>4.4102980928598552E-3</v>
      </c>
      <c r="K32" s="83">
        <v>0.10745181759285638</v>
      </c>
      <c r="L32" s="84">
        <v>0.18530818131270371</v>
      </c>
    </row>
    <row r="33" spans="1:13">
      <c r="A33" s="16"/>
      <c r="B33" s="13" t="s">
        <v>227</v>
      </c>
      <c r="C33" s="30">
        <f>(C26)*1000000/(4*PI())*C13*RADIANS(C20)*RADIANS(C21)+(C29+C30)*(C14*TAN(RADIANS(C20))*C14*TAN(RADIANS(C21)))/100</f>
        <v>3.2827716573516682E-3</v>
      </c>
      <c r="D33" s="30">
        <f>(D26)*1000000/(4*PI())*D13*RADIANS(D20)*RADIANS(D21)+(D29+D30)*(D14*TAN(RADIANS(D20))*D14*TAN(RADIANS(D21)))/100</f>
        <v>4.3863213172846399E-3</v>
      </c>
      <c r="E33" s="30">
        <f>(E26)*1000000/(4*PI())*E13*RADIANS(E20)*RADIANS(E21)+(E29+E30)*(E14*TAN(RADIANS(E20))*E14*TAN(RADIANS(E21)))/100</f>
        <v>2.3827851503409214E-4</v>
      </c>
      <c r="F33" s="30">
        <f>(F26)*1000000/(4*PI())*F13*RADIANS(F20)*RADIANS(F21)+(F29+F30)*(F14*TAN(RADIANS(F20))*F14*TAN(RADIANS(F21)))/100</f>
        <v>2.3827851503409214E-4</v>
      </c>
      <c r="G33" s="16"/>
      <c r="I33" s="16"/>
      <c r="J33" s="16"/>
      <c r="K33" s="54"/>
      <c r="L33" s="54"/>
    </row>
    <row r="34" spans="1:13">
      <c r="A34" s="16"/>
      <c r="B34" s="13" t="s">
        <v>108</v>
      </c>
      <c r="C34" s="191">
        <f>($C$26+$C$27)*1000000/(4*PI())*$C$13*RADIANS($C$20)*RADIANS($C$21)</f>
        <v>0.19966767152177073</v>
      </c>
      <c r="D34" s="191"/>
      <c r="E34" s="191"/>
      <c r="F34" s="191"/>
      <c r="G34" s="16"/>
      <c r="H34" s="16"/>
      <c r="I34" s="16"/>
      <c r="J34" s="16"/>
      <c r="K34" s="54"/>
      <c r="L34" s="54"/>
      <c r="M34" s="54"/>
    </row>
    <row r="35" spans="1:13">
      <c r="A35" s="16"/>
      <c r="B35" s="27" t="s">
        <v>71</v>
      </c>
      <c r="C35" s="28">
        <v>9.9999999999999994E-12</v>
      </c>
      <c r="D35" s="28">
        <v>9.9999999999999998E-13</v>
      </c>
      <c r="E35" s="28"/>
      <c r="F35" s="28">
        <v>4.9999999999999999E-17</v>
      </c>
      <c r="G35" s="16"/>
      <c r="H35" s="16"/>
      <c r="I35" s="16"/>
      <c r="J35" s="16"/>
      <c r="K35" s="16"/>
      <c r="L35" s="16"/>
      <c r="M35" s="54"/>
    </row>
    <row r="36" spans="1:13">
      <c r="A36" s="16"/>
      <c r="B36" s="13" t="s">
        <v>109</v>
      </c>
      <c r="C36" s="29">
        <f>$C$35*$C$4/($C$2*$C$3/1306*10000000000)</f>
        <v>0.65745583704964472</v>
      </c>
      <c r="D36" s="29">
        <f>$D$35*$C$4/($C$2*$C$3/1306*10000000000)</f>
        <v>6.5745583704964486E-2</v>
      </c>
      <c r="E36" s="29"/>
      <c r="F36" s="29">
        <f>$F$35*$C$4/($C$2*$C$3/1306*10000000000)</f>
        <v>3.2872791852482239E-6</v>
      </c>
      <c r="G36" s="16"/>
      <c r="H36" s="16"/>
      <c r="I36" s="16"/>
      <c r="J36" s="16"/>
      <c r="K36" s="17"/>
      <c r="L36" s="17"/>
      <c r="M36" s="16"/>
    </row>
    <row r="37" spans="1:13">
      <c r="A37" s="16"/>
      <c r="B37" s="13" t="s">
        <v>110</v>
      </c>
      <c r="C37" s="30">
        <f>$C$13*C36</f>
        <v>230.10954296737566</v>
      </c>
      <c r="D37" s="30">
        <f>$C$13*D36</f>
        <v>23.01095429673757</v>
      </c>
      <c r="E37" s="30"/>
      <c r="F37" s="29">
        <f>$C$13*F36</f>
        <v>1.1505477148368783E-3</v>
      </c>
      <c r="G37" s="16"/>
      <c r="H37" s="16"/>
      <c r="I37" s="16"/>
      <c r="J37" s="16"/>
      <c r="K37" s="17"/>
      <c r="L37" s="17"/>
      <c r="M37" s="31"/>
    </row>
    <row r="38" spans="1:13">
      <c r="A38" s="16"/>
      <c r="B38" s="13" t="s">
        <v>50</v>
      </c>
      <c r="C38" s="191">
        <f>(0.08/1000)^2</f>
        <v>6.4000000000000011E-9</v>
      </c>
      <c r="D38" s="191"/>
      <c r="E38" s="191"/>
      <c r="F38" s="191"/>
      <c r="G38" s="16"/>
      <c r="H38" s="54"/>
      <c r="I38" s="54"/>
      <c r="J38" s="54"/>
      <c r="K38" s="17"/>
      <c r="L38" s="17"/>
      <c r="M38" s="31"/>
    </row>
    <row r="39" spans="1:13">
      <c r="A39" s="16"/>
      <c r="B39" s="13" t="s">
        <v>112</v>
      </c>
      <c r="C39" s="29">
        <f>C37/$C$38</f>
        <v>35954616088.652443</v>
      </c>
      <c r="D39" s="29">
        <f>D37/$C$38</f>
        <v>3595461608.8652449</v>
      </c>
      <c r="E39" s="29"/>
      <c r="F39" s="29">
        <f>F37/$C$38</f>
        <v>179773.08044326221</v>
      </c>
      <c r="G39" s="54"/>
      <c r="H39" s="46"/>
      <c r="I39" s="46"/>
      <c r="J39" s="16"/>
      <c r="K39" s="17"/>
      <c r="L39" s="17"/>
      <c r="M39" s="31"/>
    </row>
    <row r="40" spans="1:13">
      <c r="A40" s="16" t="s">
        <v>113</v>
      </c>
      <c r="B40" s="46" t="s">
        <v>114</v>
      </c>
      <c r="C40" s="46"/>
      <c r="D40" s="46"/>
      <c r="E40" s="46"/>
      <c r="F40" s="46"/>
      <c r="G40" s="46"/>
      <c r="H40" s="69"/>
      <c r="I40" s="69"/>
      <c r="J40" s="16"/>
      <c r="K40" s="17"/>
      <c r="L40" s="17"/>
      <c r="M40" s="31"/>
    </row>
    <row r="41" spans="1:13">
      <c r="A41" s="16" t="s">
        <v>113</v>
      </c>
      <c r="B41" s="69"/>
      <c r="C41" s="69"/>
      <c r="D41" s="69"/>
      <c r="E41" s="69"/>
      <c r="F41" s="69"/>
      <c r="G41" s="69"/>
      <c r="H41" s="16"/>
      <c r="I41" s="16"/>
      <c r="J41" s="31"/>
      <c r="K41" s="17"/>
      <c r="L41" s="17"/>
      <c r="M41" s="31"/>
    </row>
    <row r="42" spans="1:13">
      <c r="A42" s="16" t="s">
        <v>208</v>
      </c>
      <c r="B42" s="16" t="s">
        <v>209</v>
      </c>
      <c r="C42" s="16" t="s">
        <v>210</v>
      </c>
      <c r="D42" s="16" t="s">
        <v>211</v>
      </c>
      <c r="E42" s="16"/>
      <c r="F42" s="16"/>
      <c r="G42" s="16"/>
      <c r="H42" s="17"/>
      <c r="I42" s="17"/>
      <c r="J42" s="31"/>
      <c r="K42" s="17"/>
      <c r="L42" s="17"/>
      <c r="M42" s="31"/>
    </row>
    <row r="43" spans="1:13">
      <c r="A43" s="16">
        <v>1.2</v>
      </c>
      <c r="B43" s="17">
        <v>31397.569</v>
      </c>
      <c r="C43" s="17">
        <f>B43+$C$26</f>
        <v>31897.569</v>
      </c>
      <c r="D43" s="17">
        <f>C43*1000000/(4*PI())*$C$13*RADIANS($C$20)*RADIANS($C$21)</f>
        <v>0.20881683047327926</v>
      </c>
      <c r="E43" s="17"/>
      <c r="F43" s="17"/>
      <c r="G43" s="17"/>
      <c r="H43" s="17"/>
      <c r="I43" s="17"/>
      <c r="J43" s="31"/>
      <c r="K43" s="17"/>
      <c r="L43" s="17"/>
      <c r="M43" s="31"/>
    </row>
    <row r="44" spans="1:13">
      <c r="A44" s="16">
        <v>1.3</v>
      </c>
      <c r="B44" s="17">
        <v>21771.198</v>
      </c>
      <c r="C44" s="17">
        <f t="shared" ref="C44:C107" si="1">B44+$C$26</f>
        <v>22271.198</v>
      </c>
      <c r="D44" s="17">
        <f t="shared" ref="D44:D107" si="2">C44*1000000/(4*PI())*$C$13*RADIANS($C$20)*RADIANS($C$21)</f>
        <v>0.14579797530033825</v>
      </c>
      <c r="E44" s="17"/>
      <c r="F44" s="17"/>
      <c r="G44" s="17"/>
      <c r="H44" s="17"/>
      <c r="I44" s="17"/>
      <c r="J44" s="31"/>
      <c r="K44" s="17"/>
      <c r="L44" s="17"/>
      <c r="M44" s="31"/>
    </row>
    <row r="45" spans="1:13">
      <c r="A45" s="16">
        <v>1.4</v>
      </c>
      <c r="B45" s="17">
        <v>12198.102999999999</v>
      </c>
      <c r="C45" s="17">
        <f t="shared" si="1"/>
        <v>12698.102999999999</v>
      </c>
      <c r="D45" s="17">
        <f t="shared" si="2"/>
        <v>8.3127890450938102E-2</v>
      </c>
      <c r="E45" s="17"/>
      <c r="F45" s="17"/>
      <c r="G45" s="17"/>
      <c r="H45" s="17"/>
      <c r="I45" s="17"/>
      <c r="J45" s="31"/>
      <c r="K45" s="17"/>
      <c r="L45" s="17"/>
      <c r="M45" s="31"/>
    </row>
    <row r="46" spans="1:13">
      <c r="A46" s="16">
        <v>1.5</v>
      </c>
      <c r="B46" s="17">
        <v>9640.9909000000007</v>
      </c>
      <c r="C46" s="17">
        <f t="shared" si="1"/>
        <v>10140.990900000001</v>
      </c>
      <c r="D46" s="17">
        <f t="shared" si="2"/>
        <v>6.6387804587752994E-2</v>
      </c>
      <c r="E46" s="17"/>
      <c r="F46" s="17"/>
      <c r="G46" s="17"/>
      <c r="H46" s="17"/>
      <c r="I46" s="17"/>
      <c r="J46" s="31"/>
      <c r="K46" s="17"/>
      <c r="L46" s="17"/>
      <c r="M46" s="31"/>
    </row>
    <row r="47" spans="1:13">
      <c r="A47" s="16">
        <v>1.6</v>
      </c>
      <c r="B47" s="17">
        <v>7825.8387000000002</v>
      </c>
      <c r="C47" s="17">
        <f t="shared" si="1"/>
        <v>8325.8387000000002</v>
      </c>
      <c r="D47" s="17">
        <f t="shared" si="2"/>
        <v>5.4504945137535961E-2</v>
      </c>
      <c r="E47" s="17"/>
      <c r="F47" s="17"/>
      <c r="G47" s="17"/>
      <c r="H47" s="17"/>
      <c r="I47" s="17"/>
      <c r="J47" s="31"/>
      <c r="K47" s="17"/>
      <c r="L47" s="17"/>
      <c r="M47" s="31"/>
    </row>
    <row r="48" spans="1:13">
      <c r="A48" s="16">
        <v>1.7</v>
      </c>
      <c r="B48" s="17">
        <v>6492.2389000000003</v>
      </c>
      <c r="C48" s="17">
        <f t="shared" si="1"/>
        <v>6992.2389000000003</v>
      </c>
      <c r="D48" s="17">
        <f t="shared" si="2"/>
        <v>4.5774559340555653E-2</v>
      </c>
      <c r="E48" s="17"/>
      <c r="F48" s="17"/>
      <c r="G48" s="17"/>
      <c r="H48" s="17"/>
      <c r="I48" s="17"/>
      <c r="J48" s="31"/>
      <c r="K48" s="17"/>
      <c r="L48" s="17"/>
      <c r="M48" s="31"/>
    </row>
    <row r="49" spans="1:13">
      <c r="A49" s="16">
        <v>1.8</v>
      </c>
      <c r="B49" s="17">
        <v>5483.9958999999999</v>
      </c>
      <c r="C49" s="17">
        <f t="shared" si="1"/>
        <v>5983.9958999999999</v>
      </c>
      <c r="D49" s="17">
        <f t="shared" si="2"/>
        <v>3.9174115663895837E-2</v>
      </c>
      <c r="E49" s="17"/>
      <c r="F49" s="17"/>
      <c r="G49" s="17"/>
      <c r="H49" s="17"/>
      <c r="I49" s="17"/>
      <c r="J49" s="31"/>
      <c r="K49" s="17"/>
      <c r="L49" s="17"/>
      <c r="M49" s="31"/>
    </row>
    <row r="50" spans="1:13">
      <c r="A50" s="16">
        <v>1.9</v>
      </c>
      <c r="B50" s="17">
        <v>4703.1381000000001</v>
      </c>
      <c r="C50" s="17">
        <f t="shared" si="1"/>
        <v>5203.1381000000001</v>
      </c>
      <c r="D50" s="17">
        <f t="shared" si="2"/>
        <v>3.4062244886334768E-2</v>
      </c>
      <c r="E50" s="17"/>
      <c r="F50" s="17"/>
      <c r="G50" s="17"/>
      <c r="H50" s="17"/>
      <c r="I50" s="17"/>
      <c r="J50" s="31"/>
      <c r="K50" s="17"/>
      <c r="L50" s="17"/>
      <c r="M50" s="31"/>
    </row>
    <row r="51" spans="1:13">
      <c r="A51" s="16">
        <v>2</v>
      </c>
      <c r="B51" s="17">
        <v>4085.8364999999999</v>
      </c>
      <c r="C51" s="17">
        <f t="shared" si="1"/>
        <v>4585.8364999999994</v>
      </c>
      <c r="D51" s="17">
        <f t="shared" si="2"/>
        <v>3.002109166998514E-2</v>
      </c>
      <c r="E51" s="17"/>
      <c r="F51" s="17"/>
      <c r="G51" s="17"/>
      <c r="H51" s="17"/>
      <c r="I51" s="17"/>
      <c r="J51" s="31"/>
      <c r="K51" s="17"/>
      <c r="L51" s="17"/>
      <c r="M51" s="31"/>
    </row>
    <row r="52" spans="1:13">
      <c r="A52" s="16">
        <v>2.1</v>
      </c>
      <c r="B52" s="17">
        <v>3589.1282999999999</v>
      </c>
      <c r="C52" s="17">
        <f t="shared" si="1"/>
        <v>4089.1282999999999</v>
      </c>
      <c r="D52" s="17">
        <f t="shared" si="2"/>
        <v>2.6769400859500879E-2</v>
      </c>
      <c r="E52" s="17"/>
      <c r="F52" s="17"/>
      <c r="G52" s="17"/>
      <c r="H52" s="17"/>
      <c r="I52" s="17"/>
      <c r="J52" s="31"/>
      <c r="K52" s="17"/>
      <c r="L52" s="17"/>
      <c r="M52" s="31"/>
    </row>
    <row r="53" spans="1:13">
      <c r="A53" s="16">
        <v>2.2000000000000002</v>
      </c>
      <c r="B53" s="17">
        <v>3183.2671</v>
      </c>
      <c r="C53" s="17">
        <f t="shared" si="1"/>
        <v>3683.2671</v>
      </c>
      <c r="D53" s="17">
        <f t="shared" si="2"/>
        <v>2.4112438211467052E-2</v>
      </c>
      <c r="E53" s="17"/>
      <c r="F53" s="17"/>
      <c r="G53" s="17"/>
      <c r="H53" s="17"/>
      <c r="I53" s="17"/>
      <c r="J53" s="31"/>
      <c r="K53" s="17"/>
      <c r="L53" s="17"/>
      <c r="M53" s="31"/>
    </row>
    <row r="54" spans="1:13">
      <c r="A54" s="16">
        <v>2.2999999999999998</v>
      </c>
      <c r="B54" s="17">
        <v>2847.1432</v>
      </c>
      <c r="C54" s="17">
        <f t="shared" si="1"/>
        <v>3347.1432</v>
      </c>
      <c r="D54" s="17">
        <f t="shared" si="2"/>
        <v>2.1912009475210777E-2</v>
      </c>
      <c r="E54" s="17"/>
      <c r="F54" s="17"/>
      <c r="G54" s="17"/>
      <c r="H54" s="17"/>
      <c r="I54" s="17"/>
      <c r="J54" s="31"/>
      <c r="K54" s="17"/>
      <c r="L54" s="17"/>
      <c r="M54" s="31"/>
    </row>
    <row r="55" spans="1:13">
      <c r="A55" s="16">
        <v>2.4</v>
      </c>
      <c r="B55" s="17">
        <v>2565.4472999999998</v>
      </c>
      <c r="C55" s="17">
        <f t="shared" si="1"/>
        <v>3065.4472999999998</v>
      </c>
      <c r="D55" s="17">
        <f t="shared" si="2"/>
        <v>2.006789260864587E-2</v>
      </c>
      <c r="E55" s="17"/>
      <c r="F55" s="17"/>
      <c r="G55" s="17"/>
      <c r="H55" s="17"/>
      <c r="I55" s="17"/>
      <c r="J55" s="31"/>
      <c r="K55" s="17"/>
      <c r="L55" s="17"/>
      <c r="M55" s="31"/>
    </row>
    <row r="56" spans="1:13">
      <c r="A56" s="16">
        <v>2.5</v>
      </c>
      <c r="B56" s="17">
        <v>2326.8602000000001</v>
      </c>
      <c r="C56" s="17">
        <f t="shared" si="1"/>
        <v>2826.8602000000001</v>
      </c>
      <c r="D56" s="17">
        <f t="shared" si="2"/>
        <v>1.8505986683657938E-2</v>
      </c>
      <c r="E56" s="17"/>
      <c r="F56" s="17"/>
      <c r="G56" s="17"/>
      <c r="H56" s="17"/>
      <c r="I56" s="17"/>
      <c r="J56" s="31"/>
      <c r="K56" s="17"/>
      <c r="L56" s="17"/>
      <c r="M56" s="31"/>
    </row>
    <row r="57" spans="1:13">
      <c r="A57" s="16">
        <v>2.6</v>
      </c>
      <c r="B57" s="17">
        <v>2122.8688000000002</v>
      </c>
      <c r="C57" s="17">
        <f t="shared" si="1"/>
        <v>2622.8688000000002</v>
      </c>
      <c r="D57" s="17">
        <f t="shared" si="2"/>
        <v>1.717056085256069E-2</v>
      </c>
      <c r="E57" s="17"/>
      <c r="F57" s="17"/>
      <c r="G57" s="17"/>
      <c r="H57" s="17"/>
      <c r="I57" s="17"/>
      <c r="J57" s="31"/>
      <c r="K57" s="17"/>
      <c r="L57" s="17"/>
      <c r="M57" s="31"/>
    </row>
    <row r="58" spans="1:13">
      <c r="A58" s="16">
        <v>2.7</v>
      </c>
      <c r="B58" s="17">
        <v>1946.9706000000001</v>
      </c>
      <c r="C58" s="17">
        <f t="shared" si="1"/>
        <v>2446.9706000000001</v>
      </c>
      <c r="D58" s="17">
        <f t="shared" si="2"/>
        <v>1.601904662243378E-2</v>
      </c>
      <c r="E58" s="17"/>
      <c r="F58" s="17"/>
      <c r="G58" s="17"/>
      <c r="H58" s="17"/>
      <c r="I58" s="17"/>
      <c r="J58" s="31"/>
      <c r="K58" s="17"/>
      <c r="L58" s="17"/>
      <c r="M58" s="31"/>
    </row>
    <row r="59" spans="1:13">
      <c r="A59" s="16">
        <v>2.8</v>
      </c>
      <c r="B59" s="17">
        <v>1794.1297</v>
      </c>
      <c r="C59" s="17">
        <f t="shared" si="1"/>
        <v>2294.1297</v>
      </c>
      <c r="D59" s="17">
        <f t="shared" si="2"/>
        <v>1.5018476569440609E-2</v>
      </c>
      <c r="E59" s="17"/>
      <c r="F59" s="17"/>
      <c r="G59" s="17"/>
      <c r="H59" s="17"/>
      <c r="I59" s="17"/>
      <c r="J59" s="31"/>
      <c r="K59" s="17"/>
      <c r="L59" s="17"/>
      <c r="M59" s="31"/>
    </row>
    <row r="60" spans="1:13">
      <c r="A60" s="16">
        <v>2.9</v>
      </c>
      <c r="B60" s="17">
        <v>1660.3967</v>
      </c>
      <c r="C60" s="17">
        <f t="shared" si="1"/>
        <v>2160.3967000000002</v>
      </c>
      <c r="D60" s="17">
        <f t="shared" si="2"/>
        <v>1.4142996021387459E-2</v>
      </c>
      <c r="E60" s="17"/>
      <c r="F60" s="17"/>
      <c r="G60" s="17"/>
      <c r="H60" s="17"/>
      <c r="I60" s="17"/>
      <c r="J60" s="31"/>
      <c r="K60" s="17"/>
      <c r="L60" s="17"/>
      <c r="M60" s="31"/>
    </row>
    <row r="61" spans="1:13">
      <c r="A61" s="16">
        <v>3</v>
      </c>
      <c r="B61" s="17">
        <v>1542.6387</v>
      </c>
      <c r="C61" s="17">
        <f t="shared" si="1"/>
        <v>2042.6387</v>
      </c>
      <c r="D61" s="17">
        <f t="shared" si="2"/>
        <v>1.3372095507844486E-2</v>
      </c>
      <c r="E61" s="17"/>
      <c r="F61" s="17"/>
      <c r="G61" s="17"/>
      <c r="H61" s="17"/>
      <c r="I61" s="17"/>
      <c r="J61" s="31"/>
      <c r="K61" s="17"/>
      <c r="L61" s="17"/>
      <c r="M61" s="31"/>
    </row>
    <row r="62" spans="1:13">
      <c r="A62" s="16">
        <v>3.1</v>
      </c>
      <c r="B62" s="17">
        <v>1438.3442</v>
      </c>
      <c r="C62" s="17">
        <f t="shared" si="1"/>
        <v>1938.3442</v>
      </c>
      <c r="D62" s="17">
        <f t="shared" si="2"/>
        <v>1.268933354169605E-2</v>
      </c>
      <c r="E62" s="17"/>
      <c r="F62" s="17"/>
      <c r="G62" s="17"/>
      <c r="H62" s="17"/>
      <c r="I62" s="17"/>
      <c r="J62" s="31"/>
      <c r="K62" s="17"/>
      <c r="L62" s="17"/>
      <c r="M62" s="31"/>
    </row>
    <row r="63" spans="1:13">
      <c r="A63" s="16">
        <v>3.2</v>
      </c>
      <c r="B63" s="17">
        <v>1345.4809</v>
      </c>
      <c r="C63" s="17">
        <f t="shared" si="1"/>
        <v>1845.4809</v>
      </c>
      <c r="D63" s="17">
        <f t="shared" si="2"/>
        <v>1.2081405709537765E-2</v>
      </c>
      <c r="E63" s="17"/>
      <c r="F63" s="17"/>
      <c r="G63" s="17"/>
      <c r="H63" s="17"/>
      <c r="I63" s="17"/>
      <c r="J63" s="31"/>
      <c r="K63" s="17"/>
      <c r="L63" s="17"/>
      <c r="M63" s="31"/>
    </row>
    <row r="64" spans="1:13">
      <c r="A64" s="16">
        <v>3.3</v>
      </c>
      <c r="B64" s="17">
        <v>1262.3893</v>
      </c>
      <c r="C64" s="17">
        <f t="shared" si="1"/>
        <v>1762.3893</v>
      </c>
      <c r="D64" s="17">
        <f t="shared" si="2"/>
        <v>1.1537448126094542E-2</v>
      </c>
      <c r="E64" s="17"/>
      <c r="F64" s="17"/>
      <c r="G64" s="17"/>
      <c r="H64" s="17"/>
      <c r="I64" s="17"/>
      <c r="J64" s="31"/>
      <c r="K64" s="17"/>
      <c r="L64" s="17"/>
      <c r="M64" s="31"/>
    </row>
    <row r="65" spans="1:13">
      <c r="A65" s="16">
        <v>3.4</v>
      </c>
      <c r="B65" s="17">
        <v>1187.7035000000001</v>
      </c>
      <c r="C65" s="17">
        <f t="shared" si="1"/>
        <v>1687.7035000000001</v>
      </c>
      <c r="D65" s="17">
        <f t="shared" si="2"/>
        <v>1.1048518952922717E-2</v>
      </c>
      <c r="E65" s="17"/>
      <c r="F65" s="17"/>
      <c r="G65" s="17"/>
      <c r="H65" s="17"/>
      <c r="I65" s="17"/>
      <c r="J65" s="31"/>
      <c r="K65" s="17"/>
      <c r="L65" s="17"/>
      <c r="M65" s="31"/>
    </row>
    <row r="66" spans="1:13">
      <c r="A66" s="16">
        <v>3.5</v>
      </c>
      <c r="B66" s="17">
        <v>1120.2908</v>
      </c>
      <c r="C66" s="17">
        <f t="shared" si="1"/>
        <v>1620.2908</v>
      </c>
      <c r="D66" s="17">
        <f t="shared" si="2"/>
        <v>1.0607202990955645E-2</v>
      </c>
      <c r="E66" s="17"/>
      <c r="F66" s="17"/>
      <c r="G66" s="17"/>
      <c r="H66" s="17"/>
      <c r="I66" s="17"/>
      <c r="J66" s="31"/>
      <c r="K66" s="17"/>
      <c r="L66" s="17"/>
      <c r="M66" s="31"/>
    </row>
    <row r="67" spans="1:13">
      <c r="A67" s="16">
        <v>3.6</v>
      </c>
      <c r="B67" s="17">
        <v>1059.2050999999999</v>
      </c>
      <c r="C67" s="17">
        <f t="shared" si="1"/>
        <v>1559.2050999999999</v>
      </c>
      <c r="D67" s="17">
        <f t="shared" si="2"/>
        <v>1.0207306614487531E-2</v>
      </c>
      <c r="E67" s="17"/>
      <c r="F67" s="17"/>
      <c r="G67" s="17"/>
      <c r="H67" s="17"/>
      <c r="I67" s="17"/>
      <c r="J67" s="31"/>
      <c r="K67" s="17"/>
      <c r="L67" s="17"/>
      <c r="M67" s="31"/>
    </row>
    <row r="68" spans="1:13">
      <c r="A68" s="16">
        <v>3.7</v>
      </c>
      <c r="B68" s="17">
        <v>1003.6514</v>
      </c>
      <c r="C68" s="17">
        <f t="shared" si="1"/>
        <v>1503.6514</v>
      </c>
      <c r="D68" s="17">
        <f t="shared" si="2"/>
        <v>9.843625371096747E-3</v>
      </c>
      <c r="E68" s="17"/>
      <c r="F68" s="17"/>
      <c r="G68" s="17"/>
      <c r="H68" s="17"/>
      <c r="I68" s="17"/>
      <c r="J68" s="31"/>
      <c r="K68" s="17"/>
      <c r="L68" s="17"/>
      <c r="M68" s="31"/>
    </row>
    <row r="69" spans="1:13">
      <c r="A69" s="16">
        <v>3.8</v>
      </c>
      <c r="B69" s="17">
        <v>952.95698000000004</v>
      </c>
      <c r="C69" s="17">
        <f t="shared" si="1"/>
        <v>1452.9569799999999</v>
      </c>
      <c r="D69" s="17">
        <f t="shared" si="2"/>
        <v>9.5117553120624282E-3</v>
      </c>
      <c r="E69" s="17"/>
      <c r="F69" s="17"/>
      <c r="G69" s="17"/>
      <c r="H69" s="17"/>
      <c r="I69" s="17"/>
      <c r="J69" s="31"/>
      <c r="K69" s="17"/>
      <c r="L69" s="17"/>
      <c r="M69" s="31"/>
    </row>
    <row r="70" spans="1:13">
      <c r="A70" s="16">
        <v>3.9</v>
      </c>
      <c r="B70" s="17">
        <v>906.55003999999997</v>
      </c>
      <c r="C70" s="17">
        <f t="shared" si="1"/>
        <v>1406.5500400000001</v>
      </c>
      <c r="D70" s="17">
        <f t="shared" si="2"/>
        <v>9.2079531595296218E-3</v>
      </c>
      <c r="E70" s="17"/>
      <c r="F70" s="17"/>
      <c r="G70" s="17"/>
      <c r="H70" s="17"/>
      <c r="I70" s="17"/>
      <c r="J70" s="31"/>
      <c r="K70" s="17"/>
      <c r="L70" s="17"/>
      <c r="M70" s="31"/>
    </row>
    <row r="71" spans="1:13">
      <c r="A71" s="16">
        <v>4</v>
      </c>
      <c r="B71" s="17">
        <v>863.94152999999994</v>
      </c>
      <c r="C71" s="17">
        <f t="shared" si="1"/>
        <v>1363.9415300000001</v>
      </c>
      <c r="D71" s="17">
        <f t="shared" si="2"/>
        <v>8.9290173569489002E-3</v>
      </c>
      <c r="E71" s="17"/>
      <c r="F71" s="17"/>
      <c r="G71" s="17"/>
      <c r="H71" s="17"/>
      <c r="I71" s="17"/>
      <c r="J71" s="31"/>
      <c r="K71" s="17"/>
      <c r="L71" s="17"/>
      <c r="M71" s="31"/>
    </row>
    <row r="72" spans="1:13">
      <c r="A72" s="16">
        <v>4.0999999999999996</v>
      </c>
      <c r="B72" s="17">
        <v>824.71130000000005</v>
      </c>
      <c r="C72" s="17">
        <f t="shared" si="1"/>
        <v>1324.7112999999999</v>
      </c>
      <c r="D72" s="17">
        <f t="shared" si="2"/>
        <v>8.6721974003140315E-3</v>
      </c>
      <c r="E72" s="17"/>
      <c r="F72" s="17"/>
      <c r="G72" s="17"/>
      <c r="H72" s="17"/>
      <c r="I72" s="17"/>
      <c r="J72" s="31"/>
      <c r="K72" s="17"/>
      <c r="L72" s="17"/>
      <c r="M72" s="31"/>
    </row>
    <row r="73" spans="1:13">
      <c r="A73" s="16">
        <v>4.2</v>
      </c>
      <c r="B73" s="17">
        <v>788.49653999999998</v>
      </c>
      <c r="C73" s="17">
        <f t="shared" si="1"/>
        <v>1288.4965400000001</v>
      </c>
      <c r="D73" s="17">
        <f t="shared" si="2"/>
        <v>8.4351181608412502E-3</v>
      </c>
      <c r="E73" s="17"/>
      <c r="F73" s="17"/>
      <c r="G73" s="17"/>
      <c r="H73" s="17"/>
      <c r="I73" s="17"/>
      <c r="J73" s="31"/>
      <c r="K73" s="17"/>
      <c r="L73" s="17"/>
      <c r="M73" s="31"/>
    </row>
    <row r="74" spans="1:13">
      <c r="A74" s="16">
        <v>4.3</v>
      </c>
      <c r="B74" s="17">
        <v>754.98272999999995</v>
      </c>
      <c r="C74" s="17">
        <f t="shared" si="1"/>
        <v>1254.9827299999999</v>
      </c>
      <c r="D74" s="17">
        <f t="shared" si="2"/>
        <v>8.215720639315905E-3</v>
      </c>
      <c r="E74" s="17"/>
      <c r="F74" s="17"/>
      <c r="G74" s="17"/>
      <c r="H74" s="17"/>
      <c r="I74" s="17"/>
      <c r="J74" s="31"/>
      <c r="K74" s="17"/>
      <c r="L74" s="17"/>
      <c r="M74" s="31"/>
    </row>
    <row r="75" spans="1:13">
      <c r="A75" s="16">
        <v>4.4000000000000004</v>
      </c>
      <c r="B75" s="17">
        <v>754.98272999999995</v>
      </c>
      <c r="C75" s="17">
        <f t="shared" si="1"/>
        <v>1254.9827299999999</v>
      </c>
      <c r="D75" s="17">
        <f t="shared" si="2"/>
        <v>8.215720639315905E-3</v>
      </c>
      <c r="E75" s="17"/>
      <c r="F75" s="17"/>
      <c r="G75" s="17"/>
      <c r="H75" s="17"/>
      <c r="I75" s="17"/>
      <c r="J75" s="31"/>
      <c r="K75" s="17"/>
      <c r="L75" s="17"/>
      <c r="M75" s="31"/>
    </row>
    <row r="76" spans="1:13">
      <c r="A76" s="16">
        <v>4.5</v>
      </c>
      <c r="B76" s="17">
        <v>723.89597000000003</v>
      </c>
      <c r="C76" s="17">
        <f t="shared" si="1"/>
        <v>1223.89597</v>
      </c>
      <c r="D76" s="17">
        <f t="shared" si="2"/>
        <v>8.0122117545829187E-3</v>
      </c>
      <c r="E76" s="17"/>
      <c r="F76" s="17"/>
      <c r="G76" s="17"/>
      <c r="H76" s="17"/>
      <c r="I76" s="17"/>
      <c r="J76" s="31"/>
      <c r="K76" s="17"/>
      <c r="L76" s="17"/>
      <c r="M76" s="31"/>
    </row>
    <row r="77" spans="1:13">
      <c r="A77" s="16">
        <v>4.5999999999999996</v>
      </c>
      <c r="B77" s="17">
        <v>694.99681999999996</v>
      </c>
      <c r="C77" s="17">
        <f t="shared" si="1"/>
        <v>1194.9968199999998</v>
      </c>
      <c r="D77" s="17">
        <f t="shared" si="2"/>
        <v>7.8230240172236266E-3</v>
      </c>
      <c r="E77" s="17"/>
      <c r="F77" s="17"/>
      <c r="G77" s="17"/>
      <c r="H77" s="17"/>
      <c r="I77" s="17"/>
      <c r="J77" s="31"/>
      <c r="K77" s="17"/>
      <c r="L77" s="17"/>
      <c r="M77" s="31"/>
    </row>
    <row r="78" spans="1:13">
      <c r="A78" s="16">
        <v>4.7</v>
      </c>
      <c r="B78" s="17">
        <v>668.0752</v>
      </c>
      <c r="C78" s="17">
        <f t="shared" si="1"/>
        <v>1168.0752</v>
      </c>
      <c r="D78" s="17">
        <f t="shared" si="2"/>
        <v>7.6467821425025145E-3</v>
      </c>
      <c r="E78" s="17"/>
      <c r="F78" s="17"/>
      <c r="G78" s="17"/>
      <c r="H78" s="17"/>
      <c r="I78" s="17"/>
      <c r="J78" s="31"/>
      <c r="K78" s="17"/>
      <c r="L78" s="17"/>
      <c r="M78" s="31"/>
    </row>
    <row r="79" spans="1:13">
      <c r="A79" s="16">
        <v>4.8</v>
      </c>
      <c r="B79" s="17">
        <v>642.94606999999996</v>
      </c>
      <c r="C79" s="17">
        <f t="shared" si="1"/>
        <v>1142.94607</v>
      </c>
      <c r="D79" s="17">
        <f t="shared" si="2"/>
        <v>7.4822747695691416E-3</v>
      </c>
      <c r="E79" s="17"/>
      <c r="F79" s="17"/>
      <c r="G79" s="17"/>
      <c r="H79" s="17"/>
      <c r="I79" s="17"/>
      <c r="J79" s="31"/>
      <c r="K79" s="17"/>
      <c r="L79" s="17"/>
      <c r="M79" s="31"/>
    </row>
    <row r="80" spans="1:13">
      <c r="A80" s="16">
        <v>4.9000000000000004</v>
      </c>
      <c r="B80" s="17">
        <v>619.44605999999999</v>
      </c>
      <c r="C80" s="17">
        <f t="shared" si="1"/>
        <v>1119.44606</v>
      </c>
      <c r="D80" s="17">
        <f t="shared" si="2"/>
        <v>7.328432399817065E-3</v>
      </c>
      <c r="E80" s="17"/>
      <c r="F80" s="17"/>
      <c r="G80" s="17"/>
      <c r="H80" s="17"/>
      <c r="I80" s="17"/>
      <c r="J80" s="31"/>
      <c r="K80" s="17"/>
      <c r="L80" s="17"/>
      <c r="M80" s="31"/>
    </row>
    <row r="81" spans="1:13">
      <c r="A81" s="16">
        <v>5</v>
      </c>
      <c r="B81" s="17">
        <v>597.43025</v>
      </c>
      <c r="C81" s="17">
        <f t="shared" si="1"/>
        <v>1097.4302499999999</v>
      </c>
      <c r="D81" s="17">
        <f t="shared" si="2"/>
        <v>7.1843063172149111E-3</v>
      </c>
      <c r="E81" s="17"/>
      <c r="F81" s="17"/>
      <c r="G81" s="17"/>
      <c r="H81" s="17"/>
      <c r="I81" s="17"/>
      <c r="J81" s="31"/>
      <c r="K81" s="17"/>
      <c r="L81" s="17"/>
      <c r="M81" s="31"/>
    </row>
    <row r="82" spans="1:13">
      <c r="A82" s="16">
        <v>5.0999999999999996</v>
      </c>
      <c r="B82" s="17">
        <v>576.76987999999994</v>
      </c>
      <c r="C82" s="17">
        <f t="shared" si="1"/>
        <v>1076.7698799999998</v>
      </c>
      <c r="D82" s="17">
        <f t="shared" si="2"/>
        <v>7.0490535968648028E-3</v>
      </c>
      <c r="E82" s="17"/>
      <c r="F82" s="17"/>
      <c r="G82" s="17"/>
      <c r="H82" s="17"/>
      <c r="I82" s="17"/>
      <c r="J82" s="31"/>
      <c r="K82" s="17"/>
      <c r="L82" s="17"/>
      <c r="M82" s="31"/>
    </row>
    <row r="83" spans="1:13">
      <c r="A83" s="16">
        <v>5.2</v>
      </c>
      <c r="B83" s="17">
        <v>557.35010999999997</v>
      </c>
      <c r="C83" s="17">
        <f t="shared" si="1"/>
        <v>1057.3501099999999</v>
      </c>
      <c r="D83" s="17">
        <f t="shared" si="2"/>
        <v>6.9219224408848578E-3</v>
      </c>
      <c r="E83" s="17"/>
      <c r="F83" s="17"/>
      <c r="G83" s="17"/>
      <c r="H83" s="17"/>
      <c r="I83" s="17"/>
      <c r="J83" s="31"/>
      <c r="K83" s="17"/>
      <c r="L83" s="17"/>
      <c r="M83" s="31"/>
    </row>
    <row r="84" spans="1:13">
      <c r="A84" s="16">
        <v>5.3</v>
      </c>
      <c r="B84" s="17">
        <v>539.06827999999996</v>
      </c>
      <c r="C84" s="17">
        <f t="shared" si="1"/>
        <v>1039.06828</v>
      </c>
      <c r="D84" s="17">
        <f t="shared" si="2"/>
        <v>6.8022407875321742E-3</v>
      </c>
      <c r="E84" s="17"/>
      <c r="F84" s="17"/>
      <c r="G84" s="17"/>
      <c r="H84" s="17"/>
      <c r="I84" s="17"/>
      <c r="J84" s="31"/>
      <c r="K84" s="17"/>
      <c r="L84" s="17"/>
      <c r="M84" s="31"/>
    </row>
    <row r="85" spans="1:13">
      <c r="A85" s="16">
        <v>5.4</v>
      </c>
      <c r="B85" s="17">
        <v>521.83240000000001</v>
      </c>
      <c r="C85" s="17">
        <f t="shared" si="1"/>
        <v>1021.8324</v>
      </c>
      <c r="D85" s="17">
        <f t="shared" si="2"/>
        <v>6.6894064260164809E-3</v>
      </c>
      <c r="E85" s="17"/>
      <c r="F85" s="17"/>
      <c r="G85" s="17"/>
      <c r="H85" s="17"/>
      <c r="I85" s="17"/>
      <c r="J85" s="31"/>
      <c r="K85" s="17"/>
      <c r="L85" s="17"/>
      <c r="M85" s="31"/>
    </row>
    <row r="86" spans="1:13">
      <c r="A86" s="16">
        <v>5.5</v>
      </c>
      <c r="B86" s="17">
        <v>505.55975000000001</v>
      </c>
      <c r="C86" s="17">
        <f t="shared" si="1"/>
        <v>1005.55975</v>
      </c>
      <c r="D86" s="17">
        <f t="shared" si="2"/>
        <v>6.5828778314266853E-3</v>
      </c>
      <c r="E86" s="17"/>
      <c r="F86" s="17"/>
      <c r="G86" s="17"/>
      <c r="H86" s="17"/>
      <c r="I86" s="17"/>
      <c r="J86" s="31"/>
      <c r="K86" s="17"/>
      <c r="L86" s="17"/>
      <c r="M86" s="31"/>
    </row>
    <row r="87" spans="1:13">
      <c r="A87" s="16">
        <v>5.6</v>
      </c>
      <c r="B87" s="17">
        <v>490.17581000000001</v>
      </c>
      <c r="C87" s="17">
        <f t="shared" si="1"/>
        <v>990.17580999999996</v>
      </c>
      <c r="D87" s="17">
        <f t="shared" si="2"/>
        <v>6.4821671599961739E-3</v>
      </c>
      <c r="E87" s="17"/>
      <c r="F87" s="17"/>
      <c r="G87" s="17"/>
      <c r="H87" s="17"/>
      <c r="I87" s="17"/>
      <c r="J87" s="31"/>
      <c r="K87" s="17"/>
      <c r="L87" s="17"/>
      <c r="M87" s="31"/>
    </row>
    <row r="88" spans="1:13">
      <c r="A88" s="16">
        <v>5.7</v>
      </c>
      <c r="B88" s="17">
        <v>475.61333999999999</v>
      </c>
      <c r="C88" s="17">
        <f t="shared" si="1"/>
        <v>975.61333999999999</v>
      </c>
      <c r="D88" s="17">
        <f t="shared" si="2"/>
        <v>6.3868342263402513E-3</v>
      </c>
      <c r="E88" s="17"/>
      <c r="F88" s="17"/>
      <c r="G88" s="17"/>
      <c r="H88" s="17"/>
      <c r="I88" s="17"/>
      <c r="J88" s="31"/>
      <c r="K88" s="17"/>
      <c r="L88" s="17"/>
      <c r="M88" s="31"/>
    </row>
    <row r="89" spans="1:13">
      <c r="A89" s="16">
        <v>5.8</v>
      </c>
      <c r="B89" s="17">
        <v>461.81150000000002</v>
      </c>
      <c r="C89" s="17">
        <f t="shared" si="1"/>
        <v>961.81150000000002</v>
      </c>
      <c r="D89" s="17">
        <f t="shared" si="2"/>
        <v>6.2964807425528397E-3</v>
      </c>
      <c r="E89" s="17"/>
      <c r="F89" s="17"/>
      <c r="G89" s="17"/>
      <c r="H89" s="17"/>
      <c r="I89" s="17"/>
      <c r="J89" s="31"/>
      <c r="K89" s="17"/>
      <c r="L89" s="17"/>
      <c r="M89" s="31"/>
    </row>
    <row r="90" spans="1:13">
      <c r="A90" s="16">
        <v>5.9</v>
      </c>
      <c r="B90" s="17">
        <v>448.71505999999999</v>
      </c>
      <c r="C90" s="17">
        <f t="shared" si="1"/>
        <v>948.71505999999999</v>
      </c>
      <c r="D90" s="17">
        <f t="shared" si="2"/>
        <v>6.2107451464864603E-3</v>
      </c>
      <c r="E90" s="17"/>
      <c r="F90" s="17"/>
      <c r="G90" s="17"/>
      <c r="H90" s="17"/>
      <c r="I90" s="17"/>
      <c r="J90" s="31"/>
      <c r="K90" s="17"/>
      <c r="L90" s="17"/>
      <c r="M90" s="31"/>
    </row>
    <row r="91" spans="1:13">
      <c r="A91" s="16">
        <v>6</v>
      </c>
      <c r="B91" s="17">
        <v>436.27386999999999</v>
      </c>
      <c r="C91" s="17">
        <f t="shared" si="1"/>
        <v>936.27386999999999</v>
      </c>
      <c r="D91" s="17">
        <f t="shared" si="2"/>
        <v>6.1292991321172819E-3</v>
      </c>
      <c r="E91" s="17"/>
      <c r="F91" s="17"/>
      <c r="G91" s="17"/>
      <c r="H91" s="17"/>
      <c r="I91" s="17"/>
      <c r="J91" s="31"/>
      <c r="K91" s="17"/>
      <c r="L91" s="17"/>
      <c r="M91" s="31"/>
    </row>
    <row r="92" spans="1:13">
      <c r="A92" s="16">
        <v>6.1</v>
      </c>
      <c r="B92" s="17">
        <v>424.44227000000001</v>
      </c>
      <c r="C92" s="17">
        <f t="shared" si="1"/>
        <v>924.44227000000001</v>
      </c>
      <c r="D92" s="17">
        <f t="shared" si="2"/>
        <v>6.0518437871213155E-3</v>
      </c>
      <c r="E92" s="17"/>
      <c r="F92" s="17"/>
      <c r="G92" s="17"/>
      <c r="H92" s="17"/>
      <c r="I92" s="17"/>
      <c r="J92" s="31"/>
      <c r="K92" s="17"/>
      <c r="L92" s="17"/>
      <c r="M92" s="31"/>
    </row>
    <row r="93" spans="1:13">
      <c r="A93" s="16">
        <v>6.2</v>
      </c>
      <c r="B93" s="17">
        <v>413.17865</v>
      </c>
      <c r="C93" s="17">
        <f t="shared" si="1"/>
        <v>913.17865000000006</v>
      </c>
      <c r="D93" s="17">
        <f t="shared" si="2"/>
        <v>5.9781067124227566E-3</v>
      </c>
      <c r="E93" s="17"/>
      <c r="F93" s="17"/>
      <c r="G93" s="17"/>
      <c r="H93" s="17"/>
      <c r="I93" s="17"/>
      <c r="J93" s="31"/>
      <c r="K93" s="17"/>
      <c r="L93" s="17"/>
      <c r="M93" s="31"/>
    </row>
    <row r="94" spans="1:13">
      <c r="A94" s="16">
        <v>6.3</v>
      </c>
      <c r="B94" s="17">
        <v>402.44488999999999</v>
      </c>
      <c r="C94" s="17">
        <f t="shared" si="1"/>
        <v>902.44488999999999</v>
      </c>
      <c r="D94" s="17">
        <f t="shared" si="2"/>
        <v>5.9078383561646085E-3</v>
      </c>
      <c r="E94" s="17"/>
      <c r="F94" s="17"/>
      <c r="G94" s="17"/>
      <c r="H94" s="17"/>
      <c r="I94" s="17"/>
      <c r="J94" s="31"/>
      <c r="K94" s="17"/>
      <c r="L94" s="17"/>
      <c r="M94" s="31"/>
    </row>
    <row r="95" spans="1:13">
      <c r="A95" s="16">
        <v>6.4</v>
      </c>
      <c r="B95" s="17">
        <v>392.20618999999999</v>
      </c>
      <c r="C95" s="17">
        <f t="shared" si="1"/>
        <v>892.20618999999999</v>
      </c>
      <c r="D95" s="17">
        <f t="shared" si="2"/>
        <v>5.8408109008069057E-3</v>
      </c>
      <c r="E95" s="17"/>
      <c r="F95" s="17"/>
      <c r="G95" s="17"/>
      <c r="H95" s="17"/>
      <c r="I95" s="17"/>
      <c r="J95" s="31"/>
      <c r="K95" s="17"/>
      <c r="L95" s="17"/>
      <c r="M95" s="31"/>
    </row>
    <row r="96" spans="1:13">
      <c r="A96" s="16">
        <v>6.5</v>
      </c>
      <c r="B96" s="17">
        <v>382.43060000000003</v>
      </c>
      <c r="C96" s="17">
        <f t="shared" si="1"/>
        <v>882.43060000000003</v>
      </c>
      <c r="D96" s="17">
        <f t="shared" si="2"/>
        <v>5.7768151862806257E-3</v>
      </c>
      <c r="E96" s="17"/>
      <c r="F96" s="17"/>
      <c r="G96" s="17"/>
      <c r="H96" s="17"/>
      <c r="I96" s="17"/>
      <c r="J96" s="31"/>
      <c r="K96" s="17"/>
      <c r="L96" s="17"/>
      <c r="M96" s="31"/>
    </row>
    <row r="97" spans="1:13">
      <c r="A97" s="16">
        <v>6.6</v>
      </c>
      <c r="B97" s="17">
        <v>373.08875999999998</v>
      </c>
      <c r="C97" s="17">
        <f t="shared" si="1"/>
        <v>873.08875999999998</v>
      </c>
      <c r="D97" s="17">
        <f t="shared" si="2"/>
        <v>5.7156590079026279E-3</v>
      </c>
      <c r="E97" s="17"/>
      <c r="F97" s="17"/>
      <c r="G97" s="17"/>
      <c r="H97" s="17"/>
      <c r="I97" s="17"/>
      <c r="J97" s="31"/>
      <c r="K97" s="17"/>
      <c r="L97" s="17"/>
      <c r="M97" s="31"/>
    </row>
    <row r="98" spans="1:13">
      <c r="A98" s="16">
        <v>6.7</v>
      </c>
      <c r="B98" s="17">
        <v>364.15372000000002</v>
      </c>
      <c r="C98" s="17">
        <f t="shared" si="1"/>
        <v>864.15372000000002</v>
      </c>
      <c r="D98" s="17">
        <f t="shared" si="2"/>
        <v>5.657165938009058E-3</v>
      </c>
      <c r="E98" s="17"/>
      <c r="F98" s="17"/>
      <c r="G98" s="17"/>
      <c r="H98" s="17"/>
      <c r="I98" s="17"/>
      <c r="J98" s="31"/>
      <c r="K98" s="17"/>
      <c r="L98" s="17"/>
      <c r="M98" s="31"/>
    </row>
    <row r="99" spans="1:13">
      <c r="A99" s="16">
        <v>6.8</v>
      </c>
      <c r="B99" s="17">
        <v>355.60059999999999</v>
      </c>
      <c r="C99" s="17">
        <f t="shared" si="1"/>
        <v>855.60059999999999</v>
      </c>
      <c r="D99" s="17">
        <f t="shared" si="2"/>
        <v>5.6011731001518027E-3</v>
      </c>
      <c r="E99" s="17"/>
      <c r="F99" s="17"/>
      <c r="G99" s="17"/>
      <c r="H99" s="17"/>
      <c r="I99" s="17"/>
      <c r="J99" s="31"/>
      <c r="K99" s="17"/>
      <c r="L99" s="17"/>
      <c r="M99" s="31"/>
    </row>
    <row r="100" spans="1:13">
      <c r="A100" s="16">
        <v>6.9</v>
      </c>
      <c r="B100" s="17">
        <v>347.40645000000001</v>
      </c>
      <c r="C100" s="17">
        <f t="shared" si="1"/>
        <v>847.40644999999995</v>
      </c>
      <c r="D100" s="17">
        <f t="shared" si="2"/>
        <v>5.5475302525911426E-3</v>
      </c>
      <c r="E100" s="17"/>
      <c r="F100" s="17"/>
      <c r="G100" s="17"/>
      <c r="H100" s="17"/>
      <c r="I100" s="17"/>
      <c r="J100" s="31"/>
      <c r="K100" s="17"/>
      <c r="L100" s="17"/>
      <c r="M100" s="31"/>
    </row>
    <row r="101" spans="1:13">
      <c r="A101" s="16">
        <v>7</v>
      </c>
      <c r="B101" s="17">
        <v>339.55011000000002</v>
      </c>
      <c r="C101" s="17">
        <f t="shared" si="1"/>
        <v>839.55011000000002</v>
      </c>
      <c r="D101" s="17">
        <f t="shared" si="2"/>
        <v>5.4960988717884102E-3</v>
      </c>
      <c r="E101" s="17"/>
      <c r="F101" s="17"/>
      <c r="G101" s="17"/>
      <c r="H101" s="17"/>
      <c r="I101" s="17"/>
      <c r="J101" s="31"/>
      <c r="K101" s="17"/>
      <c r="L101" s="17"/>
      <c r="M101" s="31"/>
    </row>
    <row r="102" spans="1:13">
      <c r="A102" s="16">
        <v>7.1</v>
      </c>
      <c r="B102" s="17">
        <v>332.01195000000001</v>
      </c>
      <c r="C102" s="17">
        <f t="shared" si="1"/>
        <v>832.01195000000007</v>
      </c>
      <c r="D102" s="17">
        <f t="shared" si="2"/>
        <v>5.446750450320917E-3</v>
      </c>
      <c r="E102" s="17"/>
      <c r="F102" s="17"/>
      <c r="G102" s="17"/>
      <c r="H102" s="17"/>
      <c r="I102" s="17"/>
      <c r="J102" s="31"/>
      <c r="K102" s="17"/>
      <c r="L102" s="17"/>
      <c r="M102" s="31"/>
    </row>
    <row r="103" spans="1:13">
      <c r="A103" s="16">
        <v>7.2</v>
      </c>
      <c r="B103" s="17">
        <v>324.77384999999998</v>
      </c>
      <c r="C103" s="17">
        <f t="shared" si="1"/>
        <v>824.77385000000004</v>
      </c>
      <c r="D103" s="17">
        <f t="shared" si="2"/>
        <v>5.3993663659523362E-3</v>
      </c>
      <c r="E103" s="17"/>
      <c r="F103" s="17"/>
      <c r="G103" s="17"/>
      <c r="H103" s="17"/>
      <c r="I103" s="17"/>
      <c r="J103" s="31"/>
      <c r="K103" s="17"/>
      <c r="L103" s="17"/>
      <c r="M103" s="31"/>
    </row>
    <row r="104" spans="1:13">
      <c r="A104" s="16">
        <v>7.3</v>
      </c>
      <c r="B104" s="17">
        <v>317.81893000000002</v>
      </c>
      <c r="C104" s="17">
        <f t="shared" si="1"/>
        <v>817.81893000000002</v>
      </c>
      <c r="D104" s="17">
        <f t="shared" si="2"/>
        <v>5.3538361140828203E-3</v>
      </c>
      <c r="E104" s="17"/>
      <c r="F104" s="17"/>
      <c r="G104" s="17"/>
      <c r="H104" s="17"/>
      <c r="I104" s="17"/>
      <c r="J104" s="31"/>
      <c r="K104" s="17"/>
      <c r="L104" s="17"/>
      <c r="M104" s="31"/>
    </row>
    <row r="105" spans="1:13">
      <c r="A105" s="16">
        <v>7.4</v>
      </c>
      <c r="B105" s="17">
        <v>311.13155</v>
      </c>
      <c r="C105" s="17">
        <f t="shared" si="1"/>
        <v>811.13155000000006</v>
      </c>
      <c r="D105" s="17">
        <f t="shared" si="2"/>
        <v>5.3100573077490094E-3</v>
      </c>
      <c r="E105" s="17"/>
      <c r="F105" s="17"/>
      <c r="G105" s="17"/>
      <c r="H105" s="17"/>
      <c r="I105" s="17"/>
      <c r="J105" s="31"/>
      <c r="K105" s="17"/>
      <c r="L105" s="17"/>
      <c r="M105" s="31"/>
    </row>
    <row r="106" spans="1:13">
      <c r="A106" s="16">
        <v>7.5</v>
      </c>
      <c r="B106" s="17">
        <v>304.69718</v>
      </c>
      <c r="C106" s="17">
        <f t="shared" si="1"/>
        <v>804.69718</v>
      </c>
      <c r="D106" s="17">
        <f t="shared" si="2"/>
        <v>5.267934826581484E-3</v>
      </c>
      <c r="E106" s="17"/>
      <c r="F106" s="17"/>
      <c r="G106" s="17"/>
      <c r="H106" s="17"/>
      <c r="I106" s="17"/>
      <c r="J106" s="31"/>
      <c r="K106" s="17"/>
      <c r="L106" s="17"/>
      <c r="M106" s="31"/>
    </row>
    <row r="107" spans="1:13">
      <c r="A107" s="16">
        <v>7.6</v>
      </c>
      <c r="B107" s="17">
        <v>298.50229999999999</v>
      </c>
      <c r="C107" s="17">
        <f t="shared" si="1"/>
        <v>798.50229999999999</v>
      </c>
      <c r="D107" s="17">
        <f t="shared" si="2"/>
        <v>5.2273801621566703E-3</v>
      </c>
      <c r="E107" s="17"/>
      <c r="F107" s="17"/>
      <c r="G107" s="17"/>
      <c r="H107" s="17"/>
      <c r="I107" s="17"/>
      <c r="J107" s="31"/>
      <c r="K107" s="17"/>
      <c r="L107" s="17"/>
      <c r="M107" s="31"/>
    </row>
    <row r="108" spans="1:13">
      <c r="A108" s="16">
        <v>7.7</v>
      </c>
      <c r="B108" s="17">
        <v>292.53426999999999</v>
      </c>
      <c r="C108" s="17">
        <f t="shared" ref="C108:C171" si="3">B108+$C$26</f>
        <v>792.53426999999999</v>
      </c>
      <c r="D108" s="17">
        <f t="shared" ref="D108:D171" si="4">C108*1000000/(4*PI())*$C$13*RADIANS($C$20)*RADIANS($C$21)</f>
        <v>5.1883105669543071E-3</v>
      </c>
      <c r="E108" s="17"/>
      <c r="F108" s="17"/>
      <c r="G108" s="17"/>
      <c r="H108" s="17"/>
      <c r="I108" s="17"/>
      <c r="J108" s="31"/>
      <c r="K108" s="17"/>
      <c r="L108" s="17"/>
      <c r="M108" s="31"/>
    </row>
    <row r="109" spans="1:13">
      <c r="A109" s="16">
        <v>7.8</v>
      </c>
      <c r="B109" s="17">
        <v>286.78134</v>
      </c>
      <c r="C109" s="17">
        <f t="shared" si="3"/>
        <v>786.78134</v>
      </c>
      <c r="D109" s="17">
        <f t="shared" si="4"/>
        <v>5.1506491198222504E-3</v>
      </c>
      <c r="E109" s="17"/>
      <c r="F109" s="17"/>
      <c r="G109" s="17"/>
      <c r="H109" s="17"/>
      <c r="I109" s="17"/>
      <c r="J109" s="31"/>
      <c r="K109" s="17"/>
      <c r="L109" s="17"/>
      <c r="M109" s="31"/>
    </row>
    <row r="110" spans="1:13">
      <c r="A110" s="16">
        <v>7.9</v>
      </c>
      <c r="B110" s="17">
        <v>281.23248000000001</v>
      </c>
      <c r="C110" s="17">
        <f t="shared" si="3"/>
        <v>781.23248000000001</v>
      </c>
      <c r="D110" s="17">
        <f t="shared" si="4"/>
        <v>5.1143236130747E-3</v>
      </c>
      <c r="E110" s="17"/>
      <c r="F110" s="17"/>
      <c r="G110" s="17"/>
      <c r="H110" s="17"/>
      <c r="I110" s="17"/>
      <c r="J110" s="31"/>
      <c r="K110" s="17"/>
      <c r="L110" s="17"/>
      <c r="M110" s="31"/>
    </row>
    <row r="111" spans="1:13">
      <c r="A111" s="16">
        <v>8</v>
      </c>
      <c r="B111" s="17">
        <v>275.87747000000002</v>
      </c>
      <c r="C111" s="17">
        <f t="shared" si="3"/>
        <v>775.87747000000002</v>
      </c>
      <c r="D111" s="17">
        <f t="shared" si="4"/>
        <v>5.0792671416754935E-3</v>
      </c>
      <c r="E111" s="17"/>
      <c r="F111" s="17"/>
      <c r="G111" s="17"/>
      <c r="H111" s="17"/>
      <c r="I111" s="17"/>
      <c r="J111" s="31"/>
      <c r="K111" s="17"/>
      <c r="L111" s="17"/>
      <c r="M111" s="31"/>
    </row>
    <row r="112" spans="1:13">
      <c r="A112" s="16">
        <v>8.1</v>
      </c>
      <c r="B112" s="17">
        <v>270.70666</v>
      </c>
      <c r="C112" s="17">
        <f t="shared" si="3"/>
        <v>770.70666000000006</v>
      </c>
      <c r="D112" s="17">
        <f t="shared" si="4"/>
        <v>5.0454165320826579E-3</v>
      </c>
      <c r="E112" s="17"/>
      <c r="F112" s="17"/>
      <c r="G112" s="17"/>
      <c r="H112" s="17"/>
      <c r="I112" s="17"/>
      <c r="J112" s="31"/>
      <c r="K112" s="17"/>
      <c r="L112" s="17"/>
      <c r="M112" s="31"/>
    </row>
    <row r="113" spans="1:13">
      <c r="A113" s="16">
        <v>8.1999999999999993</v>
      </c>
      <c r="B113" s="17">
        <v>265.71107000000001</v>
      </c>
      <c r="C113" s="17">
        <f t="shared" si="3"/>
        <v>765.71107000000006</v>
      </c>
      <c r="D113" s="17">
        <f t="shared" si="4"/>
        <v>5.0127129968965132E-3</v>
      </c>
      <c r="E113" s="17"/>
      <c r="F113" s="17"/>
      <c r="G113" s="17"/>
      <c r="H113" s="17"/>
      <c r="I113" s="17"/>
      <c r="J113" s="31"/>
      <c r="K113" s="17"/>
      <c r="L113" s="17"/>
      <c r="M113" s="31"/>
    </row>
    <row r="114" spans="1:13">
      <c r="A114" s="16">
        <v>8.3000000000000007</v>
      </c>
      <c r="B114" s="17">
        <v>260.88222999999999</v>
      </c>
      <c r="C114" s="17">
        <f t="shared" si="3"/>
        <v>760.88222999999994</v>
      </c>
      <c r="D114" s="17">
        <f t="shared" si="4"/>
        <v>4.9811010874227018E-3</v>
      </c>
      <c r="E114" s="17"/>
      <c r="F114" s="17"/>
      <c r="G114" s="17"/>
      <c r="H114" s="17"/>
      <c r="I114" s="17"/>
      <c r="J114" s="31"/>
      <c r="K114" s="17"/>
      <c r="L114" s="17"/>
      <c r="M114" s="31"/>
    </row>
    <row r="115" spans="1:13">
      <c r="A115" s="16">
        <v>8.4</v>
      </c>
      <c r="B115" s="17">
        <v>256.21222999999998</v>
      </c>
      <c r="C115" s="17">
        <f t="shared" si="3"/>
        <v>756.21222999999998</v>
      </c>
      <c r="D115" s="17">
        <f t="shared" si="4"/>
        <v>4.9505290209962546E-3</v>
      </c>
      <c r="E115" s="17"/>
      <c r="F115" s="17"/>
      <c r="G115" s="17"/>
      <c r="H115" s="17"/>
      <c r="I115" s="17"/>
      <c r="J115" s="31"/>
      <c r="K115" s="17"/>
      <c r="L115" s="17"/>
      <c r="M115" s="31"/>
    </row>
    <row r="116" spans="1:13">
      <c r="A116" s="16">
        <v>8.5</v>
      </c>
      <c r="B116" s="17">
        <v>251.69363000000001</v>
      </c>
      <c r="C116" s="17">
        <f t="shared" si="3"/>
        <v>751.69362999999998</v>
      </c>
      <c r="D116" s="17">
        <f t="shared" si="4"/>
        <v>4.9209480917982787E-3</v>
      </c>
      <c r="E116" s="17"/>
      <c r="F116" s="17"/>
      <c r="G116" s="17"/>
      <c r="H116" s="17"/>
      <c r="I116" s="17"/>
      <c r="J116" s="31"/>
      <c r="K116" s="17"/>
      <c r="L116" s="17"/>
      <c r="M116" s="31"/>
    </row>
    <row r="117" spans="1:13">
      <c r="A117" s="16">
        <v>8.6</v>
      </c>
      <c r="B117" s="17">
        <v>247.31943000000001</v>
      </c>
      <c r="C117" s="17">
        <f t="shared" si="3"/>
        <v>747.31943000000001</v>
      </c>
      <c r="D117" s="17">
        <f t="shared" si="4"/>
        <v>4.8923124744615389E-3</v>
      </c>
      <c r="E117" s="17"/>
      <c r="F117" s="17"/>
      <c r="G117" s="17"/>
      <c r="H117" s="17"/>
      <c r="I117" s="17"/>
      <c r="J117" s="31"/>
      <c r="K117" s="17"/>
      <c r="L117" s="17"/>
      <c r="M117" s="31"/>
    </row>
    <row r="118" spans="1:13">
      <c r="A118" s="16">
        <v>8.6999999999999993</v>
      </c>
      <c r="B118" s="17">
        <v>243.08304000000001</v>
      </c>
      <c r="C118" s="17">
        <f t="shared" si="3"/>
        <v>743.08303999999998</v>
      </c>
      <c r="D118" s="17">
        <f t="shared" si="4"/>
        <v>4.8645790276760281E-3</v>
      </c>
      <c r="E118" s="17"/>
      <c r="F118" s="17"/>
      <c r="G118" s="17"/>
      <c r="H118" s="17"/>
      <c r="I118" s="17"/>
      <c r="J118" s="31"/>
      <c r="K118" s="17"/>
      <c r="L118" s="17"/>
      <c r="M118" s="31"/>
    </row>
    <row r="119" spans="1:13">
      <c r="A119" s="16">
        <v>8.8000000000000007</v>
      </c>
      <c r="B119" s="17">
        <v>238.97827000000001</v>
      </c>
      <c r="C119" s="17">
        <f t="shared" si="3"/>
        <v>738.97827000000007</v>
      </c>
      <c r="D119" s="17">
        <f t="shared" si="4"/>
        <v>4.8377072287241456E-3</v>
      </c>
      <c r="E119" s="17"/>
      <c r="F119" s="17"/>
      <c r="G119" s="17"/>
      <c r="H119" s="17"/>
      <c r="I119" s="17"/>
      <c r="J119" s="31"/>
      <c r="K119" s="17"/>
      <c r="L119" s="17"/>
      <c r="M119" s="31"/>
    </row>
    <row r="120" spans="1:13">
      <c r="A120" s="16">
        <v>8.9</v>
      </c>
      <c r="B120" s="17">
        <v>234.99928</v>
      </c>
      <c r="C120" s="17">
        <f t="shared" si="3"/>
        <v>734.99928</v>
      </c>
      <c r="D120" s="17">
        <f t="shared" si="4"/>
        <v>4.8116588461566568E-3</v>
      </c>
      <c r="E120" s="17"/>
      <c r="F120" s="17"/>
      <c r="G120" s="17"/>
      <c r="H120" s="17"/>
      <c r="I120" s="17"/>
      <c r="J120" s="31"/>
      <c r="K120" s="17"/>
      <c r="L120" s="17"/>
      <c r="M120" s="31"/>
    </row>
    <row r="121" spans="1:13">
      <c r="A121" s="16">
        <v>9</v>
      </c>
      <c r="B121" s="17">
        <v>231.14055999999999</v>
      </c>
      <c r="C121" s="17">
        <f t="shared" si="3"/>
        <v>731.14056000000005</v>
      </c>
      <c r="D121" s="17">
        <f t="shared" si="4"/>
        <v>4.7863978088630672E-3</v>
      </c>
      <c r="E121" s="17"/>
      <c r="F121" s="17"/>
      <c r="G121" s="17"/>
      <c r="H121" s="17"/>
      <c r="I121" s="17"/>
      <c r="J121" s="31"/>
      <c r="K121" s="17"/>
      <c r="L121" s="17"/>
      <c r="M121" s="31"/>
    </row>
    <row r="122" spans="1:13">
      <c r="A122" s="16">
        <v>9.1</v>
      </c>
      <c r="B122" s="17">
        <v>227.39689999999999</v>
      </c>
      <c r="C122" s="17">
        <f t="shared" si="3"/>
        <v>727.39689999999996</v>
      </c>
      <c r="D122" s="17">
        <f t="shared" si="4"/>
        <v>4.7618900096771909E-3</v>
      </c>
      <c r="E122" s="17"/>
      <c r="F122" s="17"/>
      <c r="G122" s="17"/>
      <c r="H122" s="17"/>
      <c r="I122" s="17"/>
      <c r="J122" s="31"/>
      <c r="K122" s="17"/>
      <c r="L122" s="17"/>
      <c r="M122" s="31"/>
    </row>
    <row r="123" spans="1:13">
      <c r="A123" s="16">
        <v>9.1999999999999993</v>
      </c>
      <c r="B123" s="17">
        <v>223.76338999999999</v>
      </c>
      <c r="C123" s="17">
        <f t="shared" si="3"/>
        <v>723.76338999999996</v>
      </c>
      <c r="D123" s="17">
        <f t="shared" si="4"/>
        <v>4.7381033053771554E-3</v>
      </c>
      <c r="E123" s="17"/>
      <c r="F123" s="17"/>
      <c r="G123" s="17"/>
      <c r="H123" s="17"/>
      <c r="I123" s="17"/>
      <c r="J123" s="31"/>
      <c r="K123" s="17"/>
      <c r="L123" s="17"/>
      <c r="M123" s="31"/>
    </row>
    <row r="124" spans="1:13">
      <c r="A124" s="16">
        <v>9.3000000000000007</v>
      </c>
      <c r="B124" s="17">
        <v>220.2354</v>
      </c>
      <c r="C124" s="17">
        <f t="shared" si="3"/>
        <v>720.23540000000003</v>
      </c>
      <c r="D124" s="17">
        <f t="shared" si="4"/>
        <v>4.7150073857557765E-3</v>
      </c>
      <c r="E124" s="17"/>
      <c r="F124" s="17"/>
      <c r="G124" s="17"/>
      <c r="H124" s="17"/>
      <c r="I124" s="17"/>
      <c r="J124" s="31"/>
      <c r="K124" s="17"/>
      <c r="L124" s="17"/>
      <c r="M124" s="31"/>
    </row>
    <row r="125" spans="1:13">
      <c r="A125" s="16">
        <v>9.4</v>
      </c>
      <c r="B125" s="17">
        <v>216.80852999999999</v>
      </c>
      <c r="C125" s="17">
        <f t="shared" si="3"/>
        <v>716.80853000000002</v>
      </c>
      <c r="D125" s="17">
        <f t="shared" si="4"/>
        <v>4.6925734462965043E-3</v>
      </c>
      <c r="E125" s="17"/>
      <c r="F125" s="17"/>
      <c r="G125" s="17"/>
      <c r="H125" s="17"/>
      <c r="I125" s="17"/>
      <c r="J125" s="31"/>
      <c r="K125" s="17"/>
      <c r="L125" s="17"/>
      <c r="M125" s="31"/>
    </row>
    <row r="126" spans="1:13">
      <c r="A126" s="16">
        <v>9.5</v>
      </c>
      <c r="B126" s="17">
        <v>213.47862000000001</v>
      </c>
      <c r="C126" s="17">
        <f t="shared" si="3"/>
        <v>713.47861999999998</v>
      </c>
      <c r="D126" s="17">
        <f t="shared" si="4"/>
        <v>4.6707742536382397E-3</v>
      </c>
      <c r="E126" s="17"/>
      <c r="F126" s="17"/>
      <c r="G126" s="17"/>
      <c r="H126" s="17"/>
      <c r="I126" s="17"/>
      <c r="J126" s="31"/>
      <c r="K126" s="17"/>
      <c r="L126" s="17"/>
      <c r="M126" s="31"/>
    </row>
    <row r="127" spans="1:13">
      <c r="A127" s="16">
        <v>9.6</v>
      </c>
      <c r="B127" s="17">
        <v>210.24172999999999</v>
      </c>
      <c r="C127" s="17">
        <f t="shared" si="3"/>
        <v>710.24172999999996</v>
      </c>
      <c r="D127" s="17">
        <f t="shared" si="4"/>
        <v>4.6495840146457109E-3</v>
      </c>
      <c r="E127" s="17"/>
      <c r="F127" s="17"/>
      <c r="G127" s="17"/>
      <c r="H127" s="17"/>
      <c r="I127" s="17"/>
      <c r="J127" s="31"/>
      <c r="K127" s="17"/>
      <c r="L127" s="17"/>
      <c r="M127" s="31"/>
    </row>
    <row r="128" spans="1:13">
      <c r="A128" s="16">
        <v>9.6999999999999993</v>
      </c>
      <c r="B128" s="17">
        <v>207.09413000000001</v>
      </c>
      <c r="C128" s="17">
        <f t="shared" si="3"/>
        <v>707.09412999999995</v>
      </c>
      <c r="D128" s="17">
        <f t="shared" si="4"/>
        <v>4.6289783109446647E-3</v>
      </c>
      <c r="E128" s="17"/>
      <c r="F128" s="17"/>
      <c r="G128" s="17"/>
      <c r="H128" s="17"/>
      <c r="I128" s="17"/>
      <c r="J128" s="31"/>
      <c r="K128" s="17"/>
      <c r="L128" s="17"/>
      <c r="M128" s="31"/>
    </row>
    <row r="129" spans="1:13">
      <c r="A129" s="16">
        <v>9.8000000000000007</v>
      </c>
      <c r="B129" s="17">
        <v>204.03228999999999</v>
      </c>
      <c r="C129" s="17">
        <f t="shared" si="3"/>
        <v>704.03228999999999</v>
      </c>
      <c r="D129" s="17">
        <f t="shared" si="4"/>
        <v>4.6089340334570508E-3</v>
      </c>
      <c r="E129" s="17"/>
      <c r="F129" s="17"/>
      <c r="G129" s="17"/>
      <c r="H129" s="17"/>
      <c r="I129" s="17"/>
      <c r="J129" s="31"/>
      <c r="K129" s="17"/>
      <c r="L129" s="17"/>
      <c r="M129" s="31"/>
    </row>
    <row r="130" spans="1:13">
      <c r="A130" s="16">
        <v>9.9</v>
      </c>
      <c r="B130" s="17">
        <v>201.05283</v>
      </c>
      <c r="C130" s="17">
        <f t="shared" si="3"/>
        <v>701.05282999999997</v>
      </c>
      <c r="D130" s="17">
        <f t="shared" si="4"/>
        <v>4.5894290550769767E-3</v>
      </c>
      <c r="E130" s="17"/>
      <c r="F130" s="17"/>
      <c r="G130" s="17"/>
      <c r="H130" s="17"/>
      <c r="I130" s="17"/>
      <c r="J130" s="31"/>
      <c r="K130" s="17"/>
      <c r="L130" s="17"/>
      <c r="M130" s="31"/>
    </row>
    <row r="131" spans="1:13">
      <c r="A131" s="16">
        <v>10</v>
      </c>
      <c r="B131" s="17">
        <v>198.15258</v>
      </c>
      <c r="C131" s="17">
        <f t="shared" si="3"/>
        <v>698.15257999999994</v>
      </c>
      <c r="D131" s="17">
        <f t="shared" si="4"/>
        <v>4.570442623459567E-3</v>
      </c>
      <c r="E131" s="17"/>
      <c r="F131" s="17"/>
      <c r="G131" s="17"/>
      <c r="H131" s="17"/>
      <c r="I131" s="17"/>
      <c r="J131" s="31"/>
      <c r="K131" s="17"/>
      <c r="L131" s="17"/>
      <c r="M131" s="31"/>
    </row>
    <row r="132" spans="1:13">
      <c r="A132" s="16">
        <v>10.1</v>
      </c>
      <c r="B132" s="17">
        <v>195.32849999999999</v>
      </c>
      <c r="C132" s="17">
        <f t="shared" si="3"/>
        <v>695.32849999999996</v>
      </c>
      <c r="D132" s="17">
        <f t="shared" si="4"/>
        <v>4.5519548373024786E-3</v>
      </c>
      <c r="E132" s="17"/>
      <c r="F132" s="17"/>
      <c r="G132" s="17"/>
      <c r="H132" s="17"/>
      <c r="I132" s="17"/>
      <c r="J132" s="31"/>
      <c r="K132" s="17"/>
      <c r="L132" s="17"/>
      <c r="M132" s="31"/>
    </row>
    <row r="133" spans="1:13">
      <c r="A133" s="16">
        <v>10.199999999999999</v>
      </c>
      <c r="B133" s="17">
        <v>192.57771</v>
      </c>
      <c r="C133" s="17">
        <f t="shared" si="3"/>
        <v>692.57771000000002</v>
      </c>
      <c r="D133" s="17">
        <f t="shared" si="4"/>
        <v>4.5339468427403355E-3</v>
      </c>
      <c r="E133" s="17"/>
      <c r="F133" s="17"/>
      <c r="G133" s="17"/>
      <c r="H133" s="17"/>
      <c r="I133" s="17"/>
      <c r="J133" s="31"/>
      <c r="K133" s="17"/>
      <c r="L133" s="17"/>
      <c r="M133" s="31"/>
    </row>
    <row r="134" spans="1:13">
      <c r="A134" s="16">
        <v>10.3</v>
      </c>
      <c r="B134" s="17">
        <v>189.89746</v>
      </c>
      <c r="C134" s="17">
        <f t="shared" si="3"/>
        <v>689.89746000000002</v>
      </c>
      <c r="D134" s="17">
        <f t="shared" si="4"/>
        <v>4.5164006369502949E-3</v>
      </c>
      <c r="E134" s="17"/>
      <c r="F134" s="17"/>
      <c r="G134" s="17"/>
      <c r="H134" s="17"/>
      <c r="I134" s="17"/>
      <c r="J134" s="31"/>
      <c r="K134" s="17"/>
      <c r="L134" s="17"/>
      <c r="M134" s="31"/>
    </row>
    <row r="135" spans="1:13">
      <c r="A135" s="16">
        <v>10.4</v>
      </c>
      <c r="B135" s="17">
        <v>187.28514999999999</v>
      </c>
      <c r="C135" s="17">
        <f t="shared" si="3"/>
        <v>687.28514999999993</v>
      </c>
      <c r="D135" s="17">
        <f t="shared" si="4"/>
        <v>4.4992991990816696E-3</v>
      </c>
      <c r="E135" s="17"/>
      <c r="F135" s="17"/>
      <c r="G135" s="17"/>
      <c r="H135" s="17"/>
      <c r="I135" s="17"/>
      <c r="J135" s="31"/>
      <c r="K135" s="17"/>
      <c r="L135" s="17"/>
      <c r="M135" s="31"/>
    </row>
    <row r="136" spans="1:13">
      <c r="A136" s="16">
        <v>10.5</v>
      </c>
      <c r="B136" s="17">
        <v>184.73829000000001</v>
      </c>
      <c r="C136" s="17">
        <f t="shared" si="3"/>
        <v>684.73829000000001</v>
      </c>
      <c r="D136" s="17">
        <f t="shared" si="4"/>
        <v>4.4826262283966878E-3</v>
      </c>
      <c r="E136" s="17"/>
      <c r="F136" s="17"/>
      <c r="G136" s="17"/>
      <c r="H136" s="17"/>
      <c r="I136" s="17"/>
      <c r="J136" s="31"/>
      <c r="K136" s="17"/>
      <c r="L136" s="17"/>
      <c r="M136" s="31"/>
    </row>
    <row r="137" spans="1:13">
      <c r="A137" s="16">
        <v>10.6</v>
      </c>
      <c r="B137" s="17">
        <v>182.25452000000001</v>
      </c>
      <c r="C137" s="17">
        <f t="shared" si="3"/>
        <v>682.25451999999996</v>
      </c>
      <c r="D137" s="17">
        <f t="shared" si="4"/>
        <v>4.4663662752001104E-3</v>
      </c>
      <c r="E137" s="17"/>
      <c r="F137" s="17"/>
      <c r="G137" s="17"/>
      <c r="H137" s="17"/>
      <c r="I137" s="17"/>
      <c r="J137" s="31"/>
      <c r="K137" s="17"/>
      <c r="L137" s="17"/>
      <c r="M137" s="31"/>
    </row>
    <row r="138" spans="1:13">
      <c r="A138" s="16">
        <v>10.7</v>
      </c>
      <c r="B138" s="17">
        <v>179.83157</v>
      </c>
      <c r="C138" s="17">
        <f t="shared" si="3"/>
        <v>679.83157000000006</v>
      </c>
      <c r="D138" s="17">
        <f t="shared" si="4"/>
        <v>4.4505044789799903E-3</v>
      </c>
      <c r="E138" s="17"/>
      <c r="F138" s="17"/>
      <c r="G138" s="17"/>
      <c r="H138" s="17"/>
      <c r="I138" s="17"/>
      <c r="J138" s="31"/>
      <c r="K138" s="17"/>
      <c r="L138" s="17"/>
      <c r="M138" s="31"/>
    </row>
    <row r="139" spans="1:13">
      <c r="A139" s="16">
        <v>10.8</v>
      </c>
      <c r="B139" s="17">
        <v>177.46729999999999</v>
      </c>
      <c r="C139" s="17">
        <f t="shared" si="3"/>
        <v>677.46730000000002</v>
      </c>
      <c r="D139" s="17">
        <f t="shared" si="4"/>
        <v>4.435026830266915E-3</v>
      </c>
      <c r="E139" s="17"/>
      <c r="F139" s="17"/>
      <c r="G139" s="17"/>
      <c r="H139" s="17"/>
      <c r="I139" s="17"/>
      <c r="J139" s="31"/>
      <c r="K139" s="17"/>
      <c r="L139" s="17"/>
      <c r="M139" s="31"/>
    </row>
    <row r="140" spans="1:13">
      <c r="A140" s="16">
        <v>10.9</v>
      </c>
      <c r="B140" s="17">
        <v>175.15964</v>
      </c>
      <c r="C140" s="17">
        <f t="shared" si="3"/>
        <v>675.15963999999997</v>
      </c>
      <c r="D140" s="17">
        <f t="shared" si="4"/>
        <v>4.4199197778451473E-3</v>
      </c>
      <c r="E140" s="17"/>
      <c r="F140" s="17"/>
      <c r="G140" s="17"/>
      <c r="H140" s="17"/>
      <c r="I140" s="17"/>
      <c r="J140" s="31"/>
      <c r="K140" s="17"/>
      <c r="L140" s="17"/>
      <c r="M140" s="31"/>
    </row>
    <row r="141" spans="1:13">
      <c r="A141" s="16">
        <v>11</v>
      </c>
      <c r="B141" s="17">
        <v>172.90663000000001</v>
      </c>
      <c r="C141" s="17">
        <f t="shared" si="3"/>
        <v>672.90662999999995</v>
      </c>
      <c r="D141" s="17">
        <f t="shared" si="4"/>
        <v>4.4051704906118601E-3</v>
      </c>
      <c r="E141" s="17"/>
      <c r="F141" s="17"/>
      <c r="G141" s="17"/>
      <c r="H141" s="17"/>
      <c r="I141" s="17"/>
      <c r="J141" s="31"/>
      <c r="K141" s="17"/>
      <c r="L141" s="17"/>
      <c r="M141" s="31"/>
    </row>
    <row r="142" spans="1:13">
      <c r="A142" s="16">
        <v>11.1</v>
      </c>
      <c r="B142" s="17">
        <v>170.70641000000001</v>
      </c>
      <c r="C142" s="17">
        <f t="shared" si="3"/>
        <v>670.70641000000001</v>
      </c>
      <c r="D142" s="17">
        <f t="shared" si="4"/>
        <v>4.3907667921123323E-3</v>
      </c>
      <c r="E142" s="17"/>
      <c r="F142" s="17"/>
      <c r="G142" s="17"/>
      <c r="H142" s="17"/>
      <c r="I142" s="17"/>
      <c r="J142" s="31"/>
      <c r="K142" s="17"/>
      <c r="L142" s="17"/>
      <c r="M142" s="31"/>
    </row>
    <row r="143" spans="1:13">
      <c r="A143" s="16">
        <v>11.2</v>
      </c>
      <c r="B143" s="17">
        <v>168.55717000000001</v>
      </c>
      <c r="C143" s="17">
        <f t="shared" si="3"/>
        <v>668.55717000000004</v>
      </c>
      <c r="D143" s="17">
        <f t="shared" si="4"/>
        <v>4.3766968332158906E-3</v>
      </c>
      <c r="E143" s="17"/>
      <c r="F143" s="17"/>
      <c r="G143" s="17"/>
      <c r="H143" s="17"/>
      <c r="I143" s="17"/>
      <c r="J143" s="31"/>
      <c r="K143" s="17"/>
      <c r="L143" s="17"/>
      <c r="M143" s="31"/>
    </row>
    <row r="144" spans="1:13">
      <c r="A144" s="16">
        <v>11.3</v>
      </c>
      <c r="B144" s="17">
        <v>166.45721</v>
      </c>
      <c r="C144" s="17">
        <f t="shared" si="3"/>
        <v>666.45721000000003</v>
      </c>
      <c r="D144" s="17">
        <f t="shared" si="4"/>
        <v>4.3629494849047792E-3</v>
      </c>
      <c r="E144" s="17"/>
      <c r="F144" s="17"/>
      <c r="G144" s="17"/>
      <c r="H144" s="17"/>
      <c r="I144" s="17"/>
      <c r="J144" s="31"/>
      <c r="K144" s="17"/>
      <c r="L144" s="17"/>
      <c r="M144" s="31"/>
    </row>
    <row r="145" spans="1:13">
      <c r="A145" s="16">
        <v>11.4</v>
      </c>
      <c r="B145" s="17">
        <v>164.40488999999999</v>
      </c>
      <c r="C145" s="17">
        <f t="shared" si="3"/>
        <v>664.40489000000002</v>
      </c>
      <c r="D145" s="17">
        <f t="shared" si="4"/>
        <v>4.3495140109501059E-3</v>
      </c>
      <c r="E145" s="17"/>
      <c r="F145" s="17"/>
      <c r="G145" s="17"/>
      <c r="H145" s="17"/>
      <c r="I145" s="17"/>
      <c r="J145" s="31"/>
      <c r="K145" s="17"/>
      <c r="L145" s="17"/>
      <c r="M145" s="31"/>
    </row>
    <row r="146" spans="1:13">
      <c r="A146" s="16">
        <v>11.5</v>
      </c>
      <c r="B146" s="17">
        <v>162.39863</v>
      </c>
      <c r="C146" s="17">
        <f t="shared" si="3"/>
        <v>662.39863000000003</v>
      </c>
      <c r="D146" s="17">
        <f t="shared" si="4"/>
        <v>4.3363800679118349E-3</v>
      </c>
      <c r="E146" s="17"/>
      <c r="F146" s="17"/>
      <c r="G146" s="17"/>
      <c r="H146" s="17"/>
      <c r="I146" s="17"/>
      <c r="J146" s="31"/>
      <c r="K146" s="17"/>
      <c r="L146" s="17"/>
      <c r="M146" s="31"/>
    </row>
    <row r="147" spans="1:13">
      <c r="A147" s="16">
        <v>11.6</v>
      </c>
      <c r="B147" s="17">
        <v>160.43695</v>
      </c>
      <c r="C147" s="17">
        <f t="shared" si="3"/>
        <v>660.43695000000002</v>
      </c>
      <c r="D147" s="17">
        <f t="shared" si="4"/>
        <v>4.3235379669980378E-3</v>
      </c>
      <c r="E147" s="17"/>
      <c r="F147" s="17"/>
      <c r="G147" s="17"/>
      <c r="H147" s="17"/>
      <c r="I147" s="17"/>
      <c r="J147" s="31"/>
      <c r="K147" s="17"/>
      <c r="L147" s="17"/>
      <c r="M147" s="31"/>
    </row>
    <row r="148" spans="1:13">
      <c r="A148" s="16">
        <v>11.7</v>
      </c>
      <c r="B148" s="17">
        <v>158.51839000000001</v>
      </c>
      <c r="C148" s="17">
        <f t="shared" si="3"/>
        <v>658.51838999999995</v>
      </c>
      <c r="D148" s="17">
        <f t="shared" si="4"/>
        <v>4.3109781503464046E-3</v>
      </c>
      <c r="E148" s="17"/>
      <c r="F148" s="17"/>
      <c r="G148" s="17"/>
      <c r="H148" s="17"/>
      <c r="I148" s="17"/>
      <c r="J148" s="31"/>
      <c r="K148" s="17"/>
      <c r="L148" s="17"/>
      <c r="M148" s="31"/>
    </row>
    <row r="149" spans="1:13">
      <c r="A149" s="16">
        <v>11.8</v>
      </c>
      <c r="B149" s="17">
        <v>156.64158</v>
      </c>
      <c r="C149" s="17">
        <f t="shared" si="3"/>
        <v>656.64157999999998</v>
      </c>
      <c r="D149" s="17">
        <f t="shared" si="4"/>
        <v>4.2986916492779199E-3</v>
      </c>
      <c r="E149" s="17"/>
      <c r="F149" s="17"/>
      <c r="G149" s="17"/>
      <c r="H149" s="17"/>
      <c r="I149" s="17"/>
      <c r="J149" s="31"/>
      <c r="K149" s="17"/>
      <c r="L149" s="17"/>
      <c r="M149" s="31"/>
    </row>
    <row r="150" spans="1:13">
      <c r="A150" s="16">
        <v>11.9</v>
      </c>
      <c r="B150" s="17">
        <v>154.80520999999999</v>
      </c>
      <c r="C150" s="17">
        <f t="shared" si="3"/>
        <v>654.80520999999999</v>
      </c>
      <c r="D150" s="17">
        <f t="shared" si="4"/>
        <v>4.2866698879024303E-3</v>
      </c>
      <c r="E150" s="17"/>
      <c r="F150" s="17"/>
      <c r="G150" s="17"/>
      <c r="H150" s="17"/>
      <c r="I150" s="17"/>
      <c r="J150" s="31"/>
      <c r="K150" s="17"/>
      <c r="L150" s="17"/>
      <c r="M150" s="31"/>
    </row>
    <row r="151" spans="1:13">
      <c r="A151" s="16">
        <v>12</v>
      </c>
      <c r="B151" s="17">
        <v>153.00799000000001</v>
      </c>
      <c r="C151" s="17">
        <f t="shared" si="3"/>
        <v>653.00799000000006</v>
      </c>
      <c r="D151" s="17">
        <f t="shared" si="4"/>
        <v>4.2749044212594027E-3</v>
      </c>
      <c r="E151" s="17"/>
      <c r="F151" s="17"/>
      <c r="G151" s="17"/>
      <c r="H151" s="17"/>
      <c r="I151" s="17"/>
      <c r="J151" s="31"/>
      <c r="K151" s="17"/>
      <c r="L151" s="17"/>
      <c r="M151" s="31"/>
    </row>
    <row r="152" spans="1:13">
      <c r="A152" s="16">
        <v>12.1</v>
      </c>
      <c r="B152" s="17">
        <v>151.24871999999999</v>
      </c>
      <c r="C152" s="17">
        <f t="shared" si="3"/>
        <v>651.24872000000005</v>
      </c>
      <c r="D152" s="17">
        <f t="shared" si="4"/>
        <v>4.2633873935715959E-3</v>
      </c>
      <c r="E152" s="17"/>
      <c r="F152" s="17"/>
      <c r="G152" s="17"/>
      <c r="H152" s="17"/>
      <c r="I152" s="17"/>
      <c r="J152" s="31"/>
      <c r="K152" s="17"/>
      <c r="L152" s="17"/>
      <c r="M152" s="31"/>
    </row>
    <row r="153" spans="1:13">
      <c r="A153" s="16">
        <v>12.2</v>
      </c>
      <c r="B153" s="17">
        <v>149.52624</v>
      </c>
      <c r="C153" s="17">
        <f t="shared" si="3"/>
        <v>649.52624000000003</v>
      </c>
      <c r="D153" s="17">
        <f t="shared" si="4"/>
        <v>4.252111210921011E-3</v>
      </c>
      <c r="E153" s="17"/>
      <c r="F153" s="17"/>
      <c r="G153" s="17"/>
      <c r="H153" s="17"/>
      <c r="I153" s="17"/>
      <c r="J153" s="31"/>
      <c r="K153" s="17"/>
      <c r="L153" s="17"/>
      <c r="M153" s="31"/>
    </row>
    <row r="154" spans="1:13">
      <c r="A154" s="16">
        <v>12.3</v>
      </c>
      <c r="B154" s="17">
        <v>147.83940999999999</v>
      </c>
      <c r="C154" s="17">
        <f t="shared" si="3"/>
        <v>647.83941000000004</v>
      </c>
      <c r="D154" s="17">
        <f t="shared" si="4"/>
        <v>4.2410684103192714E-3</v>
      </c>
      <c r="E154" s="17"/>
      <c r="F154" s="17"/>
      <c r="G154" s="17"/>
      <c r="H154" s="17"/>
      <c r="I154" s="17"/>
      <c r="J154" s="31"/>
      <c r="K154" s="17"/>
      <c r="L154" s="17"/>
      <c r="M154" s="31"/>
    </row>
    <row r="155" spans="1:13">
      <c r="A155" s="16">
        <v>12.4</v>
      </c>
      <c r="B155" s="17">
        <v>146.18716000000001</v>
      </c>
      <c r="C155" s="17">
        <f t="shared" si="3"/>
        <v>646.18715999999995</v>
      </c>
      <c r="D155" s="17">
        <f t="shared" si="4"/>
        <v>4.230251987031669E-3</v>
      </c>
      <c r="E155" s="17"/>
      <c r="F155" s="17"/>
      <c r="G155" s="17"/>
      <c r="H155" s="17"/>
      <c r="I155" s="17"/>
      <c r="J155" s="31"/>
      <c r="K155" s="17"/>
      <c r="L155" s="17"/>
      <c r="M155" s="31"/>
    </row>
    <row r="156" spans="1:13">
      <c r="A156" s="16">
        <v>12.5</v>
      </c>
      <c r="B156" s="17">
        <v>144.56845999999999</v>
      </c>
      <c r="C156" s="17">
        <f t="shared" si="3"/>
        <v>644.56845999999996</v>
      </c>
      <c r="D156" s="17">
        <f t="shared" si="4"/>
        <v>4.219655198182742E-3</v>
      </c>
      <c r="E156" s="17"/>
      <c r="F156" s="17"/>
      <c r="G156" s="17"/>
      <c r="H156" s="17"/>
      <c r="I156" s="17"/>
      <c r="J156" s="31"/>
      <c r="K156" s="17"/>
      <c r="L156" s="17"/>
      <c r="M156" s="31"/>
    </row>
    <row r="157" spans="1:13">
      <c r="A157" s="16">
        <v>12.6</v>
      </c>
      <c r="B157" s="17">
        <v>142.98231999999999</v>
      </c>
      <c r="C157" s="17">
        <f t="shared" si="3"/>
        <v>642.98231999999996</v>
      </c>
      <c r="D157" s="17">
        <f t="shared" si="4"/>
        <v>4.2092715627562649E-3</v>
      </c>
      <c r="E157" s="17"/>
      <c r="F157" s="17"/>
      <c r="G157" s="17"/>
      <c r="H157" s="17"/>
      <c r="I157" s="17"/>
      <c r="J157" s="31"/>
      <c r="K157" s="17"/>
      <c r="L157" s="17"/>
      <c r="M157" s="31"/>
    </row>
    <row r="158" spans="1:13">
      <c r="A158" s="16">
        <v>12.7</v>
      </c>
      <c r="B158" s="17">
        <v>141.42778000000001</v>
      </c>
      <c r="C158" s="17">
        <f t="shared" si="3"/>
        <v>641.42777999999998</v>
      </c>
      <c r="D158" s="17">
        <f t="shared" si="4"/>
        <v>4.1990947961304485E-3</v>
      </c>
      <c r="E158" s="17"/>
      <c r="F158" s="17"/>
      <c r="G158" s="17"/>
      <c r="H158" s="17"/>
      <c r="I158" s="17"/>
      <c r="J158" s="31"/>
      <c r="K158" s="17"/>
      <c r="L158" s="17"/>
      <c r="M158" s="31"/>
    </row>
    <row r="159" spans="1:13">
      <c r="A159" s="16">
        <v>12.8</v>
      </c>
      <c r="B159" s="17">
        <v>139.90392</v>
      </c>
      <c r="C159" s="17">
        <f t="shared" si="3"/>
        <v>639.90391999999997</v>
      </c>
      <c r="D159" s="17">
        <f t="shared" si="4"/>
        <v>4.1891188755427376E-3</v>
      </c>
      <c r="E159" s="17"/>
      <c r="F159" s="17"/>
      <c r="G159" s="17"/>
      <c r="H159" s="17"/>
      <c r="I159" s="17"/>
      <c r="J159" s="31"/>
      <c r="K159" s="17"/>
      <c r="L159" s="17"/>
      <c r="M159" s="31"/>
    </row>
    <row r="160" spans="1:13">
      <c r="A160" s="16">
        <v>12.9</v>
      </c>
      <c r="B160" s="17">
        <v>138.40985000000001</v>
      </c>
      <c r="C160" s="17">
        <f t="shared" si="3"/>
        <v>638.40985000000001</v>
      </c>
      <c r="D160" s="17">
        <f t="shared" si="4"/>
        <v>4.1793379746250144E-3</v>
      </c>
      <c r="E160" s="17"/>
      <c r="F160" s="17"/>
      <c r="G160" s="17"/>
      <c r="H160" s="17"/>
      <c r="I160" s="17"/>
      <c r="J160" s="31"/>
      <c r="K160" s="17"/>
      <c r="L160" s="17"/>
      <c r="M160" s="31"/>
    </row>
    <row r="161" spans="1:13">
      <c r="A161" s="16">
        <v>13</v>
      </c>
      <c r="B161" s="17">
        <v>136.94471999999999</v>
      </c>
      <c r="C161" s="17">
        <f t="shared" si="3"/>
        <v>636.94471999999996</v>
      </c>
      <c r="D161" s="17">
        <f t="shared" si="4"/>
        <v>4.1697465288684007E-3</v>
      </c>
      <c r="E161" s="17"/>
      <c r="F161" s="17"/>
      <c r="G161" s="17"/>
      <c r="H161" s="17"/>
      <c r="I161" s="17"/>
      <c r="J161" s="31"/>
      <c r="K161" s="17"/>
      <c r="L161" s="17"/>
      <c r="M161" s="31"/>
    </row>
    <row r="162" spans="1:13">
      <c r="A162" s="16">
        <v>13.1</v>
      </c>
      <c r="B162" s="17">
        <v>135.50772000000001</v>
      </c>
      <c r="C162" s="17">
        <f t="shared" si="3"/>
        <v>635.50772000000006</v>
      </c>
      <c r="D162" s="17">
        <f t="shared" si="4"/>
        <v>4.1603392356232621E-3</v>
      </c>
      <c r="E162" s="17"/>
      <c r="F162" s="17"/>
      <c r="G162" s="17"/>
      <c r="H162" s="17"/>
      <c r="I162" s="17"/>
      <c r="J162" s="31"/>
      <c r="K162" s="17"/>
      <c r="L162" s="17"/>
      <c r="M162" s="31"/>
    </row>
    <row r="163" spans="1:13">
      <c r="A163" s="16">
        <v>13.2</v>
      </c>
      <c r="B163" s="17">
        <v>134.09805</v>
      </c>
      <c r="C163" s="17">
        <f t="shared" si="3"/>
        <v>634.09805000000006</v>
      </c>
      <c r="D163" s="17">
        <f t="shared" si="4"/>
        <v>4.151110857704767E-3</v>
      </c>
      <c r="E163" s="17"/>
      <c r="F163" s="17"/>
      <c r="G163" s="17"/>
      <c r="H163" s="17"/>
      <c r="I163" s="17"/>
      <c r="J163" s="31"/>
      <c r="K163" s="17"/>
      <c r="L163" s="17"/>
      <c r="M163" s="31"/>
    </row>
    <row r="164" spans="1:13">
      <c r="A164" s="16">
        <v>13.3</v>
      </c>
      <c r="B164" s="17">
        <v>132.71495999999999</v>
      </c>
      <c r="C164" s="17">
        <f t="shared" si="3"/>
        <v>632.71496000000002</v>
      </c>
      <c r="D164" s="17">
        <f t="shared" si="4"/>
        <v>4.1420564852521422E-3</v>
      </c>
      <c r="E164" s="17"/>
      <c r="F164" s="17"/>
      <c r="G164" s="17"/>
      <c r="H164" s="17"/>
      <c r="I164" s="17"/>
      <c r="J164" s="31"/>
      <c r="K164" s="17"/>
      <c r="L164" s="17"/>
      <c r="M164" s="31"/>
    </row>
    <row r="165" spans="1:13">
      <c r="A165" s="16">
        <v>13.4</v>
      </c>
      <c r="B165" s="17">
        <v>131.35769999999999</v>
      </c>
      <c r="C165" s="17">
        <f t="shared" si="3"/>
        <v>631.35770000000002</v>
      </c>
      <c r="D165" s="17">
        <f t="shared" si="4"/>
        <v>4.1331712084046127E-3</v>
      </c>
      <c r="E165" s="17"/>
      <c r="F165" s="17"/>
      <c r="G165" s="17"/>
      <c r="H165" s="17"/>
      <c r="I165" s="17"/>
      <c r="J165" s="31"/>
      <c r="K165" s="17"/>
      <c r="L165" s="17"/>
      <c r="M165" s="31"/>
    </row>
    <row r="166" spans="1:13">
      <c r="A166" s="16">
        <v>13.5</v>
      </c>
      <c r="B166" s="17">
        <v>130.02556999999999</v>
      </c>
      <c r="C166" s="17">
        <f t="shared" si="3"/>
        <v>630.02557000000002</v>
      </c>
      <c r="D166" s="17">
        <f t="shared" si="4"/>
        <v>4.1244504446254562E-3</v>
      </c>
      <c r="E166" s="17"/>
      <c r="F166" s="17"/>
      <c r="G166" s="17"/>
      <c r="H166" s="17"/>
      <c r="I166" s="17"/>
      <c r="J166" s="31"/>
      <c r="K166" s="17"/>
      <c r="L166" s="17"/>
      <c r="M166" s="31"/>
    </row>
    <row r="167" spans="1:13">
      <c r="A167" s="16">
        <v>13.6</v>
      </c>
      <c r="B167" s="17">
        <v>128.71789000000001</v>
      </c>
      <c r="C167" s="17">
        <f t="shared" si="3"/>
        <v>628.71789000000001</v>
      </c>
      <c r="D167" s="17">
        <f t="shared" si="4"/>
        <v>4.1158897423075672E-3</v>
      </c>
      <c r="E167" s="17"/>
      <c r="F167" s="17"/>
      <c r="G167" s="17"/>
      <c r="H167" s="17"/>
      <c r="I167" s="17"/>
      <c r="J167" s="31"/>
      <c r="K167" s="17"/>
      <c r="L167" s="17"/>
      <c r="M167" s="31"/>
    </row>
    <row r="168" spans="1:13">
      <c r="A168" s="16">
        <v>13.7</v>
      </c>
      <c r="B168" s="17">
        <v>127.434</v>
      </c>
      <c r="C168" s="17">
        <f t="shared" si="3"/>
        <v>627.43399999999997</v>
      </c>
      <c r="D168" s="17">
        <f t="shared" si="4"/>
        <v>4.1074847807734656E-3</v>
      </c>
      <c r="E168" s="17"/>
      <c r="F168" s="17"/>
      <c r="G168" s="17"/>
      <c r="H168" s="17"/>
      <c r="I168" s="17"/>
      <c r="J168" s="31"/>
      <c r="K168" s="17"/>
      <c r="L168" s="17"/>
      <c r="M168" s="31"/>
    </row>
    <row r="169" spans="1:13">
      <c r="A169" s="16">
        <v>13.8</v>
      </c>
      <c r="B169" s="17">
        <v>126.17327</v>
      </c>
      <c r="C169" s="17">
        <f t="shared" si="3"/>
        <v>626.17327</v>
      </c>
      <c r="D169" s="17">
        <f t="shared" si="4"/>
        <v>4.0992314357401012E-3</v>
      </c>
      <c r="E169" s="17"/>
      <c r="F169" s="17"/>
      <c r="G169" s="17"/>
      <c r="H169" s="17"/>
      <c r="I169" s="17"/>
      <c r="J169" s="31"/>
      <c r="K169" s="17"/>
      <c r="L169" s="17"/>
      <c r="M169" s="31"/>
    </row>
    <row r="170" spans="1:13">
      <c r="A170" s="16">
        <v>13.9</v>
      </c>
      <c r="B170" s="17">
        <v>124.93508</v>
      </c>
      <c r="C170" s="17">
        <f t="shared" si="3"/>
        <v>624.93507999999997</v>
      </c>
      <c r="D170" s="17">
        <f t="shared" si="4"/>
        <v>4.0911256483892296E-3</v>
      </c>
      <c r="E170" s="17"/>
      <c r="F170" s="17"/>
      <c r="G170" s="17"/>
      <c r="H170" s="17"/>
      <c r="I170" s="17"/>
      <c r="J170" s="31"/>
      <c r="K170" s="17"/>
      <c r="L170" s="17"/>
      <c r="M170" s="31"/>
    </row>
    <row r="171" spans="1:13">
      <c r="A171" s="16">
        <v>14</v>
      </c>
      <c r="B171" s="17">
        <v>123.71884</v>
      </c>
      <c r="C171" s="17">
        <f t="shared" si="3"/>
        <v>623.71884</v>
      </c>
      <c r="D171" s="17">
        <f t="shared" si="4"/>
        <v>4.0831635562970457E-3</v>
      </c>
      <c r="E171" s="17"/>
      <c r="F171" s="17"/>
      <c r="G171" s="17"/>
      <c r="H171" s="17"/>
      <c r="I171" s="17"/>
      <c r="J171" s="31"/>
      <c r="K171" s="17"/>
      <c r="L171" s="17"/>
      <c r="M171" s="31"/>
    </row>
    <row r="172" spans="1:13">
      <c r="A172" s="16">
        <v>14.1</v>
      </c>
      <c r="B172" s="17">
        <v>122.52397999999999</v>
      </c>
      <c r="C172" s="17">
        <f t="shared" ref="C172:C235" si="5">B172+$C$26</f>
        <v>622.52397999999994</v>
      </c>
      <c r="D172" s="17">
        <f t="shared" ref="D172:D235" si="6">C172*1000000/(4*PI())*$C$13*RADIANS($C$20)*RADIANS($C$21)</f>
        <v>4.0753414279693558E-3</v>
      </c>
      <c r="E172" s="17"/>
      <c r="F172" s="17"/>
      <c r="G172" s="17"/>
      <c r="H172" s="17"/>
      <c r="I172" s="17"/>
      <c r="J172" s="31"/>
      <c r="K172" s="17"/>
      <c r="L172" s="17"/>
      <c r="M172" s="31"/>
    </row>
    <row r="173" spans="1:13">
      <c r="A173" s="16">
        <v>14.2</v>
      </c>
      <c r="B173" s="17">
        <v>121.34994</v>
      </c>
      <c r="C173" s="17">
        <f t="shared" si="5"/>
        <v>621.34994000000006</v>
      </c>
      <c r="D173" s="17">
        <f t="shared" si="6"/>
        <v>4.0676555973767868E-3</v>
      </c>
      <c r="E173" s="17"/>
      <c r="F173" s="17"/>
      <c r="G173" s="17"/>
      <c r="H173" s="17"/>
      <c r="I173" s="17"/>
      <c r="J173" s="31"/>
      <c r="K173" s="17"/>
      <c r="L173" s="17"/>
      <c r="M173" s="31"/>
    </row>
    <row r="174" spans="1:13">
      <c r="A174" s="16">
        <v>14.3</v>
      </c>
      <c r="B174" s="17">
        <v>120.1962</v>
      </c>
      <c r="C174" s="17">
        <f t="shared" si="5"/>
        <v>620.19619999999998</v>
      </c>
      <c r="D174" s="17">
        <f t="shared" si="6"/>
        <v>4.0601026603491949E-3</v>
      </c>
      <c r="E174" s="17"/>
      <c r="F174" s="17"/>
      <c r="G174" s="17"/>
      <c r="H174" s="17"/>
      <c r="I174" s="17"/>
      <c r="J174" s="31"/>
      <c r="K174" s="17"/>
      <c r="L174" s="17"/>
      <c r="M174" s="31"/>
    </row>
    <row r="175" spans="1:13">
      <c r="A175" s="16">
        <v>14.4</v>
      </c>
      <c r="B175" s="17">
        <v>119.06224</v>
      </c>
      <c r="C175" s="17">
        <f t="shared" si="5"/>
        <v>619.06223999999997</v>
      </c>
      <c r="D175" s="17">
        <f t="shared" si="6"/>
        <v>4.0526792127164469E-3</v>
      </c>
      <c r="E175" s="17"/>
      <c r="F175" s="17"/>
      <c r="G175" s="17"/>
      <c r="H175" s="17"/>
      <c r="I175" s="17"/>
      <c r="J175" s="31"/>
      <c r="K175" s="17"/>
      <c r="L175" s="17"/>
      <c r="M175" s="31"/>
    </row>
    <row r="176" spans="1:13">
      <c r="A176" s="16">
        <v>14.5</v>
      </c>
      <c r="B176" s="17">
        <v>117.94755000000001</v>
      </c>
      <c r="C176" s="17">
        <f t="shared" si="5"/>
        <v>617.94754999999998</v>
      </c>
      <c r="D176" s="17">
        <f t="shared" si="6"/>
        <v>4.0453819157732131E-3</v>
      </c>
      <c r="E176" s="17"/>
      <c r="F176" s="17"/>
      <c r="G176" s="17"/>
      <c r="H176" s="17"/>
      <c r="I176" s="17"/>
      <c r="J176" s="31"/>
      <c r="K176" s="17"/>
      <c r="L176" s="17"/>
      <c r="M176" s="31"/>
    </row>
    <row r="177" spans="1:13">
      <c r="A177" s="16">
        <v>14.6</v>
      </c>
      <c r="B177" s="17">
        <v>116.85166</v>
      </c>
      <c r="C177" s="17">
        <f t="shared" si="5"/>
        <v>616.85166000000004</v>
      </c>
      <c r="D177" s="17">
        <f t="shared" si="6"/>
        <v>4.0382076926734111E-3</v>
      </c>
      <c r="E177" s="17"/>
      <c r="F177" s="17"/>
      <c r="G177" s="17"/>
      <c r="H177" s="17"/>
      <c r="I177" s="17"/>
      <c r="J177" s="31"/>
      <c r="K177" s="17"/>
      <c r="L177" s="17"/>
      <c r="M177" s="31"/>
    </row>
    <row r="178" spans="1:13">
      <c r="A178" s="16">
        <v>14.7</v>
      </c>
      <c r="B178" s="17">
        <v>115.77409</v>
      </c>
      <c r="C178" s="17">
        <f t="shared" si="5"/>
        <v>615.77409</v>
      </c>
      <c r="D178" s="17">
        <f t="shared" si="6"/>
        <v>4.0311534011061413E-3</v>
      </c>
      <c r="E178" s="17"/>
      <c r="F178" s="17"/>
      <c r="G178" s="17"/>
      <c r="H178" s="17"/>
      <c r="I178" s="17"/>
      <c r="J178" s="31"/>
      <c r="K178" s="17"/>
      <c r="L178" s="17"/>
      <c r="M178" s="31"/>
    </row>
    <row r="179" spans="1:13">
      <c r="A179" s="16">
        <v>14.8</v>
      </c>
      <c r="B179" s="17">
        <v>114.71441</v>
      </c>
      <c r="C179" s="17">
        <f t="shared" si="5"/>
        <v>614.71441000000004</v>
      </c>
      <c r="D179" s="17">
        <f t="shared" si="6"/>
        <v>4.0242162260845614E-3</v>
      </c>
      <c r="E179" s="17"/>
      <c r="F179" s="17"/>
      <c r="G179" s="17"/>
      <c r="H179" s="17"/>
      <c r="I179" s="17"/>
      <c r="J179" s="31"/>
      <c r="K179" s="17"/>
      <c r="L179" s="17"/>
      <c r="M179" s="31"/>
    </row>
    <row r="180" spans="1:13">
      <c r="A180" s="16">
        <v>14.9</v>
      </c>
      <c r="B180" s="17">
        <v>113.67216000000001</v>
      </c>
      <c r="C180" s="17">
        <f t="shared" si="5"/>
        <v>613.67215999999996</v>
      </c>
      <c r="D180" s="17">
        <f t="shared" si="6"/>
        <v>4.0173931562273958E-3</v>
      </c>
      <c r="E180" s="17"/>
      <c r="F180" s="17"/>
      <c r="G180" s="17"/>
      <c r="H180" s="17"/>
      <c r="I180" s="17"/>
      <c r="J180" s="31"/>
      <c r="K180" s="17"/>
      <c r="L180" s="17"/>
      <c r="M180" s="31"/>
    </row>
    <row r="181" spans="1:13">
      <c r="A181" s="16">
        <v>15</v>
      </c>
      <c r="B181" s="17">
        <v>112.64693</v>
      </c>
      <c r="C181" s="17">
        <f t="shared" si="5"/>
        <v>612.64693</v>
      </c>
      <c r="D181" s="17">
        <f t="shared" si="6"/>
        <v>4.0106815074774198E-3</v>
      </c>
      <c r="E181" s="17"/>
      <c r="F181" s="17"/>
      <c r="G181" s="17"/>
      <c r="H181" s="17"/>
      <c r="I181" s="17"/>
      <c r="J181" s="31"/>
      <c r="K181" s="17"/>
      <c r="L181" s="17"/>
      <c r="M181" s="31"/>
    </row>
    <row r="182" spans="1:13">
      <c r="A182" s="16">
        <v>15.1</v>
      </c>
      <c r="B182" s="17">
        <v>111.6383</v>
      </c>
      <c r="C182" s="17">
        <f t="shared" si="5"/>
        <v>611.63829999999996</v>
      </c>
      <c r="D182" s="17">
        <f t="shared" si="6"/>
        <v>4.0040785303125988E-3</v>
      </c>
      <c r="E182" s="17"/>
      <c r="F182" s="17"/>
      <c r="G182" s="17"/>
      <c r="H182" s="17"/>
      <c r="I182" s="17"/>
      <c r="J182" s="31"/>
      <c r="K182" s="17"/>
      <c r="L182" s="17"/>
      <c r="M182" s="31"/>
    </row>
    <row r="183" spans="1:13">
      <c r="A183" s="16">
        <v>15.2</v>
      </c>
      <c r="B183" s="17">
        <v>110.64588999999999</v>
      </c>
      <c r="C183" s="17">
        <f t="shared" si="5"/>
        <v>610.64589000000001</v>
      </c>
      <c r="D183" s="17">
        <f t="shared" si="6"/>
        <v>3.9975817370701428E-3</v>
      </c>
      <c r="E183" s="17"/>
      <c r="F183" s="17"/>
      <c r="G183" s="17"/>
      <c r="H183" s="17"/>
      <c r="I183" s="17"/>
      <c r="J183" s="31"/>
      <c r="K183" s="17"/>
      <c r="L183" s="17"/>
      <c r="M183" s="31"/>
    </row>
    <row r="184" spans="1:13">
      <c r="A184" s="16">
        <v>15.3</v>
      </c>
      <c r="B184" s="17">
        <v>109.66930000000001</v>
      </c>
      <c r="C184" s="17">
        <f t="shared" si="5"/>
        <v>609.66930000000002</v>
      </c>
      <c r="D184" s="17">
        <f t="shared" si="6"/>
        <v>3.9911885091576367E-3</v>
      </c>
      <c r="E184" s="17"/>
      <c r="F184" s="17"/>
      <c r="G184" s="17"/>
      <c r="H184" s="17"/>
      <c r="I184" s="17"/>
      <c r="J184" s="31"/>
      <c r="K184" s="17"/>
      <c r="L184" s="17"/>
      <c r="M184" s="31"/>
    </row>
    <row r="185" spans="1:13">
      <c r="A185" s="16">
        <v>15.4</v>
      </c>
      <c r="B185" s="17">
        <v>108.70816000000001</v>
      </c>
      <c r="C185" s="17">
        <f t="shared" si="5"/>
        <v>608.70816000000002</v>
      </c>
      <c r="D185" s="17">
        <f t="shared" si="6"/>
        <v>3.9848964243770976E-3</v>
      </c>
      <c r="E185" s="17"/>
      <c r="F185" s="17"/>
      <c r="G185" s="17"/>
      <c r="H185" s="17"/>
      <c r="I185" s="17"/>
      <c r="J185" s="31"/>
      <c r="K185" s="17"/>
      <c r="L185" s="17"/>
      <c r="M185" s="31"/>
    </row>
    <row r="186" spans="1:13">
      <c r="A186" s="16">
        <v>15.5</v>
      </c>
      <c r="B186" s="17">
        <v>107.76211000000001</v>
      </c>
      <c r="C186" s="17">
        <f t="shared" si="5"/>
        <v>607.76211000000001</v>
      </c>
      <c r="D186" s="17">
        <f t="shared" si="6"/>
        <v>3.978703125995354E-3</v>
      </c>
      <c r="E186" s="17"/>
      <c r="F186" s="17"/>
      <c r="G186" s="17"/>
      <c r="H186" s="17"/>
      <c r="I186" s="17"/>
      <c r="J186" s="31"/>
      <c r="K186" s="17"/>
      <c r="L186" s="17"/>
      <c r="M186" s="31"/>
    </row>
    <row r="187" spans="1:13">
      <c r="A187" s="16">
        <v>15.6</v>
      </c>
      <c r="B187" s="17">
        <v>106.8308</v>
      </c>
      <c r="C187" s="17">
        <f t="shared" si="5"/>
        <v>606.83079999999995</v>
      </c>
      <c r="D187" s="17">
        <f t="shared" si="6"/>
        <v>3.9726063227440442E-3</v>
      </c>
      <c r="E187" s="17"/>
      <c r="F187" s="17"/>
      <c r="G187" s="17"/>
      <c r="H187" s="17"/>
      <c r="I187" s="17"/>
      <c r="J187" s="31"/>
      <c r="K187" s="17"/>
      <c r="L187" s="17"/>
      <c r="M187" s="31"/>
    </row>
    <row r="188" spans="1:13">
      <c r="A188" s="16">
        <v>15.7</v>
      </c>
      <c r="B188" s="17">
        <v>105.91388999999999</v>
      </c>
      <c r="C188" s="17">
        <f t="shared" si="5"/>
        <v>605.91389000000004</v>
      </c>
      <c r="D188" s="17">
        <f t="shared" si="6"/>
        <v>3.9666037888196172E-3</v>
      </c>
      <c r="E188" s="17"/>
      <c r="F188" s="17"/>
      <c r="G188" s="17"/>
      <c r="H188" s="17"/>
      <c r="I188" s="17"/>
      <c r="J188" s="31"/>
      <c r="K188" s="17"/>
      <c r="L188" s="17"/>
      <c r="M188" s="31"/>
    </row>
    <row r="189" spans="1:13">
      <c r="A189" s="16">
        <v>15.8</v>
      </c>
      <c r="B189" s="17">
        <v>105.01105</v>
      </c>
      <c r="C189" s="17">
        <f t="shared" si="5"/>
        <v>605.01104999999995</v>
      </c>
      <c r="D189" s="17">
        <f t="shared" si="6"/>
        <v>3.9606933638833318E-3</v>
      </c>
      <c r="E189" s="17"/>
      <c r="F189" s="17"/>
      <c r="G189" s="17"/>
      <c r="H189" s="17"/>
      <c r="I189" s="17"/>
      <c r="J189" s="31"/>
      <c r="K189" s="17"/>
      <c r="L189" s="17"/>
      <c r="M189" s="31"/>
    </row>
    <row r="190" spans="1:13">
      <c r="A190" s="16">
        <v>15.9</v>
      </c>
      <c r="B190" s="17">
        <v>104.12197</v>
      </c>
      <c r="C190" s="17">
        <f t="shared" si="5"/>
        <v>604.12197000000003</v>
      </c>
      <c r="D190" s="17">
        <f t="shared" si="6"/>
        <v>3.9548730185260672E-3</v>
      </c>
      <c r="E190" s="17"/>
      <c r="F190" s="17"/>
      <c r="G190" s="17"/>
      <c r="H190" s="17"/>
      <c r="I190" s="17"/>
      <c r="J190" s="31"/>
      <c r="K190" s="17"/>
      <c r="L190" s="17"/>
      <c r="M190" s="31"/>
    </row>
    <row r="191" spans="1:13">
      <c r="A191" s="16">
        <v>16</v>
      </c>
      <c r="B191" s="17">
        <v>103.24632</v>
      </c>
      <c r="C191" s="17">
        <f t="shared" si="5"/>
        <v>603.24631999999997</v>
      </c>
      <c r="D191" s="17">
        <f t="shared" si="6"/>
        <v>3.9491405924090821E-3</v>
      </c>
      <c r="E191" s="17"/>
      <c r="F191" s="17"/>
      <c r="G191" s="17"/>
      <c r="H191" s="17"/>
      <c r="I191" s="17"/>
      <c r="J191" s="31"/>
      <c r="K191" s="17"/>
      <c r="L191" s="17"/>
      <c r="M191" s="31"/>
    </row>
    <row r="192" spans="1:13">
      <c r="A192" s="16">
        <v>16.100000000000001</v>
      </c>
      <c r="B192" s="17">
        <v>102.38382</v>
      </c>
      <c r="C192" s="17">
        <f t="shared" si="5"/>
        <v>602.38382000000001</v>
      </c>
      <c r="D192" s="17">
        <f t="shared" si="6"/>
        <v>3.9434942525176887E-3</v>
      </c>
      <c r="E192" s="17"/>
      <c r="F192" s="17"/>
      <c r="G192" s="17"/>
      <c r="H192" s="17"/>
      <c r="I192" s="17"/>
      <c r="J192" s="31"/>
      <c r="K192" s="17"/>
      <c r="L192" s="17"/>
      <c r="M192" s="31"/>
    </row>
    <row r="193" spans="1:13">
      <c r="A193" s="16">
        <v>16.2</v>
      </c>
      <c r="B193" s="17">
        <v>101.53416</v>
      </c>
      <c r="C193" s="17">
        <f t="shared" si="5"/>
        <v>601.53416000000004</v>
      </c>
      <c r="D193" s="17">
        <f t="shared" si="6"/>
        <v>3.9379319694427635E-3</v>
      </c>
      <c r="E193" s="17"/>
      <c r="F193" s="17"/>
      <c r="G193" s="17"/>
      <c r="H193" s="17"/>
      <c r="I193" s="17"/>
      <c r="J193" s="31"/>
      <c r="K193" s="17"/>
      <c r="L193" s="17"/>
      <c r="M193" s="31"/>
    </row>
    <row r="194" spans="1:13">
      <c r="A194" s="16">
        <v>16.3</v>
      </c>
      <c r="B194" s="17">
        <v>100.69707</v>
      </c>
      <c r="C194" s="17">
        <f t="shared" si="5"/>
        <v>600.69706999999994</v>
      </c>
      <c r="D194" s="17">
        <f t="shared" si="6"/>
        <v>3.93245197563443E-3</v>
      </c>
      <c r="E194" s="17"/>
      <c r="F194" s="17"/>
      <c r="G194" s="17"/>
      <c r="H194" s="17"/>
      <c r="I194" s="17"/>
      <c r="J194" s="31"/>
      <c r="K194" s="17"/>
      <c r="L194" s="17"/>
      <c r="M194" s="31"/>
    </row>
    <row r="195" spans="1:13">
      <c r="A195" s="16">
        <v>16.399999999999999</v>
      </c>
      <c r="B195" s="17">
        <v>99.872264000000001</v>
      </c>
      <c r="C195" s="17">
        <f t="shared" si="5"/>
        <v>599.87226399999997</v>
      </c>
      <c r="D195" s="17">
        <f t="shared" si="6"/>
        <v>3.927052398799113E-3</v>
      </c>
      <c r="E195" s="17"/>
      <c r="F195" s="17"/>
      <c r="G195" s="17"/>
      <c r="H195" s="17"/>
      <c r="I195" s="17"/>
      <c r="J195" s="31"/>
      <c r="K195" s="17"/>
      <c r="L195" s="17"/>
      <c r="M195" s="31"/>
    </row>
    <row r="196" spans="1:13">
      <c r="A196" s="16">
        <v>16.5</v>
      </c>
      <c r="B196" s="17">
        <v>99.059481000000005</v>
      </c>
      <c r="C196" s="17">
        <f t="shared" si="5"/>
        <v>599.05948100000001</v>
      </c>
      <c r="D196" s="17">
        <f t="shared" si="6"/>
        <v>3.921731530305261E-3</v>
      </c>
      <c r="E196" s="17"/>
      <c r="F196" s="17"/>
      <c r="G196" s="17"/>
      <c r="H196" s="17"/>
      <c r="I196" s="17"/>
      <c r="J196" s="31"/>
      <c r="K196" s="17"/>
      <c r="L196" s="17"/>
      <c r="M196" s="31"/>
    </row>
    <row r="197" spans="1:13">
      <c r="A197" s="16">
        <v>16.600000000000001</v>
      </c>
      <c r="B197" s="17">
        <v>98.258459999999999</v>
      </c>
      <c r="C197" s="17">
        <f t="shared" si="5"/>
        <v>598.25846000000001</v>
      </c>
      <c r="D197" s="17">
        <f t="shared" si="6"/>
        <v>3.9164876615213262E-3</v>
      </c>
      <c r="E197" s="17"/>
      <c r="F197" s="17"/>
      <c r="G197" s="17"/>
      <c r="H197" s="17"/>
      <c r="I197" s="17"/>
      <c r="J197" s="31"/>
      <c r="K197" s="17"/>
      <c r="L197" s="17"/>
      <c r="M197" s="31"/>
    </row>
    <row r="198" spans="1:13">
      <c r="A198" s="16">
        <v>16.7</v>
      </c>
      <c r="B198" s="17">
        <v>97.468947</v>
      </c>
      <c r="C198" s="17">
        <f t="shared" si="5"/>
        <v>597.46894699999996</v>
      </c>
      <c r="D198" s="17">
        <f t="shared" si="6"/>
        <v>3.9113191296411233E-3</v>
      </c>
      <c r="E198" s="17"/>
      <c r="F198" s="17"/>
      <c r="G198" s="17"/>
      <c r="H198" s="17"/>
      <c r="I198" s="17"/>
      <c r="J198" s="31"/>
      <c r="K198" s="17"/>
      <c r="L198" s="17"/>
      <c r="M198" s="31"/>
    </row>
    <row r="199" spans="1:13">
      <c r="A199" s="16">
        <v>16.8</v>
      </c>
      <c r="B199" s="17">
        <v>96.690695000000005</v>
      </c>
      <c r="C199" s="17">
        <f t="shared" si="5"/>
        <v>596.69069500000001</v>
      </c>
      <c r="D199" s="17">
        <f t="shared" si="6"/>
        <v>3.9062243176838395E-3</v>
      </c>
      <c r="E199" s="17"/>
      <c r="F199" s="17"/>
      <c r="G199" s="17"/>
      <c r="H199" s="17"/>
      <c r="I199" s="17"/>
      <c r="J199" s="31"/>
      <c r="K199" s="17"/>
      <c r="L199" s="17"/>
      <c r="M199" s="31"/>
    </row>
    <row r="200" spans="1:13">
      <c r="A200" s="16">
        <v>16.899999999999999</v>
      </c>
      <c r="B200" s="17">
        <v>95.923468999999997</v>
      </c>
      <c r="C200" s="17">
        <f t="shared" si="5"/>
        <v>595.92346899999995</v>
      </c>
      <c r="D200" s="17">
        <f t="shared" si="6"/>
        <v>3.9012016872264311E-3</v>
      </c>
      <c r="E200" s="17"/>
      <c r="F200" s="17"/>
      <c r="G200" s="17"/>
      <c r="H200" s="17"/>
      <c r="I200" s="17"/>
      <c r="J200" s="31"/>
      <c r="K200" s="17"/>
      <c r="L200" s="17"/>
      <c r="M200" s="31"/>
    </row>
    <row r="201" spans="1:13">
      <c r="A201" s="16">
        <v>17</v>
      </c>
      <c r="B201" s="17">
        <v>95.167033000000004</v>
      </c>
      <c r="C201" s="17">
        <f t="shared" si="5"/>
        <v>595.16703299999995</v>
      </c>
      <c r="D201" s="17">
        <f t="shared" si="6"/>
        <v>3.8962496932993737E-3</v>
      </c>
      <c r="E201" s="17"/>
      <c r="F201" s="17"/>
      <c r="G201" s="17"/>
      <c r="H201" s="17"/>
      <c r="I201" s="17"/>
      <c r="J201" s="31"/>
      <c r="K201" s="17"/>
      <c r="L201" s="17"/>
      <c r="M201" s="31"/>
    </row>
    <row r="202" spans="1:13">
      <c r="A202" s="16">
        <v>17.100000000000001</v>
      </c>
      <c r="B202" s="17">
        <v>94.421164000000005</v>
      </c>
      <c r="C202" s="17">
        <f t="shared" si="5"/>
        <v>594.42116399999998</v>
      </c>
      <c r="D202" s="17">
        <f t="shared" si="6"/>
        <v>3.8913668760373978E-3</v>
      </c>
      <c r="E202" s="17"/>
      <c r="F202" s="17"/>
      <c r="G202" s="17"/>
      <c r="H202" s="17"/>
      <c r="I202" s="17"/>
      <c r="J202" s="31"/>
      <c r="K202" s="17"/>
      <c r="L202" s="17"/>
      <c r="M202" s="31"/>
    </row>
    <row r="203" spans="1:13">
      <c r="A203" s="16">
        <v>17.2</v>
      </c>
      <c r="B203" s="17">
        <v>93.685642000000001</v>
      </c>
      <c r="C203" s="17">
        <f t="shared" si="5"/>
        <v>593.68564200000003</v>
      </c>
      <c r="D203" s="17">
        <f t="shared" si="6"/>
        <v>3.8865517952146752E-3</v>
      </c>
      <c r="E203" s="17"/>
      <c r="F203" s="17"/>
      <c r="G203" s="17"/>
      <c r="H203" s="17"/>
      <c r="I203" s="17"/>
      <c r="J203" s="31"/>
      <c r="K203" s="17"/>
      <c r="L203" s="17"/>
      <c r="M203" s="31"/>
    </row>
    <row r="204" spans="1:13">
      <c r="A204" s="16">
        <v>17.3</v>
      </c>
      <c r="B204" s="17">
        <v>92.960251</v>
      </c>
      <c r="C204" s="17">
        <f t="shared" si="5"/>
        <v>592.96025099999997</v>
      </c>
      <c r="D204" s="17">
        <f t="shared" si="6"/>
        <v>3.8818030367913027E-3</v>
      </c>
      <c r="E204" s="17"/>
      <c r="F204" s="17"/>
      <c r="G204" s="17"/>
      <c r="H204" s="17"/>
      <c r="I204" s="17"/>
      <c r="J204" s="31"/>
      <c r="K204" s="17"/>
      <c r="L204" s="17"/>
      <c r="M204" s="31"/>
    </row>
    <row r="205" spans="1:13">
      <c r="A205" s="16">
        <v>17.399999999999999</v>
      </c>
      <c r="B205" s="17">
        <v>92.244788999999997</v>
      </c>
      <c r="C205" s="17">
        <f t="shared" si="5"/>
        <v>592.24478899999997</v>
      </c>
      <c r="D205" s="17">
        <f t="shared" si="6"/>
        <v>3.8771192783781127E-3</v>
      </c>
      <c r="E205" s="17"/>
      <c r="F205" s="17"/>
      <c r="G205" s="17"/>
      <c r="H205" s="17"/>
      <c r="I205" s="17"/>
      <c r="J205" s="31"/>
      <c r="K205" s="17"/>
      <c r="L205" s="17"/>
      <c r="M205" s="31"/>
    </row>
    <row r="206" spans="1:13">
      <c r="A206" s="16">
        <v>17.5</v>
      </c>
      <c r="B206" s="17">
        <v>91.539045999999999</v>
      </c>
      <c r="C206" s="17">
        <f t="shared" si="5"/>
        <v>591.53904599999998</v>
      </c>
      <c r="D206" s="17">
        <f t="shared" si="6"/>
        <v>3.8724991452140866E-3</v>
      </c>
      <c r="E206" s="17"/>
      <c r="F206" s="17"/>
      <c r="G206" s="17"/>
      <c r="H206" s="17"/>
      <c r="I206" s="17"/>
      <c r="J206" s="31"/>
      <c r="K206" s="17"/>
      <c r="L206" s="17"/>
      <c r="M206" s="31"/>
    </row>
    <row r="207" spans="1:13">
      <c r="A207" s="16">
        <v>17.600000000000001</v>
      </c>
      <c r="B207" s="17">
        <v>90.842830000000006</v>
      </c>
      <c r="C207" s="17">
        <f t="shared" si="5"/>
        <v>590.84283000000005</v>
      </c>
      <c r="D207" s="17">
        <f t="shared" si="6"/>
        <v>3.8679413803748668E-3</v>
      </c>
      <c r="E207" s="17"/>
      <c r="F207" s="17"/>
      <c r="G207" s="17"/>
      <c r="H207" s="17"/>
      <c r="I207" s="17"/>
      <c r="J207" s="31"/>
      <c r="K207" s="17"/>
      <c r="L207" s="17"/>
      <c r="M207" s="31"/>
    </row>
    <row r="208" spans="1:13">
      <c r="A208" s="16">
        <v>17.7</v>
      </c>
      <c r="B208" s="17">
        <v>90.155949000000007</v>
      </c>
      <c r="C208" s="17">
        <f t="shared" si="5"/>
        <v>590.15594899999996</v>
      </c>
      <c r="D208" s="17">
        <f t="shared" si="6"/>
        <v>3.8634447269360953E-3</v>
      </c>
      <c r="E208" s="17"/>
      <c r="F208" s="17"/>
      <c r="G208" s="17"/>
      <c r="H208" s="17"/>
      <c r="I208" s="17"/>
      <c r="J208" s="31"/>
      <c r="K208" s="17"/>
      <c r="L208" s="17"/>
      <c r="M208" s="31"/>
    </row>
    <row r="209" spans="1:13">
      <c r="A209" s="16">
        <v>17.8</v>
      </c>
      <c r="B209" s="17">
        <v>89.478215000000006</v>
      </c>
      <c r="C209" s="17">
        <f t="shared" si="5"/>
        <v>589.47821499999998</v>
      </c>
      <c r="D209" s="17">
        <f t="shared" si="6"/>
        <v>3.8590079541593364E-3</v>
      </c>
      <c r="E209" s="17"/>
      <c r="F209" s="17"/>
      <c r="G209" s="17"/>
      <c r="H209" s="17"/>
      <c r="I209" s="17"/>
      <c r="J209" s="31"/>
      <c r="K209" s="17"/>
      <c r="L209" s="17"/>
      <c r="M209" s="31"/>
    </row>
    <row r="210" spans="1:13">
      <c r="A210" s="16">
        <v>17.899999999999999</v>
      </c>
      <c r="B210" s="17">
        <v>88.809447000000006</v>
      </c>
      <c r="C210" s="17">
        <f t="shared" si="5"/>
        <v>588.80944699999998</v>
      </c>
      <c r="D210" s="17">
        <f t="shared" si="6"/>
        <v>3.8546298771315241E-3</v>
      </c>
      <c r="E210" s="17"/>
      <c r="F210" s="17"/>
      <c r="G210" s="17"/>
      <c r="H210" s="17"/>
      <c r="I210" s="17"/>
      <c r="J210" s="31"/>
      <c r="K210" s="17"/>
      <c r="L210" s="17"/>
      <c r="M210" s="31"/>
    </row>
    <row r="211" spans="1:13">
      <c r="A211" s="16">
        <v>18</v>
      </c>
      <c r="B211" s="17">
        <v>88.149469999999994</v>
      </c>
      <c r="C211" s="17">
        <f t="shared" si="5"/>
        <v>588.14946999999995</v>
      </c>
      <c r="D211" s="17">
        <f t="shared" si="6"/>
        <v>3.8503093502184772E-3</v>
      </c>
      <c r="E211" s="17"/>
      <c r="F211" s="17"/>
      <c r="G211" s="17"/>
      <c r="H211" s="17"/>
      <c r="I211" s="17"/>
      <c r="J211" s="31"/>
      <c r="K211" s="17"/>
      <c r="L211" s="17"/>
      <c r="M211" s="31"/>
    </row>
    <row r="212" spans="1:13">
      <c r="A212" s="16">
        <v>18.100000000000001</v>
      </c>
      <c r="B212" s="17">
        <v>87.498108000000002</v>
      </c>
      <c r="C212" s="17">
        <f t="shared" si="5"/>
        <v>587.498108</v>
      </c>
      <c r="D212" s="17">
        <f t="shared" si="6"/>
        <v>3.8460452212395338E-3</v>
      </c>
      <c r="E212" s="17"/>
      <c r="F212" s="17"/>
      <c r="G212" s="17"/>
      <c r="H212" s="17"/>
      <c r="I212" s="17"/>
      <c r="J212" s="31"/>
      <c r="K212" s="17"/>
      <c r="L212" s="17"/>
      <c r="M212" s="31"/>
    </row>
    <row r="213" spans="1:13">
      <c r="A213" s="16">
        <v>18.2</v>
      </c>
      <c r="B213" s="17">
        <v>86.855196000000007</v>
      </c>
      <c r="C213" s="17">
        <f t="shared" si="5"/>
        <v>586.85519599999998</v>
      </c>
      <c r="D213" s="17">
        <f t="shared" si="6"/>
        <v>3.8418364100253244E-3</v>
      </c>
      <c r="E213" s="17"/>
      <c r="F213" s="17"/>
      <c r="G213" s="17"/>
      <c r="H213" s="17"/>
      <c r="I213" s="17"/>
      <c r="J213" s="31"/>
      <c r="K213" s="17"/>
      <c r="L213" s="17"/>
      <c r="M213" s="31"/>
    </row>
    <row r="214" spans="1:13">
      <c r="A214" s="16">
        <v>18.3</v>
      </c>
      <c r="B214" s="17">
        <v>86.220566000000005</v>
      </c>
      <c r="C214" s="17">
        <f t="shared" si="5"/>
        <v>586.22056599999996</v>
      </c>
      <c r="D214" s="17">
        <f t="shared" si="6"/>
        <v>3.8376818167670341E-3</v>
      </c>
      <c r="E214" s="17"/>
      <c r="F214" s="17"/>
      <c r="G214" s="17"/>
      <c r="H214" s="17"/>
      <c r="I214" s="17"/>
      <c r="J214" s="31"/>
      <c r="K214" s="17"/>
      <c r="L214" s="17"/>
      <c r="M214" s="31"/>
    </row>
    <row r="215" spans="1:13">
      <c r="A215" s="16">
        <v>18.399999999999999</v>
      </c>
      <c r="B215" s="17">
        <v>85.594064000000003</v>
      </c>
      <c r="C215" s="17">
        <f t="shared" si="5"/>
        <v>585.594064</v>
      </c>
      <c r="D215" s="17">
        <f t="shared" si="6"/>
        <v>3.8335804333065838E-3</v>
      </c>
      <c r="E215" s="17"/>
      <c r="F215" s="17"/>
      <c r="G215" s="17"/>
      <c r="H215" s="17"/>
      <c r="I215" s="17"/>
      <c r="J215" s="31"/>
      <c r="K215" s="17"/>
      <c r="L215" s="17"/>
      <c r="M215" s="31"/>
    </row>
    <row r="216" spans="1:13">
      <c r="A216" s="16">
        <v>18.5</v>
      </c>
      <c r="B216" s="17">
        <v>84.975531000000004</v>
      </c>
      <c r="C216" s="17">
        <f t="shared" si="5"/>
        <v>584.97553100000005</v>
      </c>
      <c r="D216" s="17">
        <f t="shared" si="6"/>
        <v>3.829531218753489E-3</v>
      </c>
      <c r="E216" s="17"/>
      <c r="F216" s="17"/>
      <c r="G216" s="17"/>
      <c r="H216" s="17"/>
      <c r="I216" s="17"/>
      <c r="J216" s="31"/>
      <c r="K216" s="17"/>
      <c r="L216" s="17"/>
      <c r="M216" s="31"/>
    </row>
    <row r="217" spans="1:13">
      <c r="A217" s="16">
        <v>18.600000000000001</v>
      </c>
      <c r="B217" s="17">
        <v>84.364816000000005</v>
      </c>
      <c r="C217" s="17">
        <f t="shared" si="5"/>
        <v>584.36481600000002</v>
      </c>
      <c r="D217" s="17">
        <f t="shared" si="6"/>
        <v>3.8255331845891151E-3</v>
      </c>
      <c r="E217" s="17"/>
      <c r="F217" s="17"/>
      <c r="G217" s="17"/>
      <c r="H217" s="17"/>
      <c r="I217" s="17"/>
      <c r="J217" s="31"/>
      <c r="K217" s="17"/>
      <c r="L217" s="17"/>
      <c r="M217" s="31"/>
    </row>
    <row r="218" spans="1:13">
      <c r="A218" s="16">
        <v>18.7</v>
      </c>
      <c r="B218" s="17">
        <v>83.761773000000005</v>
      </c>
      <c r="C218" s="17">
        <f t="shared" si="5"/>
        <v>583.76177299999995</v>
      </c>
      <c r="D218" s="17">
        <f t="shared" si="6"/>
        <v>3.8215853750272295E-3</v>
      </c>
      <c r="E218" s="17"/>
      <c r="F218" s="17"/>
      <c r="G218" s="17"/>
      <c r="H218" s="17"/>
      <c r="I218" s="17"/>
      <c r="J218" s="31"/>
      <c r="K218" s="17"/>
      <c r="L218" s="17"/>
      <c r="M218" s="31"/>
    </row>
    <row r="219" spans="1:13">
      <c r="A219" s="16">
        <v>18.8</v>
      </c>
      <c r="B219" s="17">
        <v>83.166252999999998</v>
      </c>
      <c r="C219" s="17">
        <f t="shared" si="5"/>
        <v>583.16625299999998</v>
      </c>
      <c r="D219" s="17">
        <f t="shared" si="6"/>
        <v>3.8176868146421591E-3</v>
      </c>
      <c r="E219" s="17"/>
      <c r="F219" s="17"/>
      <c r="G219" s="17"/>
      <c r="H219" s="17"/>
      <c r="I219" s="17"/>
      <c r="J219" s="31"/>
      <c r="K219" s="17"/>
      <c r="L219" s="17"/>
      <c r="M219" s="31"/>
    </row>
    <row r="220" spans="1:13">
      <c r="A220" s="16">
        <v>18.899999999999999</v>
      </c>
      <c r="B220" s="17">
        <v>82.578120999999996</v>
      </c>
      <c r="C220" s="17">
        <f t="shared" si="5"/>
        <v>582.57812100000001</v>
      </c>
      <c r="D220" s="17">
        <f t="shared" si="6"/>
        <v>3.8138366196589649E-3</v>
      </c>
      <c r="E220" s="17"/>
      <c r="F220" s="17"/>
      <c r="G220" s="17"/>
      <c r="H220" s="17"/>
      <c r="I220" s="17"/>
      <c r="J220" s="31"/>
      <c r="K220" s="17"/>
      <c r="L220" s="17"/>
      <c r="M220" s="31"/>
    </row>
    <row r="221" spans="1:13">
      <c r="A221" s="16">
        <v>19</v>
      </c>
      <c r="B221" s="17">
        <v>81.997236999999998</v>
      </c>
      <c r="C221" s="17">
        <f t="shared" si="5"/>
        <v>581.99723700000004</v>
      </c>
      <c r="D221" s="17">
        <f t="shared" si="6"/>
        <v>3.8100338735702999E-3</v>
      </c>
      <c r="E221" s="17"/>
      <c r="F221" s="17"/>
      <c r="G221" s="17"/>
      <c r="H221" s="17"/>
      <c r="I221" s="17"/>
      <c r="J221" s="31"/>
      <c r="K221" s="17"/>
      <c r="L221" s="17"/>
      <c r="M221" s="31"/>
    </row>
    <row r="222" spans="1:13">
      <c r="A222" s="16">
        <v>19.100000000000001</v>
      </c>
      <c r="B222" s="17">
        <v>81.423468</v>
      </c>
      <c r="C222" s="17">
        <f t="shared" si="5"/>
        <v>581.42346799999996</v>
      </c>
      <c r="D222" s="17">
        <f t="shared" si="6"/>
        <v>3.8062777056941904E-3</v>
      </c>
      <c r="E222" s="17"/>
      <c r="F222" s="17"/>
      <c r="G222" s="17"/>
      <c r="H222" s="17"/>
      <c r="I222" s="17"/>
      <c r="J222" s="31"/>
      <c r="K222" s="17"/>
      <c r="L222" s="17"/>
      <c r="M222" s="31"/>
    </row>
    <row r="223" spans="1:13">
      <c r="A223" s="16">
        <v>19.2</v>
      </c>
      <c r="B223" s="17">
        <v>80.296756000000002</v>
      </c>
      <c r="C223" s="17">
        <f t="shared" si="5"/>
        <v>580.29675599999996</v>
      </c>
      <c r="D223" s="17">
        <f t="shared" si="6"/>
        <v>3.7989017069559724E-3</v>
      </c>
      <c r="E223" s="17"/>
      <c r="F223" s="17"/>
      <c r="G223" s="17"/>
      <c r="H223" s="17"/>
      <c r="I223" s="17"/>
      <c r="J223" s="31"/>
      <c r="K223" s="17"/>
      <c r="L223" s="17"/>
      <c r="M223" s="31"/>
    </row>
    <row r="224" spans="1:13">
      <c r="A224" s="16">
        <v>19.3</v>
      </c>
      <c r="B224" s="17">
        <v>79.743559000000005</v>
      </c>
      <c r="C224" s="17">
        <f t="shared" si="5"/>
        <v>579.743559</v>
      </c>
      <c r="D224" s="17">
        <f t="shared" si="6"/>
        <v>3.7952802132876829E-3</v>
      </c>
      <c r="E224" s="17"/>
      <c r="F224" s="17"/>
      <c r="G224" s="17"/>
      <c r="H224" s="17"/>
      <c r="I224" s="17"/>
      <c r="J224" s="31"/>
      <c r="K224" s="17"/>
      <c r="L224" s="17"/>
      <c r="M224" s="31"/>
    </row>
    <row r="225" spans="1:13">
      <c r="A225" s="16">
        <v>19.399999999999999</v>
      </c>
      <c r="B225" s="17">
        <v>79.196974999999995</v>
      </c>
      <c r="C225" s="17">
        <f t="shared" si="5"/>
        <v>579.19697499999995</v>
      </c>
      <c r="D225" s="17">
        <f t="shared" si="6"/>
        <v>3.7917020114984681E-3</v>
      </c>
      <c r="E225" s="17"/>
      <c r="F225" s="17"/>
      <c r="G225" s="17"/>
      <c r="H225" s="17"/>
      <c r="I225" s="17"/>
      <c r="J225" s="31"/>
      <c r="K225" s="17"/>
      <c r="L225" s="17"/>
      <c r="M225" s="31"/>
    </row>
    <row r="226" spans="1:13">
      <c r="A226" s="16">
        <v>19.5</v>
      </c>
      <c r="B226" s="17">
        <v>78.656880000000001</v>
      </c>
      <c r="C226" s="17">
        <f t="shared" si="5"/>
        <v>578.65688</v>
      </c>
      <c r="D226" s="17">
        <f t="shared" si="6"/>
        <v>3.7881662898246798E-3</v>
      </c>
      <c r="E226" s="17"/>
      <c r="F226" s="17"/>
      <c r="G226" s="17"/>
      <c r="H226" s="17"/>
      <c r="I226" s="17"/>
      <c r="J226" s="31"/>
      <c r="K226" s="17"/>
      <c r="L226" s="17"/>
      <c r="M226" s="31"/>
    </row>
    <row r="227" spans="1:13">
      <c r="A227" s="16">
        <v>19.600000000000001</v>
      </c>
      <c r="B227" s="17">
        <v>78.123165</v>
      </c>
      <c r="C227" s="17">
        <f t="shared" si="5"/>
        <v>578.12316499999997</v>
      </c>
      <c r="D227" s="17">
        <f t="shared" si="6"/>
        <v>3.7846723346998848E-3</v>
      </c>
      <c r="E227" s="17"/>
      <c r="F227" s="17"/>
      <c r="G227" s="17"/>
      <c r="H227" s="17"/>
      <c r="I227" s="17"/>
      <c r="J227" s="31"/>
      <c r="K227" s="17"/>
      <c r="L227" s="17"/>
      <c r="M227" s="31"/>
    </row>
    <row r="228" spans="1:13">
      <c r="A228" s="16">
        <v>19.7</v>
      </c>
      <c r="B228" s="17">
        <v>77.595713000000003</v>
      </c>
      <c r="C228" s="17">
        <f t="shared" si="5"/>
        <v>577.59571300000005</v>
      </c>
      <c r="D228" s="17">
        <f t="shared" si="6"/>
        <v>3.7812193801858023E-3</v>
      </c>
      <c r="E228" s="17"/>
      <c r="F228" s="17"/>
      <c r="G228" s="17"/>
      <c r="H228" s="17"/>
      <c r="I228" s="17"/>
      <c r="J228" s="31"/>
      <c r="K228" s="17"/>
      <c r="L228" s="17"/>
      <c r="M228" s="31"/>
    </row>
    <row r="229" spans="1:13">
      <c r="A229" s="16">
        <v>19.8</v>
      </c>
      <c r="B229" s="17">
        <v>77.074410999999998</v>
      </c>
      <c r="C229" s="17">
        <f t="shared" si="5"/>
        <v>577.07441100000005</v>
      </c>
      <c r="D229" s="17">
        <f t="shared" si="6"/>
        <v>3.777806686530077E-3</v>
      </c>
      <c r="E229" s="17"/>
      <c r="F229" s="17"/>
      <c r="G229" s="17"/>
      <c r="H229" s="17"/>
      <c r="I229" s="17"/>
      <c r="J229" s="31"/>
      <c r="K229" s="17"/>
      <c r="L229" s="17"/>
      <c r="M229" s="31"/>
    </row>
    <row r="230" spans="1:13">
      <c r="A230" s="16">
        <v>19.899999999999999</v>
      </c>
      <c r="B230" s="17">
        <v>76.559158999999994</v>
      </c>
      <c r="C230" s="17">
        <f t="shared" si="5"/>
        <v>576.55915900000002</v>
      </c>
      <c r="D230" s="17">
        <f t="shared" si="6"/>
        <v>3.7744335990846029E-3</v>
      </c>
      <c r="E230" s="17"/>
      <c r="F230" s="17"/>
      <c r="G230" s="17"/>
      <c r="H230" s="17"/>
      <c r="I230" s="17"/>
      <c r="J230" s="31"/>
      <c r="K230" s="17"/>
      <c r="L230" s="17"/>
      <c r="M230" s="31"/>
    </row>
    <row r="231" spans="1:13">
      <c r="A231" s="16">
        <v>20</v>
      </c>
      <c r="B231" s="17">
        <v>76.049841999999998</v>
      </c>
      <c r="C231" s="17">
        <f t="shared" si="5"/>
        <v>576.04984200000001</v>
      </c>
      <c r="D231" s="17">
        <f t="shared" si="6"/>
        <v>3.7710993650040643E-3</v>
      </c>
      <c r="E231" s="17"/>
      <c r="F231" s="17"/>
      <c r="G231" s="17"/>
      <c r="H231" s="17"/>
      <c r="I231" s="17"/>
      <c r="J231" s="31"/>
      <c r="K231" s="17"/>
      <c r="L231" s="17"/>
      <c r="M231" s="31"/>
    </row>
    <row r="232" spans="1:13">
      <c r="A232" s="16">
        <v>20.100000000000001</v>
      </c>
      <c r="B232" s="17">
        <v>75.546364999999994</v>
      </c>
      <c r="C232" s="17">
        <f t="shared" si="5"/>
        <v>575.54636500000004</v>
      </c>
      <c r="D232" s="17">
        <f t="shared" si="6"/>
        <v>3.7678033623727604E-3</v>
      </c>
      <c r="E232" s="17"/>
      <c r="F232" s="17"/>
      <c r="G232" s="17"/>
      <c r="H232" s="17"/>
      <c r="I232" s="17"/>
      <c r="J232" s="31"/>
      <c r="K232" s="17"/>
      <c r="L232" s="17"/>
      <c r="M232" s="31"/>
    </row>
    <row r="233" spans="1:13">
      <c r="A233" s="16">
        <v>20.2</v>
      </c>
      <c r="B233" s="17">
        <v>75.048623000000006</v>
      </c>
      <c r="C233" s="17">
        <f t="shared" si="5"/>
        <v>575.04862300000002</v>
      </c>
      <c r="D233" s="17">
        <f t="shared" si="6"/>
        <v>3.7645449038101837E-3</v>
      </c>
      <c r="E233" s="17"/>
      <c r="F233" s="17"/>
      <c r="G233" s="17"/>
      <c r="H233" s="17"/>
      <c r="I233" s="17"/>
      <c r="J233" s="31"/>
      <c r="K233" s="17"/>
      <c r="L233" s="17"/>
      <c r="M233" s="31"/>
    </row>
    <row r="234" spans="1:13">
      <c r="A234" s="16">
        <v>20.3</v>
      </c>
      <c r="B234" s="17">
        <v>74.556517999999997</v>
      </c>
      <c r="C234" s="17">
        <f t="shared" si="5"/>
        <v>574.55651799999998</v>
      </c>
      <c r="D234" s="17">
        <f t="shared" si="6"/>
        <v>3.7613233477611927E-3</v>
      </c>
      <c r="E234" s="17"/>
      <c r="F234" s="17"/>
      <c r="G234" s="17"/>
      <c r="H234" s="17"/>
      <c r="I234" s="17"/>
      <c r="J234" s="31"/>
      <c r="K234" s="17"/>
      <c r="L234" s="17"/>
      <c r="M234" s="31"/>
    </row>
    <row r="235" spans="1:13">
      <c r="A235" s="16">
        <v>20.399999999999999</v>
      </c>
      <c r="B235" s="17">
        <v>74.069956000000005</v>
      </c>
      <c r="C235" s="17">
        <f t="shared" si="5"/>
        <v>574.06995600000005</v>
      </c>
      <c r="D235" s="17">
        <f t="shared" si="6"/>
        <v>3.7581380788565704E-3</v>
      </c>
      <c r="E235" s="17"/>
      <c r="F235" s="17"/>
      <c r="G235" s="17"/>
      <c r="H235" s="17"/>
      <c r="I235" s="17"/>
      <c r="J235" s="31"/>
      <c r="K235" s="17"/>
      <c r="L235" s="17"/>
      <c r="M235" s="31"/>
    </row>
    <row r="236" spans="1:13">
      <c r="A236" s="16">
        <v>20.5</v>
      </c>
      <c r="B236" s="17">
        <v>73.588842999999997</v>
      </c>
      <c r="C236" s="17">
        <f t="shared" ref="C236:C299" si="7">B236+$C$26</f>
        <v>573.588843</v>
      </c>
      <c r="D236" s="17">
        <f t="shared" ref="D236:D299" si="8">C236*1000000/(4*PI())*$C$13*RADIANS($C$20)*RADIANS($C$21)</f>
        <v>3.7549884817270995E-3</v>
      </c>
      <c r="E236" s="17"/>
      <c r="F236" s="17"/>
      <c r="G236" s="17"/>
      <c r="H236" s="17"/>
      <c r="I236" s="17"/>
      <c r="J236" s="31"/>
      <c r="K236" s="17"/>
      <c r="L236" s="17"/>
      <c r="M236" s="31"/>
    </row>
    <row r="237" spans="1:13">
      <c r="A237" s="16">
        <v>20.6</v>
      </c>
      <c r="B237" s="17">
        <v>73.113083000000003</v>
      </c>
      <c r="C237" s="17">
        <f t="shared" si="7"/>
        <v>573.11308299999996</v>
      </c>
      <c r="D237" s="17">
        <f t="shared" si="8"/>
        <v>3.7518739279106018E-3</v>
      </c>
      <c r="E237" s="17"/>
      <c r="F237" s="17"/>
      <c r="G237" s="17"/>
      <c r="H237" s="17"/>
      <c r="I237" s="17"/>
      <c r="J237" s="31"/>
      <c r="K237" s="17"/>
      <c r="L237" s="17"/>
      <c r="M237" s="31"/>
    </row>
    <row r="238" spans="1:13">
      <c r="A238" s="16">
        <v>20.7</v>
      </c>
      <c r="B238" s="17">
        <v>72.642591999999993</v>
      </c>
      <c r="C238" s="17">
        <f t="shared" si="7"/>
        <v>572.64259200000004</v>
      </c>
      <c r="D238" s="17">
        <f t="shared" si="8"/>
        <v>3.7487938675026685E-3</v>
      </c>
      <c r="E238" s="17"/>
      <c r="F238" s="17"/>
      <c r="G238" s="17"/>
      <c r="H238" s="17"/>
      <c r="I238" s="17"/>
      <c r="J238" s="31"/>
      <c r="K238" s="17"/>
      <c r="L238" s="17"/>
      <c r="M238" s="31"/>
    </row>
    <row r="239" spans="1:13">
      <c r="A239" s="16">
        <v>20.8</v>
      </c>
      <c r="B239" s="17">
        <v>72.177277000000004</v>
      </c>
      <c r="C239" s="17">
        <f t="shared" si="7"/>
        <v>572.177277</v>
      </c>
      <c r="D239" s="17">
        <f t="shared" si="8"/>
        <v>3.745747691680565E-3</v>
      </c>
      <c r="E239" s="17"/>
      <c r="F239" s="17"/>
      <c r="G239" s="17"/>
      <c r="H239" s="17"/>
      <c r="I239" s="17"/>
      <c r="J239" s="31"/>
      <c r="K239" s="17"/>
      <c r="L239" s="17"/>
      <c r="M239" s="31"/>
    </row>
    <row r="240" spans="1:13">
      <c r="A240" s="16">
        <v>20.9</v>
      </c>
      <c r="B240" s="17">
        <v>71.717054000000005</v>
      </c>
      <c r="C240" s="17">
        <f t="shared" si="7"/>
        <v>571.71705399999996</v>
      </c>
      <c r="D240" s="17">
        <f t="shared" si="8"/>
        <v>3.7427348505398839E-3</v>
      </c>
      <c r="E240" s="17"/>
      <c r="F240" s="17"/>
      <c r="G240" s="17"/>
      <c r="H240" s="17"/>
      <c r="I240" s="17"/>
      <c r="J240" s="31"/>
      <c r="K240" s="17"/>
      <c r="L240" s="17"/>
      <c r="M240" s="31"/>
    </row>
    <row r="241" spans="1:13">
      <c r="A241" s="16">
        <v>21</v>
      </c>
      <c r="B241" s="17">
        <v>71.261840000000007</v>
      </c>
      <c r="C241" s="17">
        <f t="shared" si="7"/>
        <v>571.26184000000001</v>
      </c>
      <c r="D241" s="17">
        <f t="shared" si="8"/>
        <v>3.7397548007227E-3</v>
      </c>
      <c r="E241" s="17"/>
      <c r="F241" s="17"/>
      <c r="G241" s="17"/>
      <c r="H241" s="17"/>
      <c r="I241" s="17"/>
      <c r="J241" s="31"/>
      <c r="K241" s="17"/>
      <c r="L241" s="17"/>
      <c r="M241" s="31"/>
    </row>
    <row r="242" spans="1:13">
      <c r="A242" s="16">
        <v>21.1</v>
      </c>
      <c r="B242" s="17">
        <v>70.811554000000001</v>
      </c>
      <c r="C242" s="17">
        <f t="shared" si="7"/>
        <v>570.811554</v>
      </c>
      <c r="D242" s="17">
        <f t="shared" si="8"/>
        <v>3.73680701196405E-3</v>
      </c>
      <c r="E242" s="17"/>
      <c r="F242" s="17"/>
      <c r="G242" s="17"/>
      <c r="H242" s="17"/>
      <c r="I242" s="17"/>
      <c r="J242" s="31"/>
      <c r="K242" s="17"/>
      <c r="L242" s="17"/>
      <c r="M242" s="31"/>
    </row>
    <row r="243" spans="1:13">
      <c r="A243" s="16">
        <v>21.2</v>
      </c>
      <c r="B243" s="17">
        <v>70.366110000000006</v>
      </c>
      <c r="C243" s="17">
        <f t="shared" si="7"/>
        <v>570.36611000000005</v>
      </c>
      <c r="D243" s="17">
        <f t="shared" si="8"/>
        <v>3.7338909212665627E-3</v>
      </c>
      <c r="E243" s="17"/>
      <c r="F243" s="17"/>
      <c r="G243" s="17"/>
      <c r="H243" s="17"/>
      <c r="I243" s="17"/>
      <c r="J243" s="31"/>
      <c r="K243" s="17"/>
      <c r="L243" s="17"/>
      <c r="M243" s="31"/>
    </row>
    <row r="244" spans="1:13">
      <c r="A244" s="16">
        <v>21.3</v>
      </c>
      <c r="B244" s="17">
        <v>69.925433999999996</v>
      </c>
      <c r="C244" s="17">
        <f t="shared" si="7"/>
        <v>569.925434</v>
      </c>
      <c r="D244" s="17">
        <f t="shared" si="8"/>
        <v>3.731006044190644E-3</v>
      </c>
      <c r="E244" s="17"/>
      <c r="F244" s="17"/>
      <c r="G244" s="17"/>
      <c r="H244" s="17"/>
      <c r="I244" s="17"/>
      <c r="J244" s="31"/>
      <c r="K244" s="17"/>
      <c r="L244" s="17"/>
      <c r="M244" s="31"/>
    </row>
    <row r="245" spans="1:13">
      <c r="A245" s="16">
        <v>21.4</v>
      </c>
      <c r="B245" s="17">
        <v>69.489446999999998</v>
      </c>
      <c r="C245" s="17">
        <f t="shared" si="7"/>
        <v>569.48944700000004</v>
      </c>
      <c r="D245" s="17">
        <f t="shared" si="8"/>
        <v>3.7281518635642911E-3</v>
      </c>
      <c r="E245" s="17"/>
      <c r="F245" s="17"/>
      <c r="G245" s="17"/>
      <c r="H245" s="17"/>
      <c r="I245" s="17"/>
      <c r="J245" s="31"/>
      <c r="K245" s="17"/>
      <c r="L245" s="17"/>
      <c r="M245" s="31"/>
    </row>
    <row r="246" spans="1:13">
      <c r="A246" s="16">
        <v>21.5</v>
      </c>
      <c r="B246" s="17">
        <v>69.058075000000002</v>
      </c>
      <c r="C246" s="17">
        <f t="shared" si="7"/>
        <v>569.05807500000003</v>
      </c>
      <c r="D246" s="17">
        <f t="shared" si="8"/>
        <v>3.7253278949479079E-3</v>
      </c>
      <c r="E246" s="17"/>
      <c r="F246" s="17"/>
      <c r="G246" s="17"/>
      <c r="H246" s="17"/>
      <c r="I246" s="17"/>
      <c r="J246" s="31"/>
      <c r="K246" s="17"/>
      <c r="L246" s="17"/>
      <c r="M246" s="31"/>
    </row>
    <row r="247" spans="1:13">
      <c r="A247" s="16">
        <v>21.6</v>
      </c>
      <c r="B247" s="17">
        <v>68.631245000000007</v>
      </c>
      <c r="C247" s="17">
        <f t="shared" si="7"/>
        <v>568.63124500000004</v>
      </c>
      <c r="D247" s="17">
        <f t="shared" si="8"/>
        <v>3.7225336604483792E-3</v>
      </c>
      <c r="E247" s="17"/>
      <c r="F247" s="17"/>
      <c r="G247" s="17"/>
      <c r="H247" s="17"/>
      <c r="I247" s="17"/>
      <c r="J247" s="31"/>
      <c r="K247" s="17"/>
      <c r="L247" s="17"/>
      <c r="M247" s="31"/>
    </row>
    <row r="248" spans="1:13">
      <c r="A248" s="16">
        <v>21.7</v>
      </c>
      <c r="B248" s="17">
        <v>68.208881000000005</v>
      </c>
      <c r="C248" s="17">
        <f t="shared" si="7"/>
        <v>568.20888100000002</v>
      </c>
      <c r="D248" s="17">
        <f t="shared" si="8"/>
        <v>3.7197686625331451E-3</v>
      </c>
      <c r="E248" s="17"/>
      <c r="F248" s="17"/>
      <c r="G248" s="17"/>
      <c r="H248" s="17"/>
      <c r="I248" s="17"/>
      <c r="J248" s="31"/>
      <c r="K248" s="17"/>
      <c r="L248" s="17"/>
      <c r="M248" s="31"/>
    </row>
    <row r="249" spans="1:13">
      <c r="A249" s="16">
        <v>21.8</v>
      </c>
      <c r="B249" s="17">
        <v>67.790914999999998</v>
      </c>
      <c r="C249" s="17">
        <f t="shared" si="7"/>
        <v>567.79091500000004</v>
      </c>
      <c r="D249" s="17">
        <f t="shared" si="8"/>
        <v>3.717032456041497E-3</v>
      </c>
      <c r="E249" s="17"/>
      <c r="F249" s="17"/>
      <c r="G249" s="17"/>
      <c r="H249" s="17"/>
      <c r="I249" s="17"/>
      <c r="J249" s="31"/>
      <c r="K249" s="17"/>
      <c r="L249" s="17"/>
      <c r="M249" s="31"/>
    </row>
    <row r="250" spans="1:13">
      <c r="A250" s="16">
        <v>21.9</v>
      </c>
      <c r="B250" s="17">
        <v>67.377275999999995</v>
      </c>
      <c r="C250" s="17">
        <f t="shared" si="7"/>
        <v>567.37727599999994</v>
      </c>
      <c r="D250" s="17">
        <f t="shared" si="8"/>
        <v>3.7143245761732803E-3</v>
      </c>
      <c r="E250" s="17"/>
      <c r="F250" s="17"/>
      <c r="G250" s="17"/>
      <c r="H250" s="17"/>
      <c r="I250" s="17"/>
      <c r="J250" s="31"/>
      <c r="K250" s="17"/>
      <c r="L250" s="17"/>
      <c r="M250" s="31"/>
    </row>
    <row r="251" spans="1:13">
      <c r="A251" s="16">
        <v>22</v>
      </c>
      <c r="B251" s="17">
        <v>66.967899000000003</v>
      </c>
      <c r="C251" s="17">
        <f t="shared" si="7"/>
        <v>566.96789899999999</v>
      </c>
      <c r="D251" s="17">
        <f t="shared" si="8"/>
        <v>3.7116445974072296E-3</v>
      </c>
      <c r="E251" s="17"/>
      <c r="F251" s="17"/>
      <c r="G251" s="17"/>
      <c r="H251" s="17"/>
      <c r="I251" s="17"/>
      <c r="J251" s="31"/>
      <c r="K251" s="17"/>
      <c r="L251" s="17"/>
      <c r="M251" s="31"/>
    </row>
    <row r="252" spans="1:13">
      <c r="A252" s="16">
        <v>22.1</v>
      </c>
      <c r="B252" s="17">
        <v>66.562714999999997</v>
      </c>
      <c r="C252" s="17">
        <f t="shared" si="7"/>
        <v>566.56271500000003</v>
      </c>
      <c r="D252" s="17">
        <f t="shared" si="8"/>
        <v>3.7089920680361517E-3</v>
      </c>
      <c r="E252" s="17"/>
      <c r="F252" s="17"/>
      <c r="G252" s="17"/>
      <c r="H252" s="17"/>
      <c r="I252" s="17"/>
      <c r="J252" s="31"/>
      <c r="K252" s="17"/>
      <c r="L252" s="17"/>
      <c r="M252" s="31"/>
    </row>
    <row r="253" spans="1:13">
      <c r="A253" s="16">
        <v>22.2</v>
      </c>
      <c r="B253" s="17">
        <v>66.161662000000007</v>
      </c>
      <c r="C253" s="17">
        <f t="shared" si="7"/>
        <v>566.16166199999998</v>
      </c>
      <c r="D253" s="17">
        <f t="shared" si="8"/>
        <v>3.7063665821782227E-3</v>
      </c>
      <c r="E253" s="17"/>
      <c r="F253" s="17"/>
      <c r="G253" s="17"/>
      <c r="H253" s="17"/>
      <c r="I253" s="17"/>
      <c r="J253" s="31"/>
      <c r="K253" s="17"/>
      <c r="L253" s="17"/>
      <c r="M253" s="31"/>
    </row>
    <row r="254" spans="1:13">
      <c r="A254" s="16">
        <v>22.3</v>
      </c>
      <c r="B254" s="17">
        <v>65.764671000000007</v>
      </c>
      <c r="C254" s="17">
        <f t="shared" si="7"/>
        <v>565.76467100000002</v>
      </c>
      <c r="D254" s="17">
        <f t="shared" si="8"/>
        <v>3.7037676881262523E-3</v>
      </c>
      <c r="E254" s="17"/>
      <c r="F254" s="17"/>
      <c r="G254" s="17"/>
      <c r="H254" s="17"/>
      <c r="I254" s="17"/>
      <c r="J254" s="31"/>
      <c r="K254" s="17"/>
      <c r="L254" s="17"/>
      <c r="M254" s="31"/>
    </row>
    <row r="255" spans="1:13">
      <c r="A255" s="16">
        <v>22.4</v>
      </c>
      <c r="B255" s="17">
        <v>65.371684999999999</v>
      </c>
      <c r="C255" s="17">
        <f t="shared" si="7"/>
        <v>565.37168499999996</v>
      </c>
      <c r="D255" s="17">
        <f t="shared" si="8"/>
        <v>3.7011950127308216E-3</v>
      </c>
      <c r="E255" s="17"/>
      <c r="F255" s="17"/>
      <c r="G255" s="17"/>
      <c r="H255" s="17"/>
      <c r="I255" s="17"/>
      <c r="J255" s="31"/>
      <c r="K255" s="17"/>
      <c r="L255" s="17"/>
      <c r="M255" s="31"/>
    </row>
    <row r="256" spans="1:13">
      <c r="A256" s="16">
        <v>22.5</v>
      </c>
      <c r="B256" s="17">
        <v>64.982637999999994</v>
      </c>
      <c r="C256" s="17">
        <f t="shared" si="7"/>
        <v>564.98263799999995</v>
      </c>
      <c r="D256" s="17">
        <f t="shared" si="8"/>
        <v>3.6986481239241805E-3</v>
      </c>
      <c r="E256" s="17"/>
      <c r="F256" s="17"/>
      <c r="G256" s="17"/>
      <c r="H256" s="17"/>
      <c r="I256" s="17"/>
      <c r="J256" s="31"/>
      <c r="K256" s="17"/>
      <c r="L256" s="17"/>
      <c r="M256" s="31"/>
    </row>
    <row r="257" spans="1:13">
      <c r="A257" s="16">
        <v>22.6</v>
      </c>
      <c r="B257" s="17">
        <v>64.597472999999994</v>
      </c>
      <c r="C257" s="17">
        <f t="shared" si="7"/>
        <v>564.59747300000004</v>
      </c>
      <c r="D257" s="17">
        <f t="shared" si="8"/>
        <v>3.6961266485569127E-3</v>
      </c>
      <c r="E257" s="17"/>
      <c r="F257" s="17"/>
      <c r="G257" s="17"/>
      <c r="H257" s="17"/>
      <c r="I257" s="17"/>
      <c r="J257" s="31"/>
      <c r="K257" s="17"/>
      <c r="L257" s="17"/>
      <c r="M257" s="31"/>
    </row>
    <row r="258" spans="1:13">
      <c r="A258" s="16">
        <v>22.7</v>
      </c>
      <c r="B258" s="17">
        <v>64.216132999999999</v>
      </c>
      <c r="C258" s="17">
        <f t="shared" si="7"/>
        <v>564.21613300000001</v>
      </c>
      <c r="D258" s="17">
        <f t="shared" si="8"/>
        <v>3.6936302134795971E-3</v>
      </c>
      <c r="E258" s="17"/>
      <c r="F258" s="17"/>
      <c r="G258" s="17"/>
      <c r="H258" s="17"/>
      <c r="I258" s="17"/>
      <c r="J258" s="31"/>
      <c r="K258" s="17"/>
      <c r="L258" s="17"/>
      <c r="M258" s="31"/>
    </row>
    <row r="259" spans="1:13">
      <c r="A259" s="16">
        <v>22.8</v>
      </c>
      <c r="B259" s="17">
        <v>63.838557999999999</v>
      </c>
      <c r="C259" s="17">
        <f t="shared" si="7"/>
        <v>563.83855800000003</v>
      </c>
      <c r="D259" s="17">
        <f t="shared" si="8"/>
        <v>3.6911584259033733E-3</v>
      </c>
      <c r="E259" s="17"/>
      <c r="F259" s="17"/>
      <c r="G259" s="17"/>
      <c r="H259" s="17"/>
      <c r="I259" s="17"/>
      <c r="J259" s="31"/>
      <c r="K259" s="17"/>
      <c r="L259" s="17"/>
      <c r="M259" s="31"/>
    </row>
    <row r="260" spans="1:13">
      <c r="A260" s="16">
        <v>22.9</v>
      </c>
      <c r="B260" s="17">
        <v>63.464689</v>
      </c>
      <c r="C260" s="17">
        <f t="shared" si="7"/>
        <v>563.46468900000002</v>
      </c>
      <c r="D260" s="17">
        <f t="shared" si="8"/>
        <v>3.6887108995858598E-3</v>
      </c>
      <c r="E260" s="17"/>
      <c r="F260" s="17"/>
      <c r="G260" s="17"/>
      <c r="H260" s="17"/>
      <c r="I260" s="17"/>
      <c r="J260" s="31"/>
      <c r="K260" s="17"/>
      <c r="L260" s="17"/>
      <c r="M260" s="31"/>
    </row>
    <row r="261" spans="1:13">
      <c r="A261" s="16">
        <v>23</v>
      </c>
      <c r="B261" s="17">
        <v>63.094473999999998</v>
      </c>
      <c r="C261" s="17">
        <f t="shared" si="7"/>
        <v>563.09447399999999</v>
      </c>
      <c r="D261" s="17">
        <f t="shared" si="8"/>
        <v>3.6862872941100422E-3</v>
      </c>
      <c r="E261" s="17"/>
      <c r="F261" s="17"/>
      <c r="G261" s="17"/>
      <c r="H261" s="17"/>
      <c r="I261" s="17"/>
      <c r="J261" s="31"/>
      <c r="K261" s="17"/>
      <c r="L261" s="17"/>
      <c r="M261" s="31"/>
    </row>
    <row r="262" spans="1:13">
      <c r="A262" s="16">
        <v>23.1</v>
      </c>
      <c r="B262" s="17">
        <v>62.72786</v>
      </c>
      <c r="C262" s="17">
        <f t="shared" si="7"/>
        <v>562.72785999999996</v>
      </c>
      <c r="D262" s="17">
        <f t="shared" si="8"/>
        <v>3.6838872625124266E-3</v>
      </c>
      <c r="E262" s="17"/>
      <c r="F262" s="17"/>
      <c r="G262" s="17"/>
      <c r="H262" s="17"/>
      <c r="I262" s="17"/>
      <c r="J262" s="31"/>
      <c r="K262" s="17"/>
      <c r="L262" s="17"/>
      <c r="M262" s="31"/>
    </row>
    <row r="263" spans="1:13">
      <c r="A263" s="16">
        <v>23.2</v>
      </c>
      <c r="B263" s="17">
        <v>62.364792000000001</v>
      </c>
      <c r="C263" s="17">
        <f t="shared" si="7"/>
        <v>562.36479199999997</v>
      </c>
      <c r="D263" s="17">
        <f t="shared" si="8"/>
        <v>3.6815104447365551E-3</v>
      </c>
      <c r="E263" s="17"/>
      <c r="F263" s="17"/>
      <c r="G263" s="17"/>
      <c r="H263" s="17"/>
      <c r="I263" s="17"/>
      <c r="J263" s="31"/>
      <c r="K263" s="17"/>
      <c r="L263" s="17"/>
      <c r="M263" s="31"/>
    </row>
    <row r="264" spans="1:13">
      <c r="A264" s="16">
        <v>23.3</v>
      </c>
      <c r="B264" s="17">
        <v>62.005217999999999</v>
      </c>
      <c r="C264" s="17">
        <f t="shared" si="7"/>
        <v>562.00521800000001</v>
      </c>
      <c r="D264" s="17">
        <f t="shared" si="8"/>
        <v>3.6791565003654152E-3</v>
      </c>
      <c r="E264" s="17"/>
      <c r="F264" s="17"/>
      <c r="G264" s="17"/>
      <c r="H264" s="17"/>
      <c r="I264" s="17"/>
      <c r="J264" s="31"/>
      <c r="K264" s="17"/>
      <c r="L264" s="17"/>
      <c r="M264" s="31"/>
    </row>
    <row r="265" spans="1:13">
      <c r="A265" s="16">
        <v>23.4</v>
      </c>
      <c r="B265" s="17">
        <v>61.649084000000002</v>
      </c>
      <c r="C265" s="17">
        <f t="shared" si="7"/>
        <v>561.64908400000002</v>
      </c>
      <c r="D265" s="17">
        <f t="shared" si="8"/>
        <v>3.6768250758890306E-3</v>
      </c>
      <c r="E265" s="17"/>
      <c r="F265" s="17"/>
      <c r="G265" s="17"/>
      <c r="H265" s="17"/>
      <c r="I265" s="17"/>
      <c r="J265" s="31"/>
      <c r="K265" s="17"/>
      <c r="L265" s="17"/>
      <c r="M265" s="31"/>
    </row>
    <row r="266" spans="1:13">
      <c r="A266" s="16">
        <v>23.5</v>
      </c>
      <c r="B266" s="17">
        <v>61.296346</v>
      </c>
      <c r="C266" s="17">
        <f t="shared" si="7"/>
        <v>561.29634599999997</v>
      </c>
      <c r="D266" s="17">
        <f t="shared" si="8"/>
        <v>3.6745158832622356E-3</v>
      </c>
      <c r="E266" s="17"/>
      <c r="F266" s="17"/>
      <c r="G266" s="17"/>
      <c r="H266" s="17"/>
      <c r="I266" s="17"/>
      <c r="J266" s="31"/>
      <c r="K266" s="17"/>
      <c r="L266" s="17"/>
      <c r="M266" s="31"/>
    </row>
    <row r="267" spans="1:13">
      <c r="A267" s="16">
        <v>23.6</v>
      </c>
      <c r="B267" s="17">
        <v>60.946950000000001</v>
      </c>
      <c r="C267" s="17">
        <f t="shared" si="7"/>
        <v>560.94695000000002</v>
      </c>
      <c r="D267" s="17">
        <f t="shared" si="8"/>
        <v>3.6722285689750546E-3</v>
      </c>
      <c r="E267" s="17"/>
      <c r="F267" s="17"/>
      <c r="G267" s="17"/>
      <c r="H267" s="17"/>
      <c r="I267" s="17"/>
      <c r="J267" s="31"/>
      <c r="K267" s="17"/>
      <c r="L267" s="17"/>
      <c r="M267" s="31"/>
    </row>
    <row r="268" spans="1:13">
      <c r="A268" s="16">
        <v>23.7</v>
      </c>
      <c r="B268" s="17">
        <v>60.600847999999999</v>
      </c>
      <c r="C268" s="17">
        <f t="shared" si="7"/>
        <v>560.60084800000004</v>
      </c>
      <c r="D268" s="17">
        <f t="shared" si="8"/>
        <v>3.669962818796398E-3</v>
      </c>
      <c r="E268" s="17"/>
      <c r="F268" s="17"/>
      <c r="G268" s="17"/>
      <c r="H268" s="17"/>
      <c r="I268" s="17"/>
      <c r="J268" s="31"/>
      <c r="K268" s="17"/>
      <c r="L268" s="17"/>
      <c r="M268" s="31"/>
    </row>
    <row r="269" spans="1:13">
      <c r="A269" s="16">
        <v>23.8</v>
      </c>
      <c r="B269" s="17">
        <v>60.257995999999999</v>
      </c>
      <c r="C269" s="17">
        <f t="shared" si="7"/>
        <v>560.25799600000005</v>
      </c>
      <c r="D269" s="17">
        <f t="shared" si="8"/>
        <v>3.6677183446811E-3</v>
      </c>
      <c r="E269" s="17"/>
      <c r="F269" s="17"/>
      <c r="G269" s="17"/>
      <c r="H269" s="17"/>
      <c r="I269" s="17"/>
      <c r="J269" s="31"/>
      <c r="K269" s="17"/>
      <c r="L269" s="17"/>
      <c r="M269" s="31"/>
    </row>
    <row r="270" spans="1:13">
      <c r="A270" s="16">
        <v>23.9</v>
      </c>
      <c r="B270" s="17">
        <v>59.918343</v>
      </c>
      <c r="C270" s="17">
        <f t="shared" si="7"/>
        <v>559.91834300000005</v>
      </c>
      <c r="D270" s="17">
        <f t="shared" si="8"/>
        <v>3.6654948127586282E-3</v>
      </c>
      <c r="E270" s="17"/>
      <c r="F270" s="17"/>
      <c r="G270" s="17"/>
      <c r="H270" s="17"/>
      <c r="I270" s="17"/>
      <c r="J270" s="31"/>
      <c r="K270" s="17"/>
      <c r="L270" s="17"/>
      <c r="M270" s="31"/>
    </row>
    <row r="271" spans="1:13">
      <c r="A271" s="16">
        <v>24</v>
      </c>
      <c r="B271" s="17">
        <v>59.581848999999998</v>
      </c>
      <c r="C271" s="17">
        <f t="shared" si="7"/>
        <v>559.58184900000003</v>
      </c>
      <c r="D271" s="17">
        <f t="shared" si="8"/>
        <v>3.6632919611697423E-3</v>
      </c>
      <c r="E271" s="17"/>
      <c r="F271" s="17"/>
      <c r="G271" s="17"/>
      <c r="H271" s="17"/>
      <c r="I271" s="17"/>
      <c r="J271" s="31"/>
      <c r="K271" s="17"/>
      <c r="L271" s="17"/>
      <c r="M271" s="31"/>
    </row>
    <row r="272" spans="1:13">
      <c r="A272" s="16">
        <v>24.1</v>
      </c>
      <c r="B272" s="17">
        <v>59.248463999999998</v>
      </c>
      <c r="C272" s="17">
        <f t="shared" si="7"/>
        <v>559.24846400000001</v>
      </c>
      <c r="D272" s="17">
        <f t="shared" si="8"/>
        <v>3.6611094625903888E-3</v>
      </c>
      <c r="E272" s="17"/>
      <c r="F272" s="17"/>
      <c r="G272" s="17"/>
      <c r="H272" s="17"/>
      <c r="I272" s="17"/>
      <c r="J272" s="31"/>
      <c r="K272" s="17"/>
      <c r="L272" s="17"/>
      <c r="M272" s="31"/>
    </row>
    <row r="273" spans="1:13">
      <c r="A273" s="16">
        <v>24.2</v>
      </c>
      <c r="B273" s="17">
        <v>58.918146999999998</v>
      </c>
      <c r="C273" s="17">
        <f t="shared" si="7"/>
        <v>558.91814699999998</v>
      </c>
      <c r="D273" s="17">
        <f t="shared" si="8"/>
        <v>3.6589470486148453E-3</v>
      </c>
      <c r="E273" s="17"/>
      <c r="F273" s="17"/>
      <c r="G273" s="17"/>
      <c r="H273" s="17"/>
      <c r="I273" s="17"/>
      <c r="J273" s="31"/>
      <c r="K273" s="17"/>
      <c r="L273" s="17"/>
      <c r="M273" s="31"/>
    </row>
    <row r="274" spans="1:13">
      <c r="A274" s="16">
        <v>24.3</v>
      </c>
      <c r="B274" s="17">
        <v>58.590853000000003</v>
      </c>
      <c r="C274" s="17">
        <f t="shared" si="7"/>
        <v>558.59085300000004</v>
      </c>
      <c r="D274" s="17">
        <f t="shared" si="8"/>
        <v>3.6568044246514668E-3</v>
      </c>
      <c r="E274" s="17"/>
      <c r="F274" s="17"/>
      <c r="G274" s="17"/>
      <c r="H274" s="17"/>
      <c r="I274" s="17"/>
      <c r="J274" s="31"/>
      <c r="K274" s="17"/>
      <c r="L274" s="17"/>
      <c r="M274" s="31"/>
    </row>
    <row r="275" spans="1:13">
      <c r="A275" s="16">
        <v>24.4</v>
      </c>
      <c r="B275" s="17">
        <v>58.266542999999999</v>
      </c>
      <c r="C275" s="17">
        <f t="shared" si="7"/>
        <v>558.26654299999996</v>
      </c>
      <c r="D275" s="17">
        <f t="shared" si="8"/>
        <v>3.6546813353874924E-3</v>
      </c>
      <c r="E275" s="17"/>
      <c r="F275" s="17"/>
      <c r="G275" s="17"/>
      <c r="H275" s="17"/>
      <c r="I275" s="17"/>
      <c r="J275" s="31"/>
      <c r="K275" s="17"/>
      <c r="L275" s="17"/>
      <c r="M275" s="31"/>
    </row>
    <row r="276" spans="1:13">
      <c r="A276" s="16">
        <v>24.5</v>
      </c>
      <c r="B276" s="17">
        <v>57.945172999999997</v>
      </c>
      <c r="C276" s="17">
        <f t="shared" si="7"/>
        <v>557.94517299999995</v>
      </c>
      <c r="D276" s="17">
        <f t="shared" si="8"/>
        <v>3.6525774927777558E-3</v>
      </c>
      <c r="E276" s="17"/>
      <c r="F276" s="17"/>
      <c r="G276" s="17"/>
      <c r="H276" s="17"/>
      <c r="I276" s="17"/>
      <c r="J276" s="31"/>
      <c r="M276" s="31"/>
    </row>
    <row r="277" spans="1:13">
      <c r="A277" s="16">
        <v>24.6</v>
      </c>
      <c r="B277" s="17">
        <v>57.626702000000002</v>
      </c>
      <c r="C277" s="17">
        <f t="shared" si="7"/>
        <v>557.62670200000002</v>
      </c>
      <c r="D277" s="17">
        <f t="shared" si="8"/>
        <v>3.6504926284165362E-3</v>
      </c>
      <c r="E277" s="17"/>
      <c r="F277" s="17"/>
      <c r="G277" s="17"/>
      <c r="H277" s="17"/>
      <c r="I277" s="17"/>
      <c r="J277" s="31"/>
    </row>
    <row r="278" spans="1:13">
      <c r="A278" s="16">
        <v>24.7</v>
      </c>
      <c r="B278" s="17">
        <v>57.311092000000002</v>
      </c>
      <c r="C278" s="17">
        <f t="shared" si="7"/>
        <v>557.31109200000003</v>
      </c>
      <c r="D278" s="17">
        <f t="shared" si="8"/>
        <v>3.6484264935375526E-3</v>
      </c>
      <c r="E278" s="17"/>
      <c r="F278" s="17"/>
      <c r="G278" s="17"/>
      <c r="H278" s="17"/>
      <c r="I278" s="17"/>
      <c r="J278" s="31"/>
    </row>
    <row r="279" spans="1:13">
      <c r="A279" s="16">
        <v>24.8</v>
      </c>
      <c r="B279" s="17">
        <v>56.998305000000002</v>
      </c>
      <c r="C279" s="17">
        <f t="shared" si="7"/>
        <v>556.99830499999996</v>
      </c>
      <c r="D279" s="17">
        <f t="shared" si="8"/>
        <v>3.6463788393745274E-3</v>
      </c>
      <c r="E279" s="17"/>
      <c r="F279" s="17"/>
      <c r="G279" s="17"/>
      <c r="H279" s="17"/>
      <c r="I279" s="17"/>
      <c r="J279" s="31"/>
    </row>
    <row r="280" spans="1:13">
      <c r="A280" s="16">
        <v>24.9</v>
      </c>
      <c r="B280" s="17">
        <v>56.688296999999999</v>
      </c>
      <c r="C280" s="17">
        <f t="shared" si="7"/>
        <v>556.68829700000003</v>
      </c>
      <c r="D280" s="17">
        <f t="shared" si="8"/>
        <v>3.6443493778822939E-3</v>
      </c>
      <c r="E280" s="17"/>
      <c r="F280" s="17"/>
      <c r="G280" s="17"/>
      <c r="H280" s="17"/>
      <c r="I280" s="17"/>
      <c r="J280" s="31"/>
    </row>
    <row r="281" spans="1:13">
      <c r="A281" s="16">
        <v>25</v>
      </c>
      <c r="B281" s="17">
        <v>56.381033000000002</v>
      </c>
      <c r="C281" s="17">
        <f t="shared" si="7"/>
        <v>556.381033</v>
      </c>
      <c r="D281" s="17">
        <f t="shared" si="8"/>
        <v>3.6423378799340165E-3</v>
      </c>
      <c r="E281" s="17"/>
      <c r="F281" s="17"/>
      <c r="G281" s="17"/>
      <c r="H281" s="17"/>
      <c r="I281" s="17"/>
    </row>
    <row r="282" spans="1:13">
      <c r="A282" s="16">
        <v>25.1</v>
      </c>
      <c r="B282" s="17">
        <v>56.076479999999997</v>
      </c>
      <c r="C282" s="17">
        <f t="shared" si="7"/>
        <v>556.07647999999995</v>
      </c>
      <c r="D282" s="17">
        <f t="shared" si="8"/>
        <v>3.640344129495821E-3</v>
      </c>
      <c r="E282" s="17"/>
      <c r="F282" s="17"/>
      <c r="G282" s="17"/>
      <c r="H282" s="17"/>
      <c r="I282" s="17"/>
    </row>
    <row r="283" spans="1:13">
      <c r="A283" s="16">
        <v>25.2</v>
      </c>
      <c r="B283" s="17">
        <v>55.774593000000003</v>
      </c>
      <c r="C283" s="17">
        <f t="shared" si="7"/>
        <v>555.77459299999998</v>
      </c>
      <c r="D283" s="17">
        <f t="shared" si="8"/>
        <v>3.6383678319760601E-3</v>
      </c>
      <c r="E283" s="17"/>
      <c r="F283" s="17"/>
      <c r="G283" s="17"/>
      <c r="H283" s="17"/>
      <c r="I283" s="17"/>
    </row>
    <row r="284" spans="1:13">
      <c r="A284" s="16">
        <v>25.3</v>
      </c>
      <c r="B284" s="17">
        <v>55.475344</v>
      </c>
      <c r="C284" s="17">
        <f t="shared" si="7"/>
        <v>555.47534399999995</v>
      </c>
      <c r="D284" s="17">
        <f t="shared" si="8"/>
        <v>3.6364088040732661E-3</v>
      </c>
      <c r="E284" s="17"/>
      <c r="F284" s="17"/>
      <c r="G284" s="17"/>
      <c r="H284" s="17"/>
      <c r="I284" s="17"/>
    </row>
    <row r="285" spans="1:13">
      <c r="A285" s="16">
        <v>25.4</v>
      </c>
      <c r="B285" s="17">
        <v>55.178694</v>
      </c>
      <c r="C285" s="17">
        <f t="shared" si="7"/>
        <v>555.17869399999995</v>
      </c>
      <c r="D285" s="17">
        <f t="shared" si="8"/>
        <v>3.6344667904746786E-3</v>
      </c>
      <c r="E285" s="17"/>
      <c r="F285" s="17"/>
      <c r="G285" s="17"/>
      <c r="H285" s="17"/>
      <c r="I285" s="17"/>
    </row>
    <row r="286" spans="1:13">
      <c r="A286" s="16">
        <v>25.5</v>
      </c>
      <c r="B286" s="17">
        <v>54.884611</v>
      </c>
      <c r="C286" s="17">
        <f t="shared" si="7"/>
        <v>554.88461099999995</v>
      </c>
      <c r="D286" s="17">
        <f t="shared" si="8"/>
        <v>3.6325415816929035E-3</v>
      </c>
      <c r="E286" s="17"/>
      <c r="F286" s="17"/>
      <c r="G286" s="17"/>
      <c r="H286" s="17"/>
      <c r="I286" s="17"/>
    </row>
    <row r="287" spans="1:13">
      <c r="A287" s="16">
        <v>25.6</v>
      </c>
      <c r="B287" s="17">
        <v>54.593055</v>
      </c>
      <c r="C287" s="17">
        <f t="shared" si="7"/>
        <v>554.59305500000005</v>
      </c>
      <c r="D287" s="17">
        <f t="shared" si="8"/>
        <v>3.6306329158686998E-3</v>
      </c>
      <c r="E287" s="17"/>
      <c r="F287" s="17"/>
      <c r="G287" s="17"/>
      <c r="H287" s="17"/>
      <c r="I287" s="17"/>
    </row>
    <row r="288" spans="1:13">
      <c r="A288" s="16">
        <v>25.7</v>
      </c>
      <c r="B288" s="17">
        <v>54.304000000000002</v>
      </c>
      <c r="C288" s="17">
        <f t="shared" si="7"/>
        <v>554.30399999999997</v>
      </c>
      <c r="D288" s="17">
        <f t="shared" si="8"/>
        <v>3.6287406227935612E-3</v>
      </c>
      <c r="E288" s="17"/>
      <c r="F288" s="17"/>
      <c r="G288" s="17"/>
      <c r="H288" s="17"/>
      <c r="I288" s="17"/>
    </row>
    <row r="289" spans="1:9">
      <c r="A289" s="16">
        <v>25.8</v>
      </c>
      <c r="B289" s="17">
        <v>54.017409999999998</v>
      </c>
      <c r="C289" s="17">
        <f t="shared" si="7"/>
        <v>554.01741000000004</v>
      </c>
      <c r="D289" s="17">
        <f t="shared" si="8"/>
        <v>3.6268644667941706E-3</v>
      </c>
      <c r="E289" s="17"/>
      <c r="F289" s="17"/>
      <c r="G289" s="17"/>
      <c r="H289" s="17"/>
      <c r="I289" s="17"/>
    </row>
    <row r="290" spans="1:9">
      <c r="A290" s="16">
        <v>25.9</v>
      </c>
      <c r="B290" s="17">
        <v>53.733252</v>
      </c>
      <c r="C290" s="17">
        <f t="shared" si="7"/>
        <v>553.73325199999999</v>
      </c>
      <c r="D290" s="17">
        <f t="shared" si="8"/>
        <v>3.625004231836653E-3</v>
      </c>
      <c r="E290" s="17"/>
      <c r="F290" s="17"/>
      <c r="G290" s="17"/>
      <c r="H290" s="17"/>
      <c r="I290" s="17"/>
    </row>
    <row r="291" spans="1:9">
      <c r="A291" s="16">
        <v>26</v>
      </c>
      <c r="B291" s="17">
        <v>53.451493999999997</v>
      </c>
      <c r="C291" s="17">
        <f t="shared" si="7"/>
        <v>553.45149400000003</v>
      </c>
      <c r="D291" s="17">
        <f t="shared" si="8"/>
        <v>3.6231597084336155E-3</v>
      </c>
      <c r="E291" s="17"/>
      <c r="F291" s="17"/>
      <c r="G291" s="17"/>
      <c r="H291" s="17"/>
      <c r="I291" s="17"/>
    </row>
    <row r="292" spans="1:9">
      <c r="A292" s="16">
        <v>26.1</v>
      </c>
      <c r="B292" s="17">
        <v>53.172108999999999</v>
      </c>
      <c r="C292" s="17">
        <f t="shared" si="7"/>
        <v>553.17210899999998</v>
      </c>
      <c r="D292" s="17">
        <f t="shared" si="8"/>
        <v>3.6213307198300708E-3</v>
      </c>
      <c r="E292" s="17"/>
      <c r="F292" s="17"/>
      <c r="G292" s="17"/>
      <c r="H292" s="17"/>
      <c r="I292" s="17"/>
    </row>
    <row r="293" spans="1:9">
      <c r="A293" s="16">
        <v>26.2</v>
      </c>
      <c r="B293" s="17">
        <v>52.895060000000001</v>
      </c>
      <c r="C293" s="17">
        <f t="shared" si="7"/>
        <v>552.89506000000006</v>
      </c>
      <c r="D293" s="17">
        <f t="shared" si="8"/>
        <v>3.6195170238062214E-3</v>
      </c>
      <c r="E293" s="17"/>
      <c r="F293" s="17"/>
      <c r="G293" s="17"/>
      <c r="H293" s="17"/>
      <c r="I293" s="17"/>
    </row>
    <row r="294" spans="1:9">
      <c r="A294" s="16">
        <v>26.3</v>
      </c>
      <c r="B294" s="17">
        <v>52.620320999999997</v>
      </c>
      <c r="C294" s="17">
        <f t="shared" si="7"/>
        <v>552.62032099999999</v>
      </c>
      <c r="D294" s="17">
        <f t="shared" si="8"/>
        <v>3.6177184501535579E-3</v>
      </c>
      <c r="E294" s="17"/>
      <c r="F294" s="17"/>
      <c r="G294" s="17"/>
      <c r="H294" s="17"/>
      <c r="I294" s="17"/>
    </row>
    <row r="295" spans="1:9">
      <c r="A295" s="16">
        <v>26.4</v>
      </c>
      <c r="B295" s="17">
        <v>52.347864999999999</v>
      </c>
      <c r="C295" s="17">
        <f t="shared" si="7"/>
        <v>552.34786499999996</v>
      </c>
      <c r="D295" s="17">
        <f t="shared" si="8"/>
        <v>3.6159348221170944E-3</v>
      </c>
      <c r="E295" s="17"/>
      <c r="F295" s="17"/>
      <c r="G295" s="17"/>
      <c r="H295" s="17"/>
      <c r="I295" s="17"/>
    </row>
    <row r="296" spans="1:9">
      <c r="A296" s="16">
        <v>26.5</v>
      </c>
      <c r="B296" s="17">
        <v>52.077657000000002</v>
      </c>
      <c r="C296" s="17">
        <f t="shared" si="7"/>
        <v>552.07765700000004</v>
      </c>
      <c r="D296" s="17">
        <f t="shared" si="8"/>
        <v>3.6141659105699943E-3</v>
      </c>
      <c r="E296" s="17"/>
      <c r="F296" s="17"/>
      <c r="G296" s="17"/>
      <c r="H296" s="17"/>
      <c r="I296" s="17"/>
    </row>
    <row r="297" spans="1:9">
      <c r="A297" s="16">
        <v>26.6</v>
      </c>
      <c r="B297" s="17">
        <v>51.809671999999999</v>
      </c>
      <c r="C297" s="17">
        <f t="shared" si="7"/>
        <v>551.80967199999998</v>
      </c>
      <c r="D297" s="17">
        <f t="shared" si="8"/>
        <v>3.612411551850232E-3</v>
      </c>
      <c r="E297" s="17"/>
      <c r="F297" s="17"/>
      <c r="G297" s="17"/>
      <c r="H297" s="17"/>
      <c r="I297" s="17"/>
    </row>
    <row r="298" spans="1:9">
      <c r="A298" s="16">
        <v>26.7</v>
      </c>
      <c r="B298" s="17">
        <v>51.543880000000001</v>
      </c>
      <c r="C298" s="17">
        <f t="shared" si="7"/>
        <v>551.54387999999994</v>
      </c>
      <c r="D298" s="17">
        <f t="shared" si="8"/>
        <v>3.610671549563375E-3</v>
      </c>
      <c r="E298" s="17"/>
      <c r="F298" s="17"/>
      <c r="G298" s="17"/>
      <c r="H298" s="17"/>
      <c r="I298" s="17"/>
    </row>
    <row r="299" spans="1:9">
      <c r="A299" s="16">
        <v>26.8</v>
      </c>
      <c r="B299" s="17">
        <v>51.280256999999999</v>
      </c>
      <c r="C299" s="17">
        <f t="shared" si="7"/>
        <v>551.28025700000001</v>
      </c>
      <c r="D299" s="17">
        <f t="shared" si="8"/>
        <v>3.6089457465938815E-3</v>
      </c>
      <c r="E299" s="17"/>
      <c r="F299" s="17"/>
      <c r="G299" s="17"/>
      <c r="H299" s="17"/>
      <c r="I299" s="17"/>
    </row>
    <row r="300" spans="1:9">
      <c r="A300" s="16">
        <v>26.9</v>
      </c>
      <c r="B300" s="17">
        <v>51.018770000000004</v>
      </c>
      <c r="C300" s="17">
        <f t="shared" ref="C300:C363" si="9">B300+$C$26</f>
        <v>551.01877000000002</v>
      </c>
      <c r="D300" s="17">
        <f t="shared" ref="D300:D363" si="10">C300*1000000/(4*PI())*$C$13*RADIANS($C$20)*RADIANS($C$21)</f>
        <v>3.6072339269078743E-3</v>
      </c>
      <c r="E300" s="17"/>
      <c r="F300" s="17"/>
      <c r="G300" s="17"/>
      <c r="H300" s="17"/>
      <c r="I300" s="17"/>
    </row>
    <row r="301" spans="1:9">
      <c r="A301" s="16">
        <v>27</v>
      </c>
      <c r="B301" s="17">
        <v>50.759397999999997</v>
      </c>
      <c r="C301" s="17">
        <f t="shared" si="9"/>
        <v>550.75939800000003</v>
      </c>
      <c r="D301" s="17">
        <f t="shared" si="10"/>
        <v>3.6055359530292532E-3</v>
      </c>
      <c r="E301" s="17"/>
      <c r="F301" s="17"/>
      <c r="G301" s="17"/>
      <c r="H301" s="17"/>
      <c r="I301" s="17"/>
    </row>
    <row r="302" spans="1:9">
      <c r="A302" s="16">
        <v>27.1</v>
      </c>
      <c r="B302" s="17">
        <v>50.502111999999997</v>
      </c>
      <c r="C302" s="17">
        <f t="shared" si="9"/>
        <v>550.50211200000001</v>
      </c>
      <c r="D302" s="17">
        <f t="shared" si="10"/>
        <v>3.6038516351100678E-3</v>
      </c>
      <c r="E302" s="17"/>
      <c r="F302" s="17"/>
      <c r="G302" s="17"/>
      <c r="H302" s="17"/>
      <c r="I302" s="17"/>
    </row>
    <row r="303" spans="1:9">
      <c r="A303" s="16">
        <v>27.2</v>
      </c>
      <c r="B303" s="17">
        <v>50.246887000000001</v>
      </c>
      <c r="C303" s="17">
        <f t="shared" si="9"/>
        <v>550.24688700000002</v>
      </c>
      <c r="D303" s="17">
        <f t="shared" si="10"/>
        <v>3.6021808094882919E-3</v>
      </c>
      <c r="E303" s="17"/>
      <c r="F303" s="17"/>
      <c r="G303" s="17"/>
      <c r="H303" s="17"/>
      <c r="I303" s="17"/>
    </row>
    <row r="304" spans="1:9">
      <c r="A304" s="16">
        <v>27.3</v>
      </c>
      <c r="B304" s="17">
        <v>49.993696</v>
      </c>
      <c r="C304" s="17">
        <f t="shared" si="9"/>
        <v>549.993696</v>
      </c>
      <c r="D304" s="17">
        <f t="shared" si="10"/>
        <v>3.6005232994089391E-3</v>
      </c>
      <c r="E304" s="17"/>
      <c r="F304" s="17"/>
      <c r="G304" s="17"/>
      <c r="H304" s="17"/>
      <c r="I304" s="17"/>
    </row>
    <row r="305" spans="1:9">
      <c r="A305" s="16">
        <v>27.4</v>
      </c>
      <c r="B305" s="17">
        <v>49.742514</v>
      </c>
      <c r="C305" s="17">
        <f t="shared" si="9"/>
        <v>549.74251400000003</v>
      </c>
      <c r="D305" s="17">
        <f t="shared" si="10"/>
        <v>3.5988789412099821E-3</v>
      </c>
      <c r="E305" s="17"/>
      <c r="F305" s="17"/>
      <c r="G305" s="17"/>
      <c r="H305" s="17"/>
      <c r="I305" s="17"/>
    </row>
    <row r="306" spans="1:9">
      <c r="A306" s="16">
        <v>27.5</v>
      </c>
      <c r="B306" s="17">
        <v>49.493319</v>
      </c>
      <c r="C306" s="17">
        <f t="shared" si="9"/>
        <v>549.49331900000004</v>
      </c>
      <c r="D306" s="17">
        <f t="shared" si="10"/>
        <v>3.5972475908688396E-3</v>
      </c>
      <c r="E306" s="17"/>
      <c r="F306" s="17"/>
      <c r="G306" s="17"/>
      <c r="H306" s="17"/>
      <c r="I306" s="17"/>
    </row>
    <row r="307" spans="1:9">
      <c r="A307" s="16">
        <v>27.6</v>
      </c>
      <c r="B307" s="17">
        <v>49.246085000000001</v>
      </c>
      <c r="C307" s="17">
        <f t="shared" si="9"/>
        <v>549.24608499999999</v>
      </c>
      <c r="D307" s="17">
        <f t="shared" si="10"/>
        <v>3.5956290781770026E-3</v>
      </c>
      <c r="E307" s="17"/>
      <c r="F307" s="17"/>
      <c r="G307" s="17"/>
      <c r="H307" s="17"/>
      <c r="I307" s="17"/>
    </row>
    <row r="308" spans="1:9">
      <c r="A308" s="16">
        <v>27.7</v>
      </c>
      <c r="B308" s="17">
        <v>49.000788999999997</v>
      </c>
      <c r="C308" s="17">
        <f t="shared" si="9"/>
        <v>549.00078899999994</v>
      </c>
      <c r="D308" s="17">
        <f t="shared" si="10"/>
        <v>3.5940232525654091E-3</v>
      </c>
      <c r="E308" s="17"/>
      <c r="F308" s="17"/>
      <c r="G308" s="17"/>
      <c r="H308" s="17"/>
      <c r="I308" s="17"/>
    </row>
    <row r="309" spans="1:9">
      <c r="A309" s="16">
        <v>27.8</v>
      </c>
      <c r="B309" s="17">
        <v>48.757407000000001</v>
      </c>
      <c r="C309" s="17">
        <f t="shared" si="9"/>
        <v>548.75740700000006</v>
      </c>
      <c r="D309" s="17">
        <f t="shared" si="10"/>
        <v>3.5924299569185139E-3</v>
      </c>
      <c r="E309" s="17"/>
      <c r="F309" s="17"/>
      <c r="G309" s="17"/>
      <c r="H309" s="17"/>
      <c r="I309" s="17"/>
    </row>
    <row r="310" spans="1:9">
      <c r="A310" s="16">
        <v>27.9</v>
      </c>
      <c r="B310" s="17">
        <v>48.515917000000002</v>
      </c>
      <c r="C310" s="17">
        <f t="shared" si="9"/>
        <v>548.51591699999994</v>
      </c>
      <c r="D310" s="17">
        <f t="shared" si="10"/>
        <v>3.5908490472137335E-3</v>
      </c>
      <c r="E310" s="17"/>
      <c r="F310" s="17"/>
      <c r="G310" s="17"/>
      <c r="H310" s="17"/>
      <c r="I310" s="17"/>
    </row>
    <row r="311" spans="1:9">
      <c r="A311" s="16">
        <v>28</v>
      </c>
      <c r="B311" s="17">
        <v>48.276294</v>
      </c>
      <c r="C311" s="17">
        <f t="shared" si="9"/>
        <v>548.27629400000001</v>
      </c>
      <c r="D311" s="17">
        <f t="shared" si="10"/>
        <v>3.589280359789043E-3</v>
      </c>
      <c r="E311" s="17"/>
      <c r="F311" s="17"/>
      <c r="G311" s="17"/>
      <c r="H311" s="17"/>
      <c r="I311" s="17"/>
    </row>
    <row r="312" spans="1:9">
      <c r="A312" s="16">
        <v>28.1</v>
      </c>
      <c r="B312" s="17">
        <v>48.038519000000001</v>
      </c>
      <c r="C312" s="17">
        <f t="shared" si="9"/>
        <v>548.03851899999995</v>
      </c>
      <c r="D312" s="17">
        <f t="shared" si="10"/>
        <v>3.5877237702613024E-3</v>
      </c>
      <c r="E312" s="17"/>
      <c r="F312" s="17"/>
      <c r="G312" s="17"/>
      <c r="H312" s="17"/>
      <c r="I312" s="17"/>
    </row>
    <row r="313" spans="1:9">
      <c r="A313" s="16">
        <v>28.2</v>
      </c>
      <c r="B313" s="17">
        <v>47.802565000000001</v>
      </c>
      <c r="C313" s="17">
        <f t="shared" si="9"/>
        <v>547.80256499999996</v>
      </c>
      <c r="D313" s="17">
        <f t="shared" si="10"/>
        <v>3.5861791018755237E-3</v>
      </c>
      <c r="E313" s="17"/>
      <c r="F313" s="17"/>
      <c r="G313" s="17"/>
      <c r="H313" s="17"/>
      <c r="I313" s="17"/>
    </row>
    <row r="314" spans="1:9">
      <c r="A314" s="16">
        <v>28.3</v>
      </c>
      <c r="B314" s="17">
        <v>47.568415000000002</v>
      </c>
      <c r="C314" s="17">
        <f t="shared" si="9"/>
        <v>547.56841499999996</v>
      </c>
      <c r="D314" s="17">
        <f t="shared" si="10"/>
        <v>3.5846462433415296E-3</v>
      </c>
      <c r="E314" s="17"/>
      <c r="F314" s="17"/>
      <c r="G314" s="17"/>
      <c r="H314" s="17"/>
      <c r="I314" s="17"/>
    </row>
    <row r="315" spans="1:9">
      <c r="A315" s="16">
        <v>28.4</v>
      </c>
      <c r="B315" s="17">
        <v>47.336049000000003</v>
      </c>
      <c r="C315" s="17">
        <f t="shared" si="9"/>
        <v>547.336049</v>
      </c>
      <c r="D315" s="17">
        <f t="shared" si="10"/>
        <v>3.583125063729699E-3</v>
      </c>
      <c r="E315" s="17"/>
      <c r="F315" s="17"/>
      <c r="G315" s="17"/>
      <c r="H315" s="17"/>
      <c r="I315" s="17"/>
    </row>
    <row r="316" spans="1:9">
      <c r="A316" s="16">
        <v>28.5</v>
      </c>
      <c r="B316" s="17">
        <v>47.105440000000002</v>
      </c>
      <c r="C316" s="17">
        <f t="shared" si="9"/>
        <v>547.10544000000004</v>
      </c>
      <c r="D316" s="17">
        <f t="shared" si="10"/>
        <v>3.5816153862850445E-3</v>
      </c>
      <c r="E316" s="17"/>
      <c r="F316" s="17"/>
      <c r="G316" s="17"/>
      <c r="H316" s="17"/>
      <c r="I316" s="17"/>
    </row>
    <row r="317" spans="1:9">
      <c r="A317" s="16">
        <v>28.6</v>
      </c>
      <c r="B317" s="17">
        <v>46.876570999999998</v>
      </c>
      <c r="C317" s="17">
        <f t="shared" si="9"/>
        <v>546.87657100000001</v>
      </c>
      <c r="D317" s="17">
        <f t="shared" si="10"/>
        <v>3.5801170997173883E-3</v>
      </c>
      <c r="E317" s="17"/>
      <c r="F317" s="17"/>
      <c r="G317" s="17"/>
      <c r="H317" s="17"/>
      <c r="I317" s="17"/>
    </row>
    <row r="318" spans="1:9">
      <c r="A318" s="16">
        <v>28.7</v>
      </c>
      <c r="B318" s="17">
        <v>46.649420999999997</v>
      </c>
      <c r="C318" s="17">
        <f t="shared" si="9"/>
        <v>546.64942099999996</v>
      </c>
      <c r="D318" s="17">
        <f t="shared" si="10"/>
        <v>3.5786300665506289E-3</v>
      </c>
      <c r="E318" s="17"/>
      <c r="F318" s="17"/>
      <c r="G318" s="17"/>
      <c r="H318" s="17"/>
      <c r="I318" s="17"/>
    </row>
    <row r="319" spans="1:9">
      <c r="A319" s="16">
        <v>28.8</v>
      </c>
      <c r="B319" s="17">
        <v>46.423971999999999</v>
      </c>
      <c r="C319" s="17">
        <f t="shared" si="9"/>
        <v>546.42397200000005</v>
      </c>
      <c r="D319" s="17">
        <f t="shared" si="10"/>
        <v>3.5771541689481067E-3</v>
      </c>
      <c r="E319" s="17"/>
      <c r="F319" s="17"/>
      <c r="G319" s="17"/>
      <c r="H319" s="17"/>
      <c r="I319" s="17"/>
    </row>
    <row r="320" spans="1:9">
      <c r="A320" s="16">
        <v>28.9</v>
      </c>
      <c r="B320" s="17">
        <v>46.200201999999997</v>
      </c>
      <c r="C320" s="17">
        <f t="shared" si="9"/>
        <v>546.20020199999999</v>
      </c>
      <c r="D320" s="17">
        <f t="shared" si="10"/>
        <v>3.5756892628872406E-3</v>
      </c>
      <c r="E320" s="17"/>
      <c r="F320" s="17"/>
      <c r="G320" s="17"/>
      <c r="H320" s="17"/>
      <c r="I320" s="17"/>
    </row>
    <row r="321" spans="1:9">
      <c r="A321" s="16">
        <v>29</v>
      </c>
      <c r="B321" s="17">
        <v>45.978091999999997</v>
      </c>
      <c r="C321" s="17">
        <f t="shared" si="9"/>
        <v>545.97809199999995</v>
      </c>
      <c r="D321" s="17">
        <f t="shared" si="10"/>
        <v>3.5742352239848895E-3</v>
      </c>
      <c r="E321" s="17"/>
      <c r="F321" s="17"/>
      <c r="G321" s="17"/>
      <c r="H321" s="17"/>
      <c r="I321" s="17"/>
    </row>
    <row r="322" spans="1:9">
      <c r="A322" s="16">
        <v>29.1</v>
      </c>
      <c r="B322" s="17">
        <v>45.757626000000002</v>
      </c>
      <c r="C322" s="17">
        <f t="shared" si="9"/>
        <v>545.75762599999996</v>
      </c>
      <c r="D322" s="17">
        <f t="shared" si="10"/>
        <v>3.572791947497358E-3</v>
      </c>
      <c r="E322" s="17"/>
      <c r="F322" s="17"/>
      <c r="G322" s="17"/>
      <c r="H322" s="17"/>
      <c r="I322" s="17"/>
    </row>
    <row r="323" spans="1:9">
      <c r="A323" s="16">
        <v>29.2</v>
      </c>
      <c r="B323" s="17">
        <v>45.538778000000001</v>
      </c>
      <c r="C323" s="17">
        <f t="shared" si="9"/>
        <v>545.53877799999998</v>
      </c>
      <c r="D323" s="17">
        <f t="shared" si="10"/>
        <v>3.5713592632161382E-3</v>
      </c>
      <c r="E323" s="17"/>
      <c r="F323" s="17"/>
      <c r="G323" s="17"/>
      <c r="H323" s="17"/>
      <c r="I323" s="17"/>
    </row>
    <row r="324" spans="1:9">
      <c r="A324" s="16">
        <v>29.3</v>
      </c>
      <c r="B324" s="17">
        <v>45.321537999999997</v>
      </c>
      <c r="C324" s="17">
        <f t="shared" si="9"/>
        <v>545.32153800000003</v>
      </c>
      <c r="D324" s="17">
        <f t="shared" si="10"/>
        <v>3.5699371056764203E-3</v>
      </c>
      <c r="E324" s="17"/>
      <c r="F324" s="17"/>
      <c r="G324" s="17"/>
      <c r="H324" s="17"/>
      <c r="I324" s="17"/>
    </row>
    <row r="325" spans="1:9">
      <c r="A325" s="16">
        <v>29.4</v>
      </c>
      <c r="B325" s="17">
        <v>45.105882000000001</v>
      </c>
      <c r="C325" s="17">
        <f t="shared" si="9"/>
        <v>545.10588199999995</v>
      </c>
      <c r="D325" s="17">
        <f t="shared" si="10"/>
        <v>3.5685253177626603E-3</v>
      </c>
      <c r="E325" s="17"/>
      <c r="F325" s="17"/>
      <c r="G325" s="17"/>
      <c r="H325" s="17"/>
      <c r="I325" s="17"/>
    </row>
    <row r="326" spans="1:9">
      <c r="A326" s="16">
        <v>29.5</v>
      </c>
      <c r="B326" s="17">
        <v>44.891792000000002</v>
      </c>
      <c r="C326" s="17">
        <f t="shared" si="9"/>
        <v>544.89179200000001</v>
      </c>
      <c r="D326" s="17">
        <f t="shared" si="10"/>
        <v>3.5671237816381979E-3</v>
      </c>
      <c r="E326" s="17"/>
      <c r="F326" s="17"/>
      <c r="G326" s="17"/>
      <c r="H326" s="17"/>
      <c r="I326" s="17"/>
    </row>
    <row r="327" spans="1:9">
      <c r="A327" s="16">
        <v>29.6</v>
      </c>
      <c r="B327" s="17">
        <v>44.679256000000002</v>
      </c>
      <c r="C327" s="17">
        <f t="shared" si="9"/>
        <v>544.67925600000001</v>
      </c>
      <c r="D327" s="17">
        <f t="shared" si="10"/>
        <v>3.5657324187452618E-3</v>
      </c>
      <c r="E327" s="17"/>
      <c r="F327" s="17"/>
      <c r="G327" s="17"/>
      <c r="H327" s="17"/>
      <c r="I327" s="17"/>
    </row>
    <row r="328" spans="1:9">
      <c r="A328" s="16">
        <v>29.7</v>
      </c>
      <c r="B328" s="17">
        <v>44.468249</v>
      </c>
      <c r="C328" s="17">
        <f t="shared" si="9"/>
        <v>544.46824900000001</v>
      </c>
      <c r="D328" s="17">
        <f t="shared" si="10"/>
        <v>3.5643510654218263E-3</v>
      </c>
      <c r="E328" s="17"/>
      <c r="F328" s="17"/>
      <c r="G328" s="17"/>
      <c r="H328" s="17"/>
      <c r="I328" s="17"/>
    </row>
    <row r="329" spans="1:9">
      <c r="A329" s="16">
        <v>29.8</v>
      </c>
      <c r="B329" s="17">
        <v>44.258760000000002</v>
      </c>
      <c r="C329" s="17">
        <f t="shared" si="9"/>
        <v>544.25876000000005</v>
      </c>
      <c r="D329" s="17">
        <f t="shared" si="10"/>
        <v>3.5629796496565989E-3</v>
      </c>
      <c r="E329" s="17"/>
      <c r="F329" s="17"/>
      <c r="G329" s="17"/>
      <c r="H329" s="17"/>
      <c r="I329" s="17"/>
    </row>
    <row r="330" spans="1:9">
      <c r="A330" s="16">
        <v>29.9</v>
      </c>
      <c r="B330" s="17">
        <v>44.050769000000003</v>
      </c>
      <c r="C330" s="17">
        <f t="shared" si="9"/>
        <v>544.05076899999995</v>
      </c>
      <c r="D330" s="17">
        <f t="shared" si="10"/>
        <v>3.5616180405199601E-3</v>
      </c>
      <c r="E330" s="17"/>
      <c r="F330" s="17"/>
      <c r="G330" s="17"/>
      <c r="H330" s="17"/>
      <c r="I330" s="17"/>
    </row>
    <row r="331" spans="1:9">
      <c r="A331" s="16">
        <v>30</v>
      </c>
      <c r="B331" s="17">
        <v>43.844261000000003</v>
      </c>
      <c r="C331" s="17">
        <f t="shared" si="9"/>
        <v>543.84426099999996</v>
      </c>
      <c r="D331" s="17">
        <f t="shared" si="10"/>
        <v>3.5602661398146944E-3</v>
      </c>
      <c r="E331" s="17"/>
      <c r="F331" s="17"/>
      <c r="G331" s="17"/>
      <c r="H331" s="17"/>
      <c r="I331" s="17"/>
    </row>
    <row r="332" spans="1:9">
      <c r="A332" s="16">
        <v>30.1</v>
      </c>
      <c r="B332" s="17">
        <v>43.639217000000002</v>
      </c>
      <c r="C332" s="17">
        <f t="shared" si="9"/>
        <v>543.63921700000003</v>
      </c>
      <c r="D332" s="17">
        <f t="shared" si="10"/>
        <v>3.5589238231576604E-3</v>
      </c>
      <c r="E332" s="17"/>
      <c r="F332" s="17"/>
      <c r="G332" s="17"/>
      <c r="H332" s="17"/>
      <c r="I332" s="17"/>
    </row>
    <row r="333" spans="1:9">
      <c r="A333" s="16">
        <v>30.2</v>
      </c>
      <c r="B333" s="17">
        <v>43.435623999999997</v>
      </c>
      <c r="C333" s="17">
        <f t="shared" si="9"/>
        <v>543.43562399999996</v>
      </c>
      <c r="D333" s="17">
        <f t="shared" si="10"/>
        <v>3.5575910054446067E-3</v>
      </c>
      <c r="E333" s="17"/>
      <c r="F333" s="17"/>
      <c r="G333" s="17"/>
      <c r="H333" s="17"/>
      <c r="I333" s="17"/>
    </row>
    <row r="334" spans="1:9">
      <c r="A334" s="16">
        <v>30.3</v>
      </c>
      <c r="B334" s="17">
        <v>43.233465000000002</v>
      </c>
      <c r="C334" s="17">
        <f t="shared" si="9"/>
        <v>543.23346500000002</v>
      </c>
      <c r="D334" s="17">
        <f t="shared" si="10"/>
        <v>3.5562675753853558E-3</v>
      </c>
      <c r="E334" s="17"/>
      <c r="F334" s="17"/>
      <c r="G334" s="17"/>
      <c r="H334" s="17"/>
      <c r="I334" s="17"/>
    </row>
    <row r="335" spans="1:9">
      <c r="A335" s="16">
        <v>30.4</v>
      </c>
      <c r="B335" s="17">
        <v>43.032722</v>
      </c>
      <c r="C335" s="17">
        <f t="shared" si="9"/>
        <v>543.03272200000004</v>
      </c>
      <c r="D335" s="17">
        <f t="shared" si="10"/>
        <v>3.5549534151432475E-3</v>
      </c>
      <c r="E335" s="17"/>
      <c r="F335" s="17"/>
      <c r="G335" s="17"/>
      <c r="H335" s="17"/>
      <c r="I335" s="17"/>
    </row>
    <row r="336" spans="1:9">
      <c r="A336" s="16">
        <v>30.5</v>
      </c>
      <c r="B336" s="17">
        <v>42.833381000000003</v>
      </c>
      <c r="C336" s="17">
        <f t="shared" si="9"/>
        <v>542.83338100000003</v>
      </c>
      <c r="D336" s="17">
        <f t="shared" si="10"/>
        <v>3.5536484330675488E-3</v>
      </c>
      <c r="E336" s="17"/>
      <c r="F336" s="17"/>
      <c r="G336" s="17"/>
      <c r="H336" s="17"/>
      <c r="I336" s="17"/>
    </row>
    <row r="337" spans="1:9">
      <c r="A337" s="16">
        <v>30.6</v>
      </c>
      <c r="B337" s="17">
        <v>42.635427999999997</v>
      </c>
      <c r="C337" s="17">
        <f t="shared" si="9"/>
        <v>542.63542800000005</v>
      </c>
      <c r="D337" s="17">
        <f t="shared" si="10"/>
        <v>3.5523525375075241E-3</v>
      </c>
      <c r="E337" s="17"/>
      <c r="F337" s="17"/>
      <c r="G337" s="17"/>
      <c r="H337" s="17"/>
      <c r="I337" s="17"/>
    </row>
    <row r="338" spans="1:9">
      <c r="A338" s="16">
        <v>30.7</v>
      </c>
      <c r="B338" s="17">
        <v>42.438845999999998</v>
      </c>
      <c r="C338" s="17">
        <f t="shared" si="9"/>
        <v>542.43884600000001</v>
      </c>
      <c r="D338" s="17">
        <f t="shared" si="10"/>
        <v>3.5510656171729967E-3</v>
      </c>
      <c r="E338" s="17"/>
      <c r="F338" s="17"/>
      <c r="G338" s="17"/>
      <c r="H338" s="17"/>
      <c r="I338" s="17"/>
    </row>
    <row r="339" spans="1:9">
      <c r="A339" s="16">
        <v>30.8</v>
      </c>
      <c r="B339" s="17">
        <v>42.243623999999997</v>
      </c>
      <c r="C339" s="17">
        <f t="shared" si="9"/>
        <v>542.24362399999995</v>
      </c>
      <c r="D339" s="17">
        <f t="shared" si="10"/>
        <v>3.5497876000526742E-3</v>
      </c>
      <c r="E339" s="17"/>
      <c r="F339" s="17"/>
      <c r="G339" s="17"/>
      <c r="H339" s="17"/>
      <c r="I339" s="17"/>
    </row>
    <row r="340" spans="1:9">
      <c r="A340" s="16">
        <v>30.9</v>
      </c>
      <c r="B340" s="17">
        <v>42.049745000000001</v>
      </c>
      <c r="C340" s="17">
        <f t="shared" si="9"/>
        <v>542.04974500000003</v>
      </c>
      <c r="D340" s="17">
        <f t="shared" si="10"/>
        <v>3.5485183748563804E-3</v>
      </c>
      <c r="E340" s="17"/>
      <c r="F340" s="17"/>
      <c r="G340" s="17"/>
      <c r="H340" s="17"/>
      <c r="I340" s="17"/>
    </row>
    <row r="341" spans="1:9">
      <c r="A341" s="16">
        <v>31</v>
      </c>
      <c r="B341" s="17">
        <v>41.857193000000002</v>
      </c>
      <c r="C341" s="17">
        <f t="shared" si="9"/>
        <v>541.85719300000005</v>
      </c>
      <c r="D341" s="17">
        <f t="shared" si="10"/>
        <v>3.547257836840418E-3</v>
      </c>
      <c r="E341" s="17"/>
      <c r="F341" s="17"/>
      <c r="G341" s="17"/>
      <c r="H341" s="17"/>
      <c r="I341" s="17"/>
    </row>
    <row r="342" spans="1:9">
      <c r="A342" s="16">
        <v>31.1</v>
      </c>
      <c r="B342" s="17">
        <v>41.665953000000002</v>
      </c>
      <c r="C342" s="17">
        <f t="shared" si="9"/>
        <v>541.66595299999994</v>
      </c>
      <c r="D342" s="17">
        <f t="shared" si="10"/>
        <v>3.546005887807571E-3</v>
      </c>
      <c r="E342" s="17"/>
      <c r="F342" s="17"/>
      <c r="G342" s="17"/>
      <c r="H342" s="17"/>
      <c r="I342" s="17"/>
    </row>
    <row r="343" spans="1:9">
      <c r="A343" s="16">
        <v>31.2</v>
      </c>
      <c r="B343" s="17">
        <v>41.476016000000001</v>
      </c>
      <c r="C343" s="17">
        <f t="shared" si="9"/>
        <v>541.47601599999996</v>
      </c>
      <c r="D343" s="17">
        <f t="shared" si="10"/>
        <v>3.544762468839511E-3</v>
      </c>
      <c r="E343" s="17"/>
      <c r="F343" s="17"/>
      <c r="G343" s="17"/>
      <c r="H343" s="17"/>
      <c r="I343" s="17"/>
    </row>
    <row r="344" spans="1:9">
      <c r="A344" s="16">
        <v>31.3</v>
      </c>
      <c r="B344" s="17">
        <v>41.287362000000002</v>
      </c>
      <c r="C344" s="17">
        <f t="shared" si="9"/>
        <v>541.28736200000003</v>
      </c>
      <c r="D344" s="17">
        <f t="shared" si="10"/>
        <v>3.5435274490066174E-3</v>
      </c>
      <c r="E344" s="17"/>
      <c r="F344" s="17"/>
      <c r="G344" s="17"/>
      <c r="H344" s="17"/>
      <c r="I344" s="17"/>
    </row>
    <row r="345" spans="1:9">
      <c r="A345" s="16">
        <v>31.4</v>
      </c>
      <c r="B345" s="17">
        <v>41.099986000000001</v>
      </c>
      <c r="C345" s="17">
        <f t="shared" si="9"/>
        <v>541.09998599999994</v>
      </c>
      <c r="D345" s="17">
        <f t="shared" si="10"/>
        <v>3.542300795576484E-3</v>
      </c>
      <c r="E345" s="17"/>
      <c r="F345" s="17"/>
      <c r="G345" s="17"/>
      <c r="H345" s="17"/>
      <c r="I345" s="17"/>
    </row>
    <row r="346" spans="1:9">
      <c r="A346" s="16">
        <v>31.5</v>
      </c>
      <c r="B346" s="17">
        <v>40.913865999999999</v>
      </c>
      <c r="C346" s="17">
        <f t="shared" si="9"/>
        <v>540.91386599999998</v>
      </c>
      <c r="D346" s="17">
        <f t="shared" si="10"/>
        <v>3.5410823645265288E-3</v>
      </c>
      <c r="E346" s="17"/>
      <c r="F346" s="17"/>
      <c r="G346" s="17"/>
      <c r="H346" s="17"/>
      <c r="I346" s="17"/>
    </row>
    <row r="347" spans="1:9">
      <c r="A347" s="16">
        <v>31.6</v>
      </c>
      <c r="B347" s="17">
        <v>40.728993000000003</v>
      </c>
      <c r="C347" s="17">
        <f t="shared" si="9"/>
        <v>540.72899299999995</v>
      </c>
      <c r="D347" s="17">
        <f t="shared" si="10"/>
        <v>3.5398720969384225E-3</v>
      </c>
      <c r="E347" s="17"/>
      <c r="F347" s="17"/>
      <c r="G347" s="17"/>
      <c r="H347" s="17"/>
      <c r="I347" s="17"/>
    </row>
    <row r="348" spans="1:9">
      <c r="A348" s="16">
        <v>31.7</v>
      </c>
      <c r="B348" s="17">
        <v>40.545350999999997</v>
      </c>
      <c r="C348" s="17">
        <f t="shared" si="9"/>
        <v>540.54535099999998</v>
      </c>
      <c r="D348" s="17">
        <f t="shared" si="10"/>
        <v>3.5386698880684685E-3</v>
      </c>
      <c r="E348" s="17"/>
      <c r="F348" s="17"/>
      <c r="G348" s="17"/>
      <c r="H348" s="17"/>
      <c r="I348" s="17"/>
    </row>
    <row r="349" spans="1:9">
      <c r="A349" s="16">
        <v>31.8</v>
      </c>
      <c r="B349" s="17">
        <v>40.362932999999998</v>
      </c>
      <c r="C349" s="17">
        <f t="shared" si="9"/>
        <v>540.362933</v>
      </c>
      <c r="D349" s="17">
        <f t="shared" si="10"/>
        <v>3.5374756920912988E-3</v>
      </c>
      <c r="E349" s="17"/>
      <c r="F349" s="17"/>
      <c r="G349" s="17"/>
      <c r="H349" s="17"/>
      <c r="I349" s="17"/>
    </row>
    <row r="350" spans="1:9">
      <c r="A350" s="16">
        <v>31.9</v>
      </c>
      <c r="B350" s="17">
        <v>40.181721000000003</v>
      </c>
      <c r="C350" s="17">
        <f t="shared" si="9"/>
        <v>540.18172100000004</v>
      </c>
      <c r="D350" s="17">
        <f t="shared" si="10"/>
        <v>3.5362893911702565E-3</v>
      </c>
      <c r="E350" s="17"/>
      <c r="F350" s="17"/>
      <c r="G350" s="17"/>
      <c r="H350" s="17"/>
      <c r="I350" s="17"/>
    </row>
    <row r="351" spans="1:9">
      <c r="A351" s="16">
        <v>32</v>
      </c>
      <c r="B351" s="17">
        <v>40.001703999999997</v>
      </c>
      <c r="C351" s="17">
        <f t="shared" si="9"/>
        <v>540.00170400000002</v>
      </c>
      <c r="D351" s="17">
        <f t="shared" si="10"/>
        <v>3.5351109132940482E-3</v>
      </c>
      <c r="E351" s="17"/>
      <c r="F351" s="17"/>
      <c r="G351" s="17"/>
      <c r="H351" s="17"/>
      <c r="I351" s="17"/>
    </row>
    <row r="352" spans="1:9">
      <c r="A352" s="16">
        <v>32.1</v>
      </c>
      <c r="B352" s="17">
        <v>39.822870000000002</v>
      </c>
      <c r="C352" s="17">
        <f t="shared" si="9"/>
        <v>539.82286999999997</v>
      </c>
      <c r="D352" s="17">
        <f t="shared" si="10"/>
        <v>3.5339401799049041E-3</v>
      </c>
      <c r="E352" s="17"/>
      <c r="F352" s="17"/>
      <c r="G352" s="17"/>
      <c r="H352" s="17"/>
      <c r="I352" s="17"/>
    </row>
    <row r="353" spans="1:9">
      <c r="A353" s="16">
        <v>32.200000000000003</v>
      </c>
      <c r="B353" s="17">
        <v>39.645206999999999</v>
      </c>
      <c r="C353" s="17">
        <f t="shared" si="9"/>
        <v>539.64520700000003</v>
      </c>
      <c r="D353" s="17">
        <f t="shared" si="10"/>
        <v>3.5327771124450489E-3</v>
      </c>
      <c r="E353" s="17"/>
      <c r="F353" s="17"/>
      <c r="G353" s="17"/>
      <c r="H353" s="17"/>
      <c r="I353" s="17"/>
    </row>
    <row r="354" spans="1:9">
      <c r="A354" s="16">
        <v>32.299999999999997</v>
      </c>
      <c r="B354" s="17">
        <v>39.468702</v>
      </c>
      <c r="C354" s="17">
        <f t="shared" si="9"/>
        <v>539.46870200000001</v>
      </c>
      <c r="D354" s="17">
        <f t="shared" si="10"/>
        <v>3.5316216258102309E-3</v>
      </c>
      <c r="E354" s="17"/>
      <c r="F354" s="17"/>
      <c r="G354" s="17"/>
      <c r="H354" s="17"/>
      <c r="I354" s="17"/>
    </row>
    <row r="355" spans="1:9">
      <c r="A355" s="16">
        <v>32.4</v>
      </c>
      <c r="B355" s="17">
        <v>39.293346</v>
      </c>
      <c r="C355" s="17">
        <f t="shared" si="9"/>
        <v>539.29334600000004</v>
      </c>
      <c r="D355" s="17">
        <f t="shared" si="10"/>
        <v>3.5304736610821202E-3</v>
      </c>
      <c r="E355" s="17"/>
      <c r="F355" s="17"/>
      <c r="G355" s="17"/>
      <c r="H355" s="17"/>
      <c r="I355" s="17"/>
    </row>
    <row r="356" spans="1:9">
      <c r="A356" s="16">
        <v>32.5</v>
      </c>
      <c r="B356" s="17">
        <v>39.119123000000002</v>
      </c>
      <c r="C356" s="17">
        <f t="shared" si="9"/>
        <v>539.11912299999995</v>
      </c>
      <c r="D356" s="17">
        <f t="shared" si="10"/>
        <v>3.5293331135170208E-3</v>
      </c>
      <c r="E356" s="17"/>
      <c r="F356" s="17"/>
      <c r="G356" s="17"/>
      <c r="H356" s="17"/>
      <c r="I356" s="17"/>
    </row>
    <row r="357" spans="1:9">
      <c r="A357" s="16">
        <v>32.6</v>
      </c>
      <c r="B357" s="17">
        <v>38.946024000000001</v>
      </c>
      <c r="C357" s="17">
        <f t="shared" si="9"/>
        <v>538.94602399999997</v>
      </c>
      <c r="D357" s="17">
        <f t="shared" si="10"/>
        <v>3.5281999241966026E-3</v>
      </c>
      <c r="E357" s="17"/>
      <c r="F357" s="17"/>
      <c r="G357" s="17"/>
      <c r="H357" s="17"/>
      <c r="I357" s="17"/>
    </row>
    <row r="358" spans="1:9">
      <c r="A358" s="16">
        <v>32.700000000000003</v>
      </c>
      <c r="B358" s="17">
        <v>38.774037</v>
      </c>
      <c r="C358" s="17">
        <f t="shared" si="9"/>
        <v>538.77403700000002</v>
      </c>
      <c r="D358" s="17">
        <f t="shared" si="10"/>
        <v>3.5270740145630945E-3</v>
      </c>
      <c r="E358" s="17"/>
      <c r="F358" s="17"/>
      <c r="G358" s="17"/>
      <c r="H358" s="17"/>
      <c r="I358" s="17"/>
    </row>
    <row r="359" spans="1:9">
      <c r="A359" s="16">
        <v>32.799999999999997</v>
      </c>
      <c r="B359" s="17">
        <v>38.603152999999999</v>
      </c>
      <c r="C359" s="17">
        <f t="shared" si="9"/>
        <v>538.60315300000002</v>
      </c>
      <c r="D359" s="17">
        <f t="shared" si="10"/>
        <v>3.5259553256981649E-3</v>
      </c>
      <c r="E359" s="17"/>
      <c r="F359" s="17"/>
      <c r="G359" s="17"/>
      <c r="H359" s="17"/>
      <c r="I359" s="17"/>
    </row>
    <row r="360" spans="1:9">
      <c r="A360" s="16">
        <v>32.9</v>
      </c>
      <c r="B360" s="17">
        <v>38.433357999999998</v>
      </c>
      <c r="C360" s="17">
        <f t="shared" si="9"/>
        <v>538.433358</v>
      </c>
      <c r="D360" s="17">
        <f t="shared" si="10"/>
        <v>3.5248437659510818E-3</v>
      </c>
      <c r="E360" s="17"/>
      <c r="F360" s="17"/>
      <c r="G360" s="17"/>
      <c r="H360" s="17"/>
      <c r="I360" s="17"/>
    </row>
    <row r="361" spans="1:9">
      <c r="A361" s="16">
        <v>33</v>
      </c>
      <c r="B361" s="17">
        <v>38.264640999999997</v>
      </c>
      <c r="C361" s="17">
        <f t="shared" si="9"/>
        <v>538.26464099999998</v>
      </c>
      <c r="D361" s="17">
        <f t="shared" si="10"/>
        <v>3.5237392633105527E-3</v>
      </c>
      <c r="E361" s="17"/>
      <c r="F361" s="17"/>
      <c r="G361" s="17"/>
      <c r="H361" s="17"/>
      <c r="I361" s="17"/>
    </row>
    <row r="362" spans="1:9">
      <c r="A362" s="16">
        <v>33.1</v>
      </c>
      <c r="B362" s="17">
        <v>38.096994000000002</v>
      </c>
      <c r="C362" s="17">
        <f t="shared" si="9"/>
        <v>538.096994</v>
      </c>
      <c r="D362" s="17">
        <f t="shared" si="10"/>
        <v>3.5226417654047296E-3</v>
      </c>
      <c r="E362" s="17"/>
      <c r="F362" s="17"/>
      <c r="G362" s="17"/>
      <c r="H362" s="17"/>
      <c r="I362" s="17"/>
    </row>
    <row r="363" spans="1:9">
      <c r="A363" s="16">
        <v>33.200000000000003</v>
      </c>
      <c r="B363" s="17">
        <v>37.930404000000003</v>
      </c>
      <c r="C363" s="17">
        <f t="shared" si="9"/>
        <v>537.93040399999995</v>
      </c>
      <c r="D363" s="17">
        <f t="shared" si="10"/>
        <v>3.5215511871293588E-3</v>
      </c>
      <c r="E363" s="17"/>
      <c r="F363" s="17"/>
      <c r="G363" s="17"/>
      <c r="H363" s="17"/>
      <c r="I363" s="17"/>
    </row>
    <row r="364" spans="1:9">
      <c r="A364" s="16">
        <v>33.299999999999997</v>
      </c>
      <c r="B364" s="17">
        <v>37.764862999999998</v>
      </c>
      <c r="C364" s="17">
        <f t="shared" ref="C364:C427" si="11">B364+$C$26</f>
        <v>537.76486299999999</v>
      </c>
      <c r="D364" s="17">
        <f t="shared" ref="D364:D427" si="12">C364*1000000/(4*PI())*$C$13*RADIANS($C$20)*RADIANS($C$21)</f>
        <v>3.5204674761125918E-3</v>
      </c>
      <c r="E364" s="17"/>
      <c r="F364" s="17"/>
      <c r="G364" s="17"/>
      <c r="H364" s="17"/>
      <c r="I364" s="17"/>
    </row>
    <row r="365" spans="1:9">
      <c r="A365" s="16">
        <v>33.4</v>
      </c>
      <c r="B365" s="17">
        <v>37.600358</v>
      </c>
      <c r="C365" s="17">
        <f t="shared" si="11"/>
        <v>537.60035800000003</v>
      </c>
      <c r="D365" s="17">
        <f t="shared" si="12"/>
        <v>3.519390547250176E-3</v>
      </c>
      <c r="E365" s="17"/>
      <c r="F365" s="17"/>
      <c r="G365" s="17"/>
      <c r="H365" s="17"/>
      <c r="I365" s="17"/>
    </row>
    <row r="366" spans="1:9">
      <c r="A366" s="16">
        <v>33.5</v>
      </c>
      <c r="B366" s="17">
        <v>37.436878</v>
      </c>
      <c r="C366" s="17">
        <f t="shared" si="11"/>
        <v>537.43687799999998</v>
      </c>
      <c r="D366" s="17">
        <f t="shared" si="12"/>
        <v>3.518320328530819E-3</v>
      </c>
      <c r="E366" s="17"/>
      <c r="F366" s="17"/>
      <c r="G366" s="17"/>
      <c r="H366" s="17"/>
      <c r="I366" s="17"/>
    </row>
    <row r="367" spans="1:9">
      <c r="A367" s="16">
        <v>33.6</v>
      </c>
      <c r="B367" s="17">
        <v>37.274417999999997</v>
      </c>
      <c r="C367" s="17">
        <f t="shared" si="11"/>
        <v>537.27441799999997</v>
      </c>
      <c r="D367" s="17">
        <f t="shared" si="12"/>
        <v>3.5172567872221168E-3</v>
      </c>
      <c r="E367" s="17"/>
      <c r="F367" s="17"/>
      <c r="G367" s="17"/>
      <c r="H367" s="17"/>
      <c r="I367" s="17"/>
    </row>
    <row r="368" spans="1:9">
      <c r="A368" s="16">
        <v>33.700000000000003</v>
      </c>
      <c r="B368" s="17">
        <v>37.112963000000001</v>
      </c>
      <c r="C368" s="17">
        <f t="shared" si="11"/>
        <v>537.11296300000004</v>
      </c>
      <c r="D368" s="17">
        <f t="shared" si="12"/>
        <v>3.5161998251268525E-3</v>
      </c>
      <c r="E368" s="17"/>
      <c r="F368" s="17"/>
      <c r="G368" s="17"/>
      <c r="H368" s="17"/>
      <c r="I368" s="17"/>
    </row>
    <row r="369" spans="1:9">
      <c r="A369" s="16">
        <v>33.799999999999997</v>
      </c>
      <c r="B369" s="17">
        <v>36.952505000000002</v>
      </c>
      <c r="C369" s="17">
        <f t="shared" si="11"/>
        <v>536.95250499999997</v>
      </c>
      <c r="D369" s="17">
        <f t="shared" si="12"/>
        <v>3.5151493898731797E-3</v>
      </c>
      <c r="E369" s="17"/>
      <c r="F369" s="17"/>
      <c r="G369" s="17"/>
      <c r="H369" s="17"/>
      <c r="I369" s="17"/>
    </row>
    <row r="370" spans="1:9">
      <c r="A370" s="16">
        <v>33.9</v>
      </c>
      <c r="B370" s="17">
        <v>36.793033999999999</v>
      </c>
      <c r="C370" s="17">
        <f t="shared" si="11"/>
        <v>536.79303400000003</v>
      </c>
      <c r="D370" s="17">
        <f t="shared" si="12"/>
        <v>3.514105415996286E-3</v>
      </c>
      <c r="E370" s="17"/>
      <c r="F370" s="17"/>
      <c r="G370" s="17"/>
      <c r="H370" s="17"/>
      <c r="I370" s="17"/>
    </row>
    <row r="371" spans="1:9">
      <c r="A371" s="16">
        <v>34</v>
      </c>
      <c r="B371" s="17">
        <v>36.634542000000003</v>
      </c>
      <c r="C371" s="17">
        <f t="shared" si="11"/>
        <v>536.63454200000001</v>
      </c>
      <c r="D371" s="17">
        <f t="shared" si="12"/>
        <v>3.5130678511243242E-3</v>
      </c>
      <c r="E371" s="17"/>
      <c r="F371" s="17"/>
      <c r="G371" s="17"/>
      <c r="H371" s="17"/>
      <c r="I371" s="17"/>
    </row>
    <row r="372" spans="1:9">
      <c r="A372" s="16">
        <v>34.1</v>
      </c>
      <c r="B372" s="17">
        <v>36.477018000000001</v>
      </c>
      <c r="C372" s="17">
        <f t="shared" si="11"/>
        <v>536.47701800000004</v>
      </c>
      <c r="D372" s="17">
        <f t="shared" si="12"/>
        <v>3.5120366232460035E-3</v>
      </c>
      <c r="E372" s="17"/>
      <c r="F372" s="17"/>
      <c r="G372" s="17"/>
      <c r="H372" s="17"/>
      <c r="I372" s="17"/>
    </row>
    <row r="373" spans="1:9">
      <c r="A373" s="16">
        <v>34.200000000000003</v>
      </c>
      <c r="B373" s="17">
        <v>36.320455000000003</v>
      </c>
      <c r="C373" s="17">
        <f t="shared" si="11"/>
        <v>536.32045500000004</v>
      </c>
      <c r="D373" s="17">
        <f t="shared" si="12"/>
        <v>3.5110116865359558E-3</v>
      </c>
      <c r="E373" s="17"/>
      <c r="F373" s="17"/>
      <c r="G373" s="17"/>
      <c r="H373" s="17"/>
      <c r="I373" s="17"/>
    </row>
    <row r="374" spans="1:9">
      <c r="A374" s="16">
        <v>34.299999999999997</v>
      </c>
      <c r="B374" s="17">
        <v>36.164839999999998</v>
      </c>
      <c r="C374" s="17">
        <f t="shared" si="11"/>
        <v>536.16484000000003</v>
      </c>
      <c r="D374" s="17">
        <f t="shared" si="12"/>
        <v>3.5099929558899271E-3</v>
      </c>
      <c r="E374" s="17"/>
      <c r="F374" s="17"/>
      <c r="G374" s="17"/>
      <c r="H374" s="17"/>
      <c r="I374" s="17"/>
    </row>
    <row r="375" spans="1:9">
      <c r="A375" s="16">
        <v>34.4</v>
      </c>
      <c r="B375" s="17">
        <v>36.010162999999999</v>
      </c>
      <c r="C375" s="17">
        <f t="shared" si="11"/>
        <v>536.01016300000003</v>
      </c>
      <c r="D375" s="17">
        <f t="shared" si="12"/>
        <v>3.5089803658431081E-3</v>
      </c>
      <c r="E375" s="17"/>
      <c r="F375" s="17"/>
      <c r="G375" s="17"/>
      <c r="H375" s="17"/>
      <c r="I375" s="17"/>
    </row>
    <row r="376" spans="1:9">
      <c r="A376" s="16">
        <v>34.5</v>
      </c>
      <c r="B376" s="17">
        <v>35.856422999999999</v>
      </c>
      <c r="C376" s="17">
        <f t="shared" si="11"/>
        <v>535.85642299999995</v>
      </c>
      <c r="D376" s="17">
        <f t="shared" si="12"/>
        <v>3.507973909849017E-3</v>
      </c>
      <c r="E376" s="17"/>
      <c r="F376" s="17"/>
      <c r="G376" s="17"/>
      <c r="H376" s="17"/>
      <c r="I376" s="17"/>
    </row>
    <row r="377" spans="1:9">
      <c r="A377" s="16">
        <v>34.6</v>
      </c>
      <c r="B377" s="17">
        <v>35.703603000000001</v>
      </c>
      <c r="C377" s="17">
        <f t="shared" si="11"/>
        <v>535.70360300000004</v>
      </c>
      <c r="D377" s="17">
        <f t="shared" si="12"/>
        <v>3.5069734766174786E-3</v>
      </c>
      <c r="E377" s="17"/>
      <c r="F377" s="17"/>
      <c r="G377" s="17"/>
      <c r="H377" s="17"/>
      <c r="I377" s="17"/>
    </row>
    <row r="378" spans="1:9">
      <c r="A378" s="16">
        <v>34.700000000000003</v>
      </c>
      <c r="B378" s="17">
        <v>35.551698000000002</v>
      </c>
      <c r="C378" s="17">
        <f t="shared" si="11"/>
        <v>535.55169799999999</v>
      </c>
      <c r="D378" s="17">
        <f t="shared" si="12"/>
        <v>3.5059790334160843E-3</v>
      </c>
      <c r="E378" s="17"/>
      <c r="F378" s="17"/>
      <c r="G378" s="17"/>
      <c r="H378" s="17"/>
      <c r="I378" s="17"/>
    </row>
    <row r="379" spans="1:9">
      <c r="A379" s="16">
        <v>34.799999999999997</v>
      </c>
      <c r="B379" s="17">
        <v>35.400699000000003</v>
      </c>
      <c r="C379" s="17">
        <f t="shared" si="11"/>
        <v>535.40069900000003</v>
      </c>
      <c r="D379" s="17">
        <f t="shared" si="12"/>
        <v>3.5049905213265075E-3</v>
      </c>
      <c r="E379" s="17"/>
      <c r="F379" s="17"/>
      <c r="G379" s="17"/>
      <c r="H379" s="17"/>
      <c r="I379" s="17"/>
    </row>
    <row r="380" spans="1:9">
      <c r="A380" s="16">
        <v>34.9</v>
      </c>
      <c r="B380" s="17">
        <v>35.250594999999997</v>
      </c>
      <c r="C380" s="17">
        <f t="shared" si="11"/>
        <v>535.25059499999998</v>
      </c>
      <c r="D380" s="17">
        <f t="shared" si="12"/>
        <v>3.5040078683374544E-3</v>
      </c>
      <c r="E380" s="17"/>
      <c r="F380" s="17"/>
      <c r="G380" s="17"/>
      <c r="H380" s="17"/>
      <c r="I380" s="17"/>
    </row>
    <row r="381" spans="1:9">
      <c r="A381" s="16">
        <v>35</v>
      </c>
      <c r="B381" s="17">
        <v>35.101382000000001</v>
      </c>
      <c r="C381" s="17">
        <f t="shared" si="11"/>
        <v>535.10138200000006</v>
      </c>
      <c r="D381" s="17">
        <f t="shared" si="12"/>
        <v>3.5030310482630023E-3</v>
      </c>
      <c r="E381" s="17"/>
      <c r="F381" s="17"/>
      <c r="G381" s="17"/>
      <c r="H381" s="17"/>
      <c r="I381" s="17"/>
    </row>
    <row r="382" spans="1:9">
      <c r="A382" s="16">
        <v>35.1</v>
      </c>
      <c r="B382" s="17">
        <v>34.953049999999998</v>
      </c>
      <c r="C382" s="17">
        <f t="shared" si="11"/>
        <v>534.95304999999996</v>
      </c>
      <c r="D382" s="17">
        <f t="shared" si="12"/>
        <v>3.5020599956383414E-3</v>
      </c>
      <c r="E382" s="17"/>
      <c r="F382" s="17"/>
      <c r="G382" s="17"/>
      <c r="H382" s="17"/>
      <c r="I382" s="17"/>
    </row>
    <row r="383" spans="1:9">
      <c r="A383" s="16">
        <v>35.200000000000003</v>
      </c>
      <c r="B383" s="17">
        <v>34.805588999999998</v>
      </c>
      <c r="C383" s="17">
        <f t="shared" si="11"/>
        <v>534.80558900000005</v>
      </c>
      <c r="D383" s="17">
        <f t="shared" si="12"/>
        <v>3.501094644998661E-3</v>
      </c>
      <c r="E383" s="17"/>
      <c r="F383" s="17"/>
      <c r="G383" s="17"/>
      <c r="H383" s="17"/>
      <c r="I383" s="17"/>
    </row>
    <row r="384" spans="1:9">
      <c r="A384" s="16">
        <v>35.299999999999997</v>
      </c>
      <c r="B384" s="17">
        <v>34.658991</v>
      </c>
      <c r="C384" s="17">
        <f t="shared" si="11"/>
        <v>534.65899100000001</v>
      </c>
      <c r="D384" s="17">
        <f t="shared" si="12"/>
        <v>3.5001349439721108E-3</v>
      </c>
      <c r="E384" s="17"/>
      <c r="F384" s="17"/>
      <c r="G384" s="17"/>
      <c r="H384" s="17"/>
      <c r="I384" s="17"/>
    </row>
    <row r="385" spans="1:9">
      <c r="A385" s="16">
        <v>35.4</v>
      </c>
      <c r="B385" s="17">
        <v>34.513252000000001</v>
      </c>
      <c r="C385" s="17">
        <f t="shared" si="11"/>
        <v>534.51325199999997</v>
      </c>
      <c r="D385" s="17">
        <f t="shared" si="12"/>
        <v>3.4991808663727697E-3</v>
      </c>
      <c r="E385" s="17"/>
      <c r="F385" s="17"/>
      <c r="G385" s="17"/>
      <c r="H385" s="17"/>
      <c r="I385" s="17"/>
    </row>
    <row r="386" spans="1:9">
      <c r="A386" s="16">
        <v>35.5</v>
      </c>
      <c r="B386" s="17">
        <v>34.368358000000001</v>
      </c>
      <c r="C386" s="17">
        <f t="shared" si="11"/>
        <v>534.36835799999994</v>
      </c>
      <c r="D386" s="17">
        <f t="shared" si="12"/>
        <v>3.4982323205499013E-3</v>
      </c>
      <c r="E386" s="17"/>
      <c r="F386" s="17"/>
      <c r="G386" s="17"/>
      <c r="H386" s="17"/>
      <c r="I386" s="17"/>
    </row>
    <row r="387" spans="1:9">
      <c r="A387" s="16">
        <v>35.6</v>
      </c>
      <c r="B387" s="17">
        <v>34.224305999999999</v>
      </c>
      <c r="C387" s="17">
        <f t="shared" si="11"/>
        <v>534.22430599999996</v>
      </c>
      <c r="D387" s="17">
        <f t="shared" si="12"/>
        <v>3.4972892868640635E-3</v>
      </c>
      <c r="E387" s="17"/>
      <c r="F387" s="17"/>
      <c r="G387" s="17"/>
      <c r="H387" s="17"/>
      <c r="I387" s="17"/>
    </row>
    <row r="388" spans="1:9">
      <c r="A388" s="16">
        <v>35.700000000000003</v>
      </c>
      <c r="B388" s="17">
        <v>34.081088000000001</v>
      </c>
      <c r="C388" s="17">
        <f t="shared" si="11"/>
        <v>534.08108800000002</v>
      </c>
      <c r="D388" s="17">
        <f t="shared" si="12"/>
        <v>3.4963517129434078E-3</v>
      </c>
      <c r="E388" s="17"/>
      <c r="F388" s="17"/>
      <c r="G388" s="17"/>
      <c r="H388" s="17"/>
      <c r="I388" s="17"/>
    </row>
    <row r="389" spans="1:9">
      <c r="A389" s="16">
        <v>35.799999999999997</v>
      </c>
      <c r="B389" s="17">
        <v>33.938693999999998</v>
      </c>
      <c r="C389" s="17">
        <f t="shared" si="11"/>
        <v>533.93869399999994</v>
      </c>
      <c r="D389" s="17">
        <f t="shared" si="12"/>
        <v>3.4954195333231231E-3</v>
      </c>
      <c r="E389" s="17"/>
      <c r="F389" s="17"/>
      <c r="G389" s="17"/>
      <c r="H389" s="17"/>
      <c r="I389" s="17"/>
    </row>
    <row r="390" spans="1:9">
      <c r="A390" s="16">
        <v>35.9</v>
      </c>
      <c r="B390" s="17">
        <v>33.797116000000003</v>
      </c>
      <c r="C390" s="17">
        <f t="shared" si="11"/>
        <v>533.79711599999996</v>
      </c>
      <c r="D390" s="17">
        <f t="shared" si="12"/>
        <v>3.4944926956313625E-3</v>
      </c>
      <c r="E390" s="17"/>
      <c r="F390" s="17"/>
      <c r="G390" s="17"/>
      <c r="H390" s="17"/>
      <c r="I390" s="17"/>
    </row>
    <row r="391" spans="1:9">
      <c r="A391" s="16">
        <v>36</v>
      </c>
      <c r="B391" s="17">
        <v>33.656351999999998</v>
      </c>
      <c r="C391" s="17">
        <f t="shared" si="11"/>
        <v>533.65635199999997</v>
      </c>
      <c r="D391" s="17">
        <f t="shared" si="12"/>
        <v>3.4935711867751626E-3</v>
      </c>
      <c r="E391" s="17"/>
      <c r="F391" s="17"/>
      <c r="G391" s="17"/>
      <c r="H391" s="17"/>
      <c r="I391" s="17"/>
    </row>
    <row r="392" spans="1:9">
      <c r="A392" s="16">
        <v>36.1</v>
      </c>
      <c r="B392" s="17">
        <v>33.516387000000002</v>
      </c>
      <c r="C392" s="17">
        <f t="shared" si="11"/>
        <v>533.51638700000001</v>
      </c>
      <c r="D392" s="17">
        <f t="shared" si="12"/>
        <v>3.4926549085573088E-3</v>
      </c>
      <c r="E392" s="17"/>
      <c r="F392" s="17"/>
      <c r="G392" s="17"/>
      <c r="H392" s="17"/>
      <c r="I392" s="17"/>
    </row>
    <row r="393" spans="1:9">
      <c r="A393" s="16">
        <v>36.200000000000003</v>
      </c>
      <c r="B393" s="17">
        <v>33.377220000000001</v>
      </c>
      <c r="C393" s="17">
        <f t="shared" si="11"/>
        <v>533.37721999999997</v>
      </c>
      <c r="D393" s="17">
        <f t="shared" si="12"/>
        <v>3.4917438544313194E-3</v>
      </c>
      <c r="E393" s="17"/>
      <c r="F393" s="17"/>
      <c r="G393" s="17"/>
      <c r="H393" s="17"/>
      <c r="I393" s="17"/>
    </row>
    <row r="394" spans="1:9">
      <c r="A394" s="16">
        <v>36.299999999999997</v>
      </c>
      <c r="B394" s="17">
        <v>33.238838999999999</v>
      </c>
      <c r="C394" s="17">
        <f t="shared" si="11"/>
        <v>533.23883899999998</v>
      </c>
      <c r="D394" s="17">
        <f t="shared" si="12"/>
        <v>3.4908379458394229E-3</v>
      </c>
      <c r="E394" s="17"/>
      <c r="F394" s="17"/>
      <c r="G394" s="17"/>
      <c r="H394" s="17"/>
      <c r="I394" s="17"/>
    </row>
    <row r="395" spans="1:9">
      <c r="A395" s="16">
        <v>36.4</v>
      </c>
      <c r="B395" s="17">
        <v>33.101241999999999</v>
      </c>
      <c r="C395" s="17">
        <f t="shared" si="11"/>
        <v>533.10124199999996</v>
      </c>
      <c r="D395" s="17">
        <f t="shared" si="12"/>
        <v>3.4899371696886562E-3</v>
      </c>
      <c r="E395" s="17"/>
      <c r="F395" s="17"/>
      <c r="G395" s="17"/>
      <c r="H395" s="17"/>
      <c r="I395" s="17"/>
    </row>
    <row r="396" spans="1:9">
      <c r="A396" s="16">
        <v>36.5</v>
      </c>
      <c r="B396" s="17">
        <v>32.964419999999997</v>
      </c>
      <c r="C396" s="17">
        <f t="shared" si="11"/>
        <v>532.96442000000002</v>
      </c>
      <c r="D396" s="17">
        <f t="shared" si="12"/>
        <v>3.4890414670606909E-3</v>
      </c>
      <c r="E396" s="17"/>
      <c r="F396" s="17"/>
      <c r="G396" s="17"/>
      <c r="H396" s="17"/>
      <c r="I396" s="17"/>
    </row>
    <row r="397" spans="1:9">
      <c r="A397" s="16">
        <v>36.6</v>
      </c>
      <c r="B397" s="17">
        <v>32.828361999999998</v>
      </c>
      <c r="C397" s="17">
        <f t="shared" si="11"/>
        <v>532.82836199999997</v>
      </c>
      <c r="D397" s="17">
        <f t="shared" si="12"/>
        <v>3.4881507659442344E-3</v>
      </c>
      <c r="E397" s="17"/>
      <c r="F397" s="17"/>
      <c r="G397" s="17"/>
      <c r="H397" s="17"/>
      <c r="I397" s="17"/>
    </row>
    <row r="398" spans="1:9">
      <c r="A398" s="16">
        <v>36.700000000000003</v>
      </c>
      <c r="B398" s="17">
        <v>32.693066000000002</v>
      </c>
      <c r="C398" s="17">
        <f t="shared" si="11"/>
        <v>532.69306600000004</v>
      </c>
      <c r="D398" s="17">
        <f t="shared" si="12"/>
        <v>3.4872650532463264E-3</v>
      </c>
      <c r="E398" s="17"/>
      <c r="F398" s="17"/>
      <c r="G398" s="17"/>
      <c r="H398" s="17"/>
      <c r="I398" s="17"/>
    </row>
    <row r="399" spans="1:9">
      <c r="A399" s="16">
        <v>36.799999999999997</v>
      </c>
      <c r="B399" s="17">
        <v>32.558526000000001</v>
      </c>
      <c r="C399" s="17">
        <f t="shared" si="11"/>
        <v>532.55852600000003</v>
      </c>
      <c r="D399" s="17">
        <f t="shared" si="12"/>
        <v>3.486384289688079E-3</v>
      </c>
      <c r="E399" s="17"/>
      <c r="F399" s="17"/>
      <c r="G399" s="17"/>
      <c r="H399" s="17"/>
      <c r="I399" s="17"/>
    </row>
    <row r="400" spans="1:9">
      <c r="A400" s="16">
        <v>36.9</v>
      </c>
      <c r="B400" s="17">
        <v>32.424731000000001</v>
      </c>
      <c r="C400" s="17">
        <f t="shared" si="11"/>
        <v>532.42473099999995</v>
      </c>
      <c r="D400" s="17">
        <f t="shared" si="12"/>
        <v>3.4855084032582016E-3</v>
      </c>
      <c r="E400" s="17"/>
      <c r="F400" s="17"/>
      <c r="G400" s="17"/>
      <c r="H400" s="17"/>
      <c r="I400" s="17"/>
    </row>
    <row r="401" spans="1:9">
      <c r="A401" s="16">
        <v>37</v>
      </c>
      <c r="B401" s="17">
        <v>32.291677</v>
      </c>
      <c r="C401" s="17">
        <f t="shared" si="11"/>
        <v>532.29167700000005</v>
      </c>
      <c r="D401" s="17">
        <f t="shared" si="12"/>
        <v>3.4846373677707709E-3</v>
      </c>
      <c r="E401" s="17"/>
      <c r="F401" s="17"/>
      <c r="G401" s="17"/>
      <c r="H401" s="17"/>
      <c r="I401" s="17"/>
    </row>
    <row r="402" spans="1:9">
      <c r="A402" s="16">
        <v>37.1</v>
      </c>
      <c r="B402" s="17">
        <v>32.159356000000002</v>
      </c>
      <c r="C402" s="17">
        <f t="shared" si="11"/>
        <v>532.159356</v>
      </c>
      <c r="D402" s="17">
        <f t="shared" si="12"/>
        <v>3.4837711308539363E-3</v>
      </c>
      <c r="E402" s="17"/>
      <c r="F402" s="17"/>
      <c r="G402" s="17"/>
      <c r="H402" s="17"/>
      <c r="I402" s="17"/>
    </row>
    <row r="403" spans="1:9">
      <c r="A403" s="16">
        <v>37.200000000000003</v>
      </c>
      <c r="B403" s="17">
        <v>32.027765000000002</v>
      </c>
      <c r="C403" s="17">
        <f t="shared" si="11"/>
        <v>532.02776500000004</v>
      </c>
      <c r="D403" s="17">
        <f t="shared" si="12"/>
        <v>3.4829096728682578E-3</v>
      </c>
      <c r="E403" s="17"/>
      <c r="F403" s="17"/>
      <c r="G403" s="17"/>
      <c r="H403" s="17"/>
      <c r="I403" s="17"/>
    </row>
    <row r="404" spans="1:9">
      <c r="A404" s="16">
        <v>37.299999999999997</v>
      </c>
      <c r="B404" s="17">
        <v>31.896894</v>
      </c>
      <c r="C404" s="17">
        <f t="shared" si="11"/>
        <v>531.89689399999997</v>
      </c>
      <c r="D404" s="17">
        <f t="shared" si="12"/>
        <v>3.4820529283489218E-3</v>
      </c>
      <c r="E404" s="17"/>
      <c r="F404" s="17"/>
      <c r="G404" s="17"/>
      <c r="H404" s="17"/>
      <c r="I404" s="17"/>
    </row>
    <row r="405" spans="1:9">
      <c r="A405" s="16">
        <v>37.4</v>
      </c>
      <c r="B405" s="17">
        <v>31.766739000000001</v>
      </c>
      <c r="C405" s="17">
        <f t="shared" si="11"/>
        <v>531.76673900000003</v>
      </c>
      <c r="D405" s="17">
        <f t="shared" si="12"/>
        <v>3.4812008711100069E-3</v>
      </c>
      <c r="E405" s="17"/>
      <c r="F405" s="17"/>
      <c r="G405" s="17"/>
      <c r="H405" s="17"/>
      <c r="I405" s="17"/>
    </row>
    <row r="406" spans="1:9">
      <c r="A406" s="16">
        <v>37.5</v>
      </c>
      <c r="B406" s="17">
        <v>31.63729</v>
      </c>
      <c r="C406" s="17">
        <f t="shared" si="11"/>
        <v>531.63729000000001</v>
      </c>
      <c r="D406" s="17">
        <f t="shared" si="12"/>
        <v>3.4803534356867014E-3</v>
      </c>
      <c r="E406" s="17"/>
      <c r="F406" s="17"/>
      <c r="G406" s="17"/>
      <c r="H406" s="17"/>
      <c r="I406" s="17"/>
    </row>
    <row r="407" spans="1:9">
      <c r="A407" s="16">
        <v>37.6</v>
      </c>
      <c r="B407" s="17">
        <v>31.508545999999999</v>
      </c>
      <c r="C407" s="17">
        <f t="shared" si="11"/>
        <v>531.50854600000002</v>
      </c>
      <c r="D407" s="17">
        <f t="shared" si="12"/>
        <v>3.4795106155325237E-3</v>
      </c>
      <c r="E407" s="17"/>
      <c r="F407" s="17"/>
      <c r="G407" s="17"/>
      <c r="H407" s="17"/>
      <c r="I407" s="17"/>
    </row>
    <row r="408" spans="1:9">
      <c r="A408" s="16">
        <v>37.700000000000003</v>
      </c>
      <c r="B408" s="17">
        <v>31.380500999999999</v>
      </c>
      <c r="C408" s="17">
        <f t="shared" si="11"/>
        <v>531.38050099999998</v>
      </c>
      <c r="D408" s="17">
        <f t="shared" si="12"/>
        <v>3.4786723713685895E-3</v>
      </c>
      <c r="E408" s="17"/>
      <c r="F408" s="17"/>
      <c r="G408" s="17"/>
      <c r="H408" s="17"/>
      <c r="I408" s="17"/>
    </row>
    <row r="409" spans="1:9">
      <c r="A409" s="16">
        <v>37.799999999999997</v>
      </c>
      <c r="B409" s="17">
        <v>31.253143999999999</v>
      </c>
      <c r="C409" s="17">
        <f t="shared" si="11"/>
        <v>531.25314400000002</v>
      </c>
      <c r="D409" s="17">
        <f t="shared" si="12"/>
        <v>3.4778386311836063E-3</v>
      </c>
      <c r="E409" s="17"/>
      <c r="F409" s="17"/>
      <c r="G409" s="17"/>
      <c r="H409" s="17"/>
      <c r="I409" s="17"/>
    </row>
    <row r="410" spans="1:9">
      <c r="A410" s="16">
        <v>37.9</v>
      </c>
      <c r="B410" s="17">
        <v>31.126472</v>
      </c>
      <c r="C410" s="17">
        <f t="shared" si="11"/>
        <v>531.12647200000004</v>
      </c>
      <c r="D410" s="17">
        <f t="shared" si="12"/>
        <v>3.4770093753381305E-3</v>
      </c>
      <c r="E410" s="17"/>
      <c r="F410" s="17"/>
      <c r="G410" s="17"/>
      <c r="H410" s="17"/>
      <c r="I410" s="17"/>
    </row>
    <row r="411" spans="1:9">
      <c r="A411" s="16">
        <v>38</v>
      </c>
      <c r="B411" s="17">
        <v>31.000477</v>
      </c>
      <c r="C411" s="17">
        <f t="shared" si="11"/>
        <v>531.00047700000005</v>
      </c>
      <c r="D411" s="17">
        <f t="shared" si="12"/>
        <v>3.4761845514603147E-3</v>
      </c>
      <c r="E411" s="17"/>
      <c r="F411" s="17"/>
      <c r="G411" s="17"/>
      <c r="H411" s="17"/>
      <c r="I411" s="17"/>
    </row>
    <row r="412" spans="1:9">
      <c r="A412" s="16">
        <v>38.1</v>
      </c>
      <c r="B412" s="17">
        <v>30.875156</v>
      </c>
      <c r="C412" s="17">
        <f t="shared" si="11"/>
        <v>530.87515599999995</v>
      </c>
      <c r="D412" s="17">
        <f t="shared" si="12"/>
        <v>3.4753641399107144E-3</v>
      </c>
      <c r="E412" s="17"/>
      <c r="F412" s="17"/>
      <c r="G412" s="17"/>
      <c r="H412" s="17"/>
      <c r="I412" s="17"/>
    </row>
    <row r="413" spans="1:9">
      <c r="A413" s="16">
        <v>38.200000000000003</v>
      </c>
      <c r="B413" s="17">
        <v>30.750503999999999</v>
      </c>
      <c r="C413" s="17">
        <f t="shared" si="11"/>
        <v>530.75050399999998</v>
      </c>
      <c r="D413" s="17">
        <f t="shared" si="12"/>
        <v>3.4745481079569273E-3</v>
      </c>
      <c r="E413" s="17"/>
      <c r="F413" s="17"/>
      <c r="G413" s="17"/>
      <c r="H413" s="17"/>
      <c r="I413" s="17"/>
    </row>
    <row r="414" spans="1:9">
      <c r="A414" s="16">
        <v>38.299999999999997</v>
      </c>
      <c r="B414" s="17">
        <v>30.626512999999999</v>
      </c>
      <c r="C414" s="17">
        <f t="shared" si="11"/>
        <v>530.62651300000005</v>
      </c>
      <c r="D414" s="17">
        <f t="shared" si="12"/>
        <v>3.473736403227103E-3</v>
      </c>
      <c r="E414" s="17"/>
      <c r="F414" s="17"/>
      <c r="G414" s="17"/>
      <c r="H414" s="17"/>
      <c r="I414" s="17"/>
    </row>
    <row r="415" spans="1:9">
      <c r="A415" s="16">
        <v>38.4</v>
      </c>
      <c r="B415" s="17">
        <v>30.503177000000001</v>
      </c>
      <c r="C415" s="17">
        <f t="shared" si="11"/>
        <v>530.50317700000005</v>
      </c>
      <c r="D415" s="17">
        <f t="shared" si="12"/>
        <v>3.472928986442355E-3</v>
      </c>
      <c r="E415" s="17"/>
      <c r="F415" s="17"/>
      <c r="G415" s="17"/>
      <c r="H415" s="17"/>
      <c r="I415" s="17"/>
    </row>
    <row r="416" spans="1:9">
      <c r="A416" s="16">
        <v>38.5</v>
      </c>
      <c r="B416" s="17">
        <v>30.380493999999999</v>
      </c>
      <c r="C416" s="17">
        <f t="shared" si="11"/>
        <v>530.380494</v>
      </c>
      <c r="D416" s="17">
        <f t="shared" si="12"/>
        <v>3.4721258445097212E-3</v>
      </c>
      <c r="E416" s="17"/>
      <c r="F416" s="17"/>
      <c r="G416" s="17"/>
      <c r="H416" s="17"/>
      <c r="I416" s="17"/>
    </row>
    <row r="417" spans="1:9">
      <c r="A417" s="16">
        <v>38.6</v>
      </c>
      <c r="B417" s="17">
        <v>30.258451999999998</v>
      </c>
      <c r="C417" s="17">
        <f t="shared" si="11"/>
        <v>530.25845200000003</v>
      </c>
      <c r="D417" s="17">
        <f t="shared" si="12"/>
        <v>3.4713268988714311E-3</v>
      </c>
      <c r="E417" s="17"/>
      <c r="F417" s="17"/>
      <c r="G417" s="17"/>
      <c r="H417" s="17"/>
      <c r="I417" s="17"/>
    </row>
    <row r="418" spans="1:9">
      <c r="A418" s="16">
        <v>38.700000000000003</v>
      </c>
      <c r="B418" s="17">
        <v>30.137051</v>
      </c>
      <c r="C418" s="17">
        <f t="shared" si="11"/>
        <v>530.13705100000004</v>
      </c>
      <c r="D418" s="17">
        <f t="shared" si="12"/>
        <v>3.4705321495274834E-3</v>
      </c>
      <c r="E418" s="17"/>
      <c r="F418" s="17"/>
      <c r="G418" s="17"/>
      <c r="H418" s="17"/>
      <c r="I418" s="17"/>
    </row>
    <row r="419" spans="1:9">
      <c r="A419" s="16">
        <v>38.799999999999997</v>
      </c>
      <c r="B419" s="17">
        <v>30.016286999999998</v>
      </c>
      <c r="C419" s="17">
        <f t="shared" si="11"/>
        <v>530.01628700000003</v>
      </c>
      <c r="D419" s="17">
        <f t="shared" si="12"/>
        <v>3.469741570291954E-3</v>
      </c>
      <c r="E419" s="17"/>
      <c r="F419" s="17"/>
      <c r="G419" s="17"/>
      <c r="H419" s="17"/>
      <c r="I419" s="17"/>
    </row>
    <row r="420" spans="1:9">
      <c r="A420" s="16">
        <v>38.9</v>
      </c>
      <c r="B420" s="17">
        <v>29.896151</v>
      </c>
      <c r="C420" s="17">
        <f t="shared" si="11"/>
        <v>529.89615100000003</v>
      </c>
      <c r="D420" s="17">
        <f t="shared" si="12"/>
        <v>3.4689551022465126E-3</v>
      </c>
      <c r="E420" s="17"/>
      <c r="F420" s="17"/>
      <c r="G420" s="17"/>
      <c r="H420" s="17"/>
      <c r="I420" s="17"/>
    </row>
    <row r="421" spans="1:9">
      <c r="A421" s="16">
        <v>39</v>
      </c>
      <c r="B421" s="17">
        <v>29.776637000000001</v>
      </c>
      <c r="C421" s="17">
        <f t="shared" si="11"/>
        <v>529.77663700000005</v>
      </c>
      <c r="D421" s="17">
        <f t="shared" si="12"/>
        <v>3.4681727061122757E-3</v>
      </c>
      <c r="E421" s="17"/>
      <c r="F421" s="17"/>
      <c r="G421" s="17"/>
      <c r="H421" s="17"/>
      <c r="I421" s="17"/>
    </row>
    <row r="422" spans="1:9">
      <c r="A422" s="16">
        <v>39.1</v>
      </c>
      <c r="B422" s="17">
        <v>29.657743</v>
      </c>
      <c r="C422" s="17">
        <f t="shared" si="11"/>
        <v>529.65774299999998</v>
      </c>
      <c r="D422" s="17">
        <f t="shared" si="12"/>
        <v>3.4673943687962777E-3</v>
      </c>
      <c r="E422" s="17"/>
      <c r="F422" s="17"/>
      <c r="G422" s="17"/>
      <c r="H422" s="17"/>
      <c r="I422" s="17"/>
    </row>
    <row r="423" spans="1:9">
      <c r="A423" s="16">
        <v>39.200000000000003</v>
      </c>
      <c r="B423" s="17">
        <v>29.539463000000001</v>
      </c>
      <c r="C423" s="17">
        <f t="shared" si="11"/>
        <v>529.53946299999996</v>
      </c>
      <c r="D423" s="17">
        <f t="shared" si="12"/>
        <v>3.4666200510196352E-3</v>
      </c>
      <c r="E423" s="17"/>
      <c r="F423" s="17"/>
      <c r="G423" s="17"/>
      <c r="H423" s="17"/>
      <c r="I423" s="17"/>
    </row>
    <row r="424" spans="1:9">
      <c r="A424" s="16">
        <v>39.299999999999997</v>
      </c>
      <c r="B424" s="17">
        <v>29.421789</v>
      </c>
      <c r="C424" s="17">
        <f t="shared" si="11"/>
        <v>529.42178899999999</v>
      </c>
      <c r="D424" s="17">
        <f t="shared" si="12"/>
        <v>3.4658497004104996E-3</v>
      </c>
      <c r="E424" s="17"/>
      <c r="F424" s="17"/>
      <c r="G424" s="17"/>
      <c r="H424" s="17"/>
      <c r="I424" s="17"/>
    </row>
    <row r="425" spans="1:9">
      <c r="A425" s="16">
        <v>39.4</v>
      </c>
      <c r="B425" s="17">
        <v>29.304721000000001</v>
      </c>
      <c r="C425" s="17">
        <f t="shared" si="11"/>
        <v>529.30472099999997</v>
      </c>
      <c r="D425" s="17">
        <f t="shared" si="12"/>
        <v>3.465083316968869E-3</v>
      </c>
      <c r="E425" s="17"/>
      <c r="F425" s="17"/>
      <c r="G425" s="17"/>
      <c r="H425" s="17"/>
      <c r="I425" s="17"/>
    </row>
    <row r="426" spans="1:9">
      <c r="A426" s="16">
        <v>39.5</v>
      </c>
      <c r="B426" s="17">
        <v>29.188248000000002</v>
      </c>
      <c r="C426" s="17">
        <f t="shared" si="11"/>
        <v>529.18824800000004</v>
      </c>
      <c r="D426" s="17">
        <f t="shared" si="12"/>
        <v>3.4643208286834551E-3</v>
      </c>
      <c r="E426" s="17"/>
      <c r="F426" s="17"/>
      <c r="G426" s="17"/>
      <c r="H426" s="17"/>
      <c r="I426" s="17"/>
    </row>
    <row r="427" spans="1:9">
      <c r="A427" s="16">
        <v>39.6</v>
      </c>
      <c r="B427" s="17">
        <v>29.072372999999999</v>
      </c>
      <c r="C427" s="17">
        <f t="shared" si="11"/>
        <v>529.07237299999997</v>
      </c>
      <c r="D427" s="17">
        <f t="shared" si="12"/>
        <v>3.4635622551936977E-3</v>
      </c>
      <c r="E427" s="17"/>
      <c r="F427" s="17"/>
      <c r="G427" s="17"/>
      <c r="H427" s="17"/>
      <c r="I427" s="17"/>
    </row>
    <row r="428" spans="1:9">
      <c r="A428" s="16">
        <v>39.700000000000003</v>
      </c>
      <c r="B428" s="17">
        <v>28.957083000000001</v>
      </c>
      <c r="C428" s="17">
        <f t="shared" ref="C428:C491" si="13">B428+$C$26</f>
        <v>528.95708300000001</v>
      </c>
      <c r="D428" s="17">
        <f t="shared" ref="D428:D491" si="14">C428*1000000/(4*PI())*$C$13*RADIANS($C$20)*RADIANS($C$21)</f>
        <v>3.4628075113953449E-3</v>
      </c>
      <c r="E428" s="17"/>
      <c r="F428" s="17"/>
      <c r="G428" s="17"/>
      <c r="H428" s="17"/>
      <c r="I428" s="17"/>
    </row>
    <row r="429" spans="1:9">
      <c r="A429" s="16">
        <v>39.799999999999997</v>
      </c>
      <c r="B429" s="17">
        <v>28.842379000000001</v>
      </c>
      <c r="C429" s="17">
        <f t="shared" si="13"/>
        <v>528.84237900000005</v>
      </c>
      <c r="D429" s="17">
        <f t="shared" si="14"/>
        <v>3.462056603834879E-3</v>
      </c>
      <c r="E429" s="17"/>
      <c r="F429" s="17"/>
      <c r="G429" s="17"/>
      <c r="H429" s="17"/>
      <c r="I429" s="17"/>
    </row>
    <row r="430" spans="1:9">
      <c r="A430" s="16">
        <v>39.9</v>
      </c>
      <c r="B430" s="17">
        <v>28.728254</v>
      </c>
      <c r="C430" s="17">
        <f t="shared" si="13"/>
        <v>528.72825399999999</v>
      </c>
      <c r="D430" s="17">
        <f t="shared" si="14"/>
        <v>3.4613094866869304E-3</v>
      </c>
      <c r="E430" s="17"/>
      <c r="F430" s="17"/>
      <c r="G430" s="17"/>
      <c r="H430" s="17"/>
      <c r="I430" s="17"/>
    </row>
    <row r="431" spans="1:9">
      <c r="A431" s="16">
        <v>40</v>
      </c>
      <c r="B431" s="17">
        <v>28.614702000000001</v>
      </c>
      <c r="C431" s="17">
        <f t="shared" si="13"/>
        <v>528.61470199999997</v>
      </c>
      <c r="D431" s="17">
        <f t="shared" si="14"/>
        <v>3.4605661206726138E-3</v>
      </c>
      <c r="E431" s="17"/>
      <c r="F431" s="17"/>
      <c r="G431" s="17"/>
      <c r="H431" s="17"/>
      <c r="I431" s="17"/>
    </row>
    <row r="432" spans="1:9">
      <c r="A432" s="16">
        <v>40.1</v>
      </c>
      <c r="B432" s="17">
        <v>28.501721</v>
      </c>
      <c r="C432" s="17">
        <f t="shared" si="13"/>
        <v>528.50172099999997</v>
      </c>
      <c r="D432" s="17">
        <f t="shared" si="14"/>
        <v>3.4598264926989685E-3</v>
      </c>
      <c r="E432" s="17"/>
      <c r="F432" s="17"/>
      <c r="G432" s="17"/>
      <c r="H432" s="17"/>
      <c r="I432" s="17"/>
    </row>
    <row r="433" spans="1:9">
      <c r="A433" s="16">
        <v>40.200000000000003</v>
      </c>
      <c r="B433" s="17">
        <v>28.389308</v>
      </c>
      <c r="C433" s="17">
        <f t="shared" si="13"/>
        <v>528.38930800000003</v>
      </c>
      <c r="D433" s="17">
        <f t="shared" si="14"/>
        <v>3.4590905831265498E-3</v>
      </c>
      <c r="E433" s="17"/>
      <c r="F433" s="17"/>
      <c r="G433" s="17"/>
      <c r="H433" s="17"/>
      <c r="I433" s="17"/>
    </row>
    <row r="434" spans="1:9">
      <c r="A434" s="16">
        <v>40.299999999999997</v>
      </c>
      <c r="B434" s="17">
        <v>28.277452</v>
      </c>
      <c r="C434" s="17">
        <f t="shared" si="13"/>
        <v>528.27745200000004</v>
      </c>
      <c r="D434" s="17">
        <f t="shared" si="14"/>
        <v>3.4583583199440664E-3</v>
      </c>
      <c r="E434" s="17"/>
      <c r="F434" s="17"/>
      <c r="G434" s="17"/>
      <c r="H434" s="17"/>
      <c r="I434" s="17"/>
    </row>
    <row r="435" spans="1:9">
      <c r="A435" s="16">
        <v>40.4</v>
      </c>
      <c r="B435" s="17">
        <v>28.166153000000001</v>
      </c>
      <c r="C435" s="17">
        <f t="shared" si="13"/>
        <v>528.16615300000001</v>
      </c>
      <c r="D435" s="17">
        <f t="shared" si="14"/>
        <v>3.4576297031515186E-3</v>
      </c>
      <c r="E435" s="17"/>
      <c r="F435" s="17"/>
      <c r="G435" s="17"/>
      <c r="H435" s="17"/>
      <c r="I435" s="17"/>
    </row>
    <row r="436" spans="1:9">
      <c r="A436" s="16">
        <v>40.5</v>
      </c>
      <c r="B436" s="17">
        <v>28.055406999999999</v>
      </c>
      <c r="C436" s="17">
        <f t="shared" si="13"/>
        <v>528.05540699999995</v>
      </c>
      <c r="D436" s="17">
        <f t="shared" si="14"/>
        <v>3.456904706562982E-3</v>
      </c>
      <c r="E436" s="17"/>
      <c r="F436" s="17"/>
      <c r="G436" s="17"/>
      <c r="H436" s="17"/>
      <c r="I436" s="17"/>
    </row>
    <row r="437" spans="1:9">
      <c r="A437" s="16">
        <v>40.6</v>
      </c>
      <c r="B437" s="17">
        <v>27.945208000000001</v>
      </c>
      <c r="C437" s="17">
        <f t="shared" si="13"/>
        <v>527.94520799999998</v>
      </c>
      <c r="D437" s="17">
        <f t="shared" si="14"/>
        <v>3.4561832908995716E-3</v>
      </c>
      <c r="E437" s="17"/>
      <c r="F437" s="17"/>
      <c r="G437" s="17"/>
      <c r="H437" s="17"/>
      <c r="I437" s="17"/>
    </row>
    <row r="438" spans="1:9">
      <c r="A438" s="16">
        <v>40.700000000000003</v>
      </c>
      <c r="B438" s="17">
        <v>27.835552</v>
      </c>
      <c r="C438" s="17">
        <f t="shared" si="13"/>
        <v>527.83555200000001</v>
      </c>
      <c r="D438" s="17">
        <f t="shared" si="14"/>
        <v>3.4554654299753622E-3</v>
      </c>
      <c r="E438" s="17"/>
      <c r="F438" s="17"/>
      <c r="G438" s="17"/>
      <c r="H438" s="17"/>
      <c r="I438" s="17"/>
    </row>
    <row r="439" spans="1:9">
      <c r="A439" s="16">
        <v>40.799999999999997</v>
      </c>
      <c r="B439" s="17">
        <v>27.726434000000001</v>
      </c>
      <c r="C439" s="17">
        <f t="shared" si="13"/>
        <v>527.72643400000004</v>
      </c>
      <c r="D439" s="17">
        <f t="shared" si="14"/>
        <v>3.4547510910579492E-3</v>
      </c>
      <c r="E439" s="17"/>
      <c r="F439" s="17"/>
      <c r="G439" s="17"/>
      <c r="H439" s="17"/>
      <c r="I439" s="17"/>
    </row>
    <row r="440" spans="1:9">
      <c r="A440" s="16">
        <v>40.9</v>
      </c>
      <c r="B440" s="17">
        <v>27.617851000000002</v>
      </c>
      <c r="C440" s="17">
        <f t="shared" si="13"/>
        <v>527.61785099999997</v>
      </c>
      <c r="D440" s="17">
        <f t="shared" si="14"/>
        <v>3.4540402545078885E-3</v>
      </c>
      <c r="E440" s="17"/>
      <c r="F440" s="17"/>
      <c r="G440" s="17"/>
      <c r="H440" s="17"/>
      <c r="I440" s="17"/>
    </row>
    <row r="441" spans="1:9">
      <c r="A441" s="16">
        <v>41</v>
      </c>
      <c r="B441" s="17">
        <v>27.509798</v>
      </c>
      <c r="C441" s="17">
        <f t="shared" si="13"/>
        <v>527.50979800000005</v>
      </c>
      <c r="D441" s="17">
        <f t="shared" si="14"/>
        <v>3.4533328875927752E-3</v>
      </c>
      <c r="E441" s="17"/>
      <c r="F441" s="17"/>
      <c r="G441" s="17"/>
      <c r="H441" s="17"/>
      <c r="I441" s="17"/>
    </row>
    <row r="442" spans="1:9">
      <c r="A442" s="16">
        <v>41.1</v>
      </c>
      <c r="B442" s="17">
        <v>27.402270999999999</v>
      </c>
      <c r="C442" s="17">
        <f t="shared" si="13"/>
        <v>527.40227100000004</v>
      </c>
      <c r="D442" s="17">
        <f t="shared" si="14"/>
        <v>3.4526289641266866E-3</v>
      </c>
      <c r="E442" s="17"/>
      <c r="F442" s="17"/>
      <c r="G442" s="17"/>
      <c r="H442" s="17"/>
      <c r="I442" s="17"/>
    </row>
    <row r="443" spans="1:9">
      <c r="A443" s="16">
        <v>41.2</v>
      </c>
      <c r="B443" s="17">
        <v>27.295266999999999</v>
      </c>
      <c r="C443" s="17">
        <f t="shared" si="13"/>
        <v>527.29526699999997</v>
      </c>
      <c r="D443" s="17">
        <f t="shared" si="14"/>
        <v>3.4519284644701775E-3</v>
      </c>
      <c r="E443" s="17"/>
      <c r="F443" s="17"/>
      <c r="G443" s="17"/>
      <c r="H443" s="17"/>
      <c r="I443" s="17"/>
    </row>
    <row r="444" spans="1:9">
      <c r="A444" s="16">
        <v>41.3</v>
      </c>
      <c r="B444" s="17">
        <v>27.188780999999999</v>
      </c>
      <c r="C444" s="17">
        <f t="shared" si="13"/>
        <v>527.18878099999995</v>
      </c>
      <c r="D444" s="17">
        <f t="shared" si="14"/>
        <v>3.4512313558908436E-3</v>
      </c>
      <c r="E444" s="17"/>
      <c r="F444" s="17"/>
      <c r="G444" s="17"/>
      <c r="H444" s="17"/>
      <c r="I444" s="17"/>
    </row>
    <row r="445" spans="1:9">
      <c r="A445" s="16">
        <v>41.4</v>
      </c>
      <c r="B445" s="17">
        <v>27.082808</v>
      </c>
      <c r="C445" s="17">
        <f t="shared" si="13"/>
        <v>527.082808</v>
      </c>
      <c r="D445" s="17">
        <f t="shared" si="14"/>
        <v>3.4505376056562808E-3</v>
      </c>
      <c r="E445" s="17"/>
      <c r="F445" s="17"/>
      <c r="G445" s="17"/>
      <c r="H445" s="17"/>
      <c r="I445" s="17"/>
    </row>
    <row r="446" spans="1:9">
      <c r="A446" s="16">
        <v>41.5</v>
      </c>
      <c r="B446" s="17">
        <v>26.977346000000001</v>
      </c>
      <c r="C446" s="17">
        <f t="shared" si="13"/>
        <v>526.97734600000001</v>
      </c>
      <c r="D446" s="17">
        <f t="shared" si="14"/>
        <v>3.4498472006735258E-3</v>
      </c>
      <c r="E446" s="17"/>
      <c r="F446" s="17"/>
      <c r="G446" s="17"/>
      <c r="H446" s="17"/>
      <c r="I446" s="17"/>
    </row>
    <row r="447" spans="1:9">
      <c r="A447" s="16">
        <v>41.6</v>
      </c>
      <c r="B447" s="17">
        <v>26.872388999999998</v>
      </c>
      <c r="C447" s="17">
        <f t="shared" si="13"/>
        <v>526.872389</v>
      </c>
      <c r="D447" s="17">
        <f t="shared" si="14"/>
        <v>3.4491601016636928E-3</v>
      </c>
      <c r="E447" s="17"/>
      <c r="F447" s="17"/>
      <c r="G447" s="17"/>
      <c r="H447" s="17"/>
      <c r="I447" s="17"/>
    </row>
    <row r="448" spans="1:9">
      <c r="A448" s="16">
        <v>41.7</v>
      </c>
      <c r="B448" s="17">
        <v>26.767935000000001</v>
      </c>
      <c r="C448" s="17">
        <f t="shared" si="13"/>
        <v>526.76793499999997</v>
      </c>
      <c r="D448" s="17">
        <f t="shared" si="14"/>
        <v>3.448476295533819E-3</v>
      </c>
      <c r="E448" s="17"/>
      <c r="F448" s="17"/>
      <c r="G448" s="17"/>
      <c r="H448" s="17"/>
      <c r="I448" s="17"/>
    </row>
    <row r="449" spans="1:9">
      <c r="A449" s="16">
        <v>41.8</v>
      </c>
      <c r="B449" s="17">
        <v>26.663979000000001</v>
      </c>
      <c r="C449" s="17">
        <f t="shared" si="13"/>
        <v>526.66397900000004</v>
      </c>
      <c r="D449" s="17">
        <f t="shared" si="14"/>
        <v>3.4477957495515008E-3</v>
      </c>
      <c r="E449" s="17"/>
      <c r="F449" s="17"/>
      <c r="G449" s="17"/>
      <c r="H449" s="17"/>
      <c r="I449" s="17"/>
    </row>
    <row r="450" spans="1:9">
      <c r="A450" s="16">
        <v>41.9</v>
      </c>
      <c r="B450" s="17">
        <v>26.560516</v>
      </c>
      <c r="C450" s="17">
        <f t="shared" si="13"/>
        <v>526.56051600000001</v>
      </c>
      <c r="D450" s="17">
        <f t="shared" si="14"/>
        <v>3.447118430984331E-3</v>
      </c>
      <c r="E450" s="17"/>
      <c r="F450" s="17"/>
      <c r="G450" s="17"/>
      <c r="H450" s="17"/>
      <c r="I450" s="17"/>
    </row>
    <row r="451" spans="1:9">
      <c r="A451" s="16">
        <v>42</v>
      </c>
      <c r="B451" s="17">
        <v>26.457545</v>
      </c>
      <c r="C451" s="17">
        <f t="shared" si="13"/>
        <v>526.45754499999998</v>
      </c>
      <c r="D451" s="17">
        <f t="shared" si="14"/>
        <v>3.4464443332858311E-3</v>
      </c>
      <c r="E451" s="17"/>
      <c r="F451" s="17"/>
      <c r="G451" s="17"/>
      <c r="H451" s="17"/>
      <c r="I451" s="17"/>
    </row>
    <row r="452" spans="1:9">
      <c r="A452" s="16">
        <v>42.1</v>
      </c>
      <c r="B452" s="17">
        <v>26.355060000000002</v>
      </c>
      <c r="C452" s="17">
        <f t="shared" si="13"/>
        <v>526.35505999999998</v>
      </c>
      <c r="D452" s="17">
        <f t="shared" si="14"/>
        <v>3.4457734171771128E-3</v>
      </c>
      <c r="E452" s="17"/>
      <c r="F452" s="17"/>
      <c r="G452" s="17"/>
      <c r="H452" s="17"/>
      <c r="I452" s="17"/>
    </row>
    <row r="453" spans="1:9">
      <c r="A453" s="16">
        <v>42.2</v>
      </c>
      <c r="B453" s="17">
        <v>26.253059</v>
      </c>
      <c r="C453" s="17">
        <f t="shared" si="13"/>
        <v>526.25305900000001</v>
      </c>
      <c r="D453" s="17">
        <f t="shared" si="14"/>
        <v>3.4451056695652149E-3</v>
      </c>
      <c r="E453" s="17"/>
      <c r="F453" s="17"/>
      <c r="G453" s="17"/>
      <c r="H453" s="17"/>
      <c r="I453" s="17"/>
    </row>
    <row r="454" spans="1:9">
      <c r="A454" s="16">
        <v>42.3</v>
      </c>
      <c r="B454" s="17">
        <v>26.151537000000001</v>
      </c>
      <c r="C454" s="17">
        <f t="shared" si="13"/>
        <v>526.15153699999996</v>
      </c>
      <c r="D454" s="17">
        <f t="shared" si="14"/>
        <v>3.4444410577177311E-3</v>
      </c>
      <c r="E454" s="17"/>
      <c r="F454" s="17"/>
      <c r="G454" s="17"/>
      <c r="H454" s="17"/>
      <c r="I454" s="17"/>
    </row>
    <row r="455" spans="1:9">
      <c r="A455" s="16">
        <v>42.4</v>
      </c>
      <c r="B455" s="17">
        <v>26.050491000000001</v>
      </c>
      <c r="C455" s="17">
        <f t="shared" si="13"/>
        <v>526.05049099999997</v>
      </c>
      <c r="D455" s="17">
        <f t="shared" si="14"/>
        <v>3.4437795619952196E-3</v>
      </c>
      <c r="E455" s="17"/>
      <c r="F455" s="17"/>
      <c r="G455" s="17"/>
      <c r="H455" s="17"/>
      <c r="I455" s="17"/>
    </row>
    <row r="456" spans="1:9">
      <c r="A456" s="16">
        <v>42.5</v>
      </c>
      <c r="B456" s="17">
        <v>25.949916999999999</v>
      </c>
      <c r="C456" s="17">
        <f t="shared" si="13"/>
        <v>525.94991700000003</v>
      </c>
      <c r="D456" s="17">
        <f t="shared" si="14"/>
        <v>3.443121156211757E-3</v>
      </c>
      <c r="E456" s="17"/>
      <c r="F456" s="17"/>
      <c r="G456" s="17"/>
      <c r="H456" s="17"/>
      <c r="I456" s="17"/>
    </row>
    <row r="457" spans="1:9">
      <c r="A457" s="16">
        <v>42.6</v>
      </c>
      <c r="B457" s="17">
        <v>25.849812</v>
      </c>
      <c r="C457" s="17">
        <f t="shared" si="13"/>
        <v>525.84981200000004</v>
      </c>
      <c r="D457" s="17">
        <f t="shared" si="14"/>
        <v>3.4424658207278993E-3</v>
      </c>
      <c r="E457" s="17"/>
      <c r="F457" s="17"/>
      <c r="G457" s="17"/>
      <c r="H457" s="17"/>
      <c r="I457" s="17"/>
    </row>
    <row r="458" spans="1:9">
      <c r="A458" s="16">
        <v>42.7</v>
      </c>
      <c r="B458" s="17">
        <v>25.750171999999999</v>
      </c>
      <c r="C458" s="17">
        <f t="shared" si="13"/>
        <v>525.75017200000002</v>
      </c>
      <c r="D458" s="17">
        <f t="shared" si="14"/>
        <v>3.4418135293577206E-3</v>
      </c>
      <c r="E458" s="17"/>
      <c r="F458" s="17"/>
      <c r="G458" s="17"/>
      <c r="H458" s="17"/>
      <c r="I458" s="17"/>
    </row>
    <row r="459" spans="1:9">
      <c r="A459" s="16">
        <v>42.8</v>
      </c>
      <c r="B459" s="17">
        <v>25.650993</v>
      </c>
      <c r="C459" s="17">
        <f t="shared" si="13"/>
        <v>525.65099299999997</v>
      </c>
      <c r="D459" s="17">
        <f t="shared" si="14"/>
        <v>3.4411642559152998E-3</v>
      </c>
      <c r="E459" s="17"/>
      <c r="F459" s="17"/>
      <c r="G459" s="17"/>
      <c r="H459" s="17"/>
      <c r="I459" s="17"/>
    </row>
    <row r="460" spans="1:9">
      <c r="A460" s="16">
        <v>42.9</v>
      </c>
      <c r="B460" s="17">
        <v>25.552273</v>
      </c>
      <c r="C460" s="17">
        <f t="shared" si="13"/>
        <v>525.55227300000001</v>
      </c>
      <c r="D460" s="17">
        <f t="shared" si="14"/>
        <v>3.440517987307672E-3</v>
      </c>
      <c r="E460" s="17"/>
      <c r="F460" s="17"/>
      <c r="G460" s="17"/>
      <c r="H460" s="17"/>
      <c r="I460" s="17"/>
    </row>
    <row r="461" spans="1:9">
      <c r="A461" s="16">
        <v>43</v>
      </c>
      <c r="B461" s="17">
        <v>25.454007000000001</v>
      </c>
      <c r="C461" s="17">
        <f t="shared" si="13"/>
        <v>525.45400700000005</v>
      </c>
      <c r="D461" s="17">
        <f t="shared" si="14"/>
        <v>3.4398746908024347E-3</v>
      </c>
      <c r="E461" s="17"/>
      <c r="F461" s="17"/>
      <c r="G461" s="17"/>
      <c r="H461" s="17"/>
      <c r="I461" s="17"/>
    </row>
    <row r="462" spans="1:9">
      <c r="A462" s="16">
        <v>43.1</v>
      </c>
      <c r="B462" s="17">
        <v>25.356192</v>
      </c>
      <c r="C462" s="17">
        <f t="shared" si="13"/>
        <v>525.35619199999996</v>
      </c>
      <c r="D462" s="17">
        <f t="shared" si="14"/>
        <v>3.4392343467601421E-3</v>
      </c>
      <c r="E462" s="17"/>
      <c r="F462" s="17"/>
      <c r="G462" s="17"/>
      <c r="H462" s="17"/>
      <c r="I462" s="17"/>
    </row>
    <row r="463" spans="1:9">
      <c r="A463" s="16">
        <v>43.2</v>
      </c>
      <c r="B463" s="17">
        <v>25.258825999999999</v>
      </c>
      <c r="C463" s="17">
        <f t="shared" si="13"/>
        <v>525.258826</v>
      </c>
      <c r="D463" s="17">
        <f t="shared" si="14"/>
        <v>3.4385969420878343E-3</v>
      </c>
      <c r="E463" s="17"/>
      <c r="F463" s="17"/>
      <c r="G463" s="17"/>
      <c r="H463" s="17"/>
      <c r="I463" s="17"/>
    </row>
    <row r="464" spans="1:9">
      <c r="A464" s="16">
        <v>43.3</v>
      </c>
      <c r="B464" s="17">
        <v>25.161904</v>
      </c>
      <c r="C464" s="17">
        <f t="shared" si="13"/>
        <v>525.16190400000005</v>
      </c>
      <c r="D464" s="17">
        <f t="shared" si="14"/>
        <v>3.4379624440531061E-3</v>
      </c>
      <c r="E464" s="17"/>
      <c r="F464" s="17"/>
      <c r="G464" s="17"/>
      <c r="H464" s="17"/>
      <c r="I464" s="17"/>
    </row>
    <row r="465" spans="1:9">
      <c r="A465" s="16">
        <v>43.4</v>
      </c>
      <c r="B465" s="17">
        <v>25.065424</v>
      </c>
      <c r="C465" s="17">
        <f t="shared" si="13"/>
        <v>525.06542400000001</v>
      </c>
      <c r="D465" s="17">
        <f t="shared" si="14"/>
        <v>3.4373308395629935E-3</v>
      </c>
      <c r="E465" s="17"/>
      <c r="F465" s="17"/>
      <c r="G465" s="17"/>
      <c r="H465" s="17"/>
      <c r="I465" s="17"/>
    </row>
    <row r="466" spans="1:9">
      <c r="A466" s="16">
        <v>43.5</v>
      </c>
      <c r="B466" s="17">
        <v>24.969382</v>
      </c>
      <c r="C466" s="17">
        <f t="shared" si="13"/>
        <v>524.969382</v>
      </c>
      <c r="D466" s="17">
        <f t="shared" si="14"/>
        <v>3.4367021024315739E-3</v>
      </c>
      <c r="E466" s="17"/>
      <c r="F466" s="17"/>
      <c r="G466" s="17"/>
      <c r="H466" s="17"/>
      <c r="I466" s="17"/>
    </row>
    <row r="467" spans="1:9">
      <c r="A467" s="16">
        <v>43.6</v>
      </c>
      <c r="B467" s="17">
        <v>24.873774000000001</v>
      </c>
      <c r="C467" s="17">
        <f t="shared" si="13"/>
        <v>524.87377400000003</v>
      </c>
      <c r="D467" s="17">
        <f t="shared" si="14"/>
        <v>3.4360762064729227E-3</v>
      </c>
      <c r="E467" s="17"/>
      <c r="F467" s="17"/>
      <c r="G467" s="17"/>
      <c r="H467" s="17"/>
      <c r="I467" s="17"/>
    </row>
    <row r="468" spans="1:9">
      <c r="A468" s="16">
        <v>43.7</v>
      </c>
      <c r="B468" s="17">
        <v>24.778599</v>
      </c>
      <c r="C468" s="17">
        <f t="shared" si="13"/>
        <v>524.77859899999999</v>
      </c>
      <c r="D468" s="17">
        <f t="shared" si="14"/>
        <v>3.4354531451405595E-3</v>
      </c>
      <c r="E468" s="17"/>
      <c r="F468" s="17"/>
      <c r="G468" s="17"/>
      <c r="H468" s="17"/>
      <c r="I468" s="17"/>
    </row>
    <row r="469" spans="1:9">
      <c r="A469" s="16">
        <v>43.8</v>
      </c>
      <c r="B469" s="17">
        <v>24.683852000000002</v>
      </c>
      <c r="C469" s="17">
        <f t="shared" si="13"/>
        <v>524.683852</v>
      </c>
      <c r="D469" s="17">
        <f t="shared" si="14"/>
        <v>3.4348328857020777E-3</v>
      </c>
      <c r="E469" s="17"/>
      <c r="F469" s="17"/>
      <c r="G469" s="17"/>
      <c r="H469" s="17"/>
      <c r="I469" s="17"/>
    </row>
    <row r="470" spans="1:9">
      <c r="A470" s="16">
        <v>43.9</v>
      </c>
      <c r="B470" s="17">
        <v>24.58953</v>
      </c>
      <c r="C470" s="17">
        <f t="shared" si="13"/>
        <v>524.58952999999997</v>
      </c>
      <c r="D470" s="17">
        <f t="shared" si="14"/>
        <v>3.4342154085180362E-3</v>
      </c>
      <c r="E470" s="17"/>
      <c r="F470" s="17"/>
      <c r="G470" s="17"/>
      <c r="H470" s="17"/>
      <c r="I470" s="17"/>
    </row>
    <row r="471" spans="1:9">
      <c r="A471" s="16">
        <v>44</v>
      </c>
      <c r="B471" s="17">
        <v>24.495630999999999</v>
      </c>
      <c r="C471" s="17">
        <f t="shared" si="13"/>
        <v>524.495631</v>
      </c>
      <c r="D471" s="17">
        <f t="shared" si="14"/>
        <v>3.4336007004954717E-3</v>
      </c>
      <c r="E471" s="17"/>
      <c r="F471" s="17"/>
      <c r="G471" s="17"/>
      <c r="H471" s="17"/>
      <c r="I471" s="17"/>
    </row>
    <row r="472" spans="1:9">
      <c r="A472" s="16">
        <v>44.1</v>
      </c>
      <c r="B472" s="17">
        <v>24.402151</v>
      </c>
      <c r="C472" s="17">
        <f t="shared" si="13"/>
        <v>524.402151</v>
      </c>
      <c r="D472" s="17">
        <f t="shared" si="14"/>
        <v>3.43298873544846E-3</v>
      </c>
      <c r="E472" s="17"/>
      <c r="F472" s="17"/>
      <c r="G472" s="17"/>
      <c r="H472" s="17"/>
      <c r="I472" s="17"/>
    </row>
    <row r="473" spans="1:9">
      <c r="A473" s="16">
        <v>44.2</v>
      </c>
      <c r="B473" s="17">
        <v>24.309087000000002</v>
      </c>
      <c r="C473" s="17">
        <f t="shared" si="13"/>
        <v>524.30908699999998</v>
      </c>
      <c r="D473" s="17">
        <f t="shared" si="14"/>
        <v>3.4323794937375584E-3</v>
      </c>
      <c r="E473" s="17"/>
      <c r="F473" s="17"/>
      <c r="G473" s="17"/>
      <c r="H473" s="17"/>
      <c r="I473" s="17"/>
    </row>
    <row r="474" spans="1:9">
      <c r="A474" s="16">
        <v>44.3</v>
      </c>
      <c r="B474" s="17">
        <v>24.216436000000002</v>
      </c>
      <c r="C474" s="17">
        <f t="shared" si="13"/>
        <v>524.21643600000004</v>
      </c>
      <c r="D474" s="17">
        <f t="shared" si="14"/>
        <v>3.4317729557233239E-3</v>
      </c>
      <c r="E474" s="17"/>
      <c r="F474" s="17"/>
      <c r="G474" s="17"/>
      <c r="H474" s="17"/>
      <c r="I474" s="17"/>
    </row>
    <row r="475" spans="1:9">
      <c r="A475" s="16">
        <v>44.4</v>
      </c>
      <c r="B475" s="17">
        <v>24.124195</v>
      </c>
      <c r="C475" s="17">
        <f t="shared" si="13"/>
        <v>524.12419499999999</v>
      </c>
      <c r="D475" s="17">
        <f t="shared" si="14"/>
        <v>3.4311691017663119E-3</v>
      </c>
      <c r="E475" s="17"/>
      <c r="F475" s="17"/>
      <c r="G475" s="17"/>
      <c r="H475" s="17"/>
      <c r="I475" s="17"/>
    </row>
    <row r="476" spans="1:9">
      <c r="A476" s="16">
        <v>44.5</v>
      </c>
      <c r="B476" s="17">
        <v>24.032361999999999</v>
      </c>
      <c r="C476" s="17">
        <f t="shared" si="13"/>
        <v>524.03236200000003</v>
      </c>
      <c r="D476" s="17">
        <f t="shared" si="14"/>
        <v>3.4305679187735636E-3</v>
      </c>
      <c r="E476" s="17"/>
      <c r="F476" s="17"/>
      <c r="G476" s="17"/>
      <c r="H476" s="17"/>
      <c r="I476" s="17"/>
    </row>
    <row r="477" spans="1:9">
      <c r="A477" s="16">
        <v>44.6</v>
      </c>
      <c r="B477" s="17">
        <v>23.940933000000001</v>
      </c>
      <c r="C477" s="17">
        <f t="shared" si="13"/>
        <v>523.94093299999997</v>
      </c>
      <c r="D477" s="17">
        <f t="shared" si="14"/>
        <v>3.4299693805591508E-3</v>
      </c>
      <c r="E477" s="17"/>
      <c r="F477" s="17"/>
      <c r="G477" s="17"/>
      <c r="H477" s="17"/>
      <c r="I477" s="17"/>
    </row>
    <row r="478" spans="1:9">
      <c r="A478" s="16">
        <v>44.7</v>
      </c>
      <c r="B478" s="17">
        <v>23.849906000000001</v>
      </c>
      <c r="C478" s="17">
        <f t="shared" si="13"/>
        <v>523.84990600000003</v>
      </c>
      <c r="D478" s="17">
        <f t="shared" si="14"/>
        <v>3.4293734740301154E-3</v>
      </c>
      <c r="E478" s="17"/>
      <c r="F478" s="17"/>
      <c r="G478" s="17"/>
      <c r="H478" s="17"/>
      <c r="I478" s="17"/>
    </row>
    <row r="479" spans="1:9">
      <c r="A479" s="16">
        <v>44.8</v>
      </c>
      <c r="B479" s="17">
        <v>23.759277000000001</v>
      </c>
      <c r="C479" s="17">
        <f t="shared" si="13"/>
        <v>523.759277</v>
      </c>
      <c r="D479" s="17">
        <f t="shared" si="14"/>
        <v>3.4287801730005295E-3</v>
      </c>
      <c r="E479" s="17"/>
      <c r="F479" s="17"/>
      <c r="G479" s="17"/>
      <c r="H479" s="17"/>
      <c r="I479" s="17"/>
    </row>
    <row r="480" spans="1:9">
      <c r="A480" s="16">
        <v>44.9</v>
      </c>
      <c r="B480" s="17">
        <v>23.669044</v>
      </c>
      <c r="C480" s="17">
        <f t="shared" si="13"/>
        <v>523.66904399999999</v>
      </c>
      <c r="D480" s="17">
        <f t="shared" si="14"/>
        <v>3.4281894643774335E-3</v>
      </c>
      <c r="E480" s="17"/>
      <c r="F480" s="17"/>
      <c r="G480" s="17"/>
      <c r="H480" s="17"/>
      <c r="I480" s="17"/>
    </row>
    <row r="481" spans="1:9">
      <c r="A481" s="16">
        <v>45</v>
      </c>
      <c r="B481" s="17">
        <v>23.579203</v>
      </c>
      <c r="C481" s="17">
        <f t="shared" si="13"/>
        <v>523.57920300000001</v>
      </c>
      <c r="D481" s="17">
        <f t="shared" si="14"/>
        <v>3.4276013219749022E-3</v>
      </c>
      <c r="E481" s="17"/>
      <c r="F481" s="17"/>
      <c r="G481" s="17"/>
      <c r="H481" s="17"/>
      <c r="I481" s="17"/>
    </row>
    <row r="482" spans="1:9">
      <c r="A482" s="16">
        <v>45.1</v>
      </c>
      <c r="B482" s="17">
        <v>23.489753</v>
      </c>
      <c r="C482" s="17">
        <f t="shared" si="13"/>
        <v>523.48975299999995</v>
      </c>
      <c r="D482" s="17">
        <f t="shared" si="14"/>
        <v>3.427015739246456E-3</v>
      </c>
      <c r="E482" s="17"/>
      <c r="F482" s="17"/>
      <c r="G482" s="17"/>
      <c r="H482" s="17"/>
      <c r="I482" s="17"/>
    </row>
    <row r="483" spans="1:9">
      <c r="A483" s="16">
        <v>45.2</v>
      </c>
      <c r="B483" s="17">
        <v>23.400690000000001</v>
      </c>
      <c r="C483" s="17">
        <f t="shared" si="13"/>
        <v>523.40069000000005</v>
      </c>
      <c r="D483" s="17">
        <f t="shared" si="14"/>
        <v>3.4264326900061699E-3</v>
      </c>
      <c r="E483" s="17"/>
      <c r="F483" s="17"/>
      <c r="G483" s="17"/>
      <c r="H483" s="17"/>
      <c r="I483" s="17"/>
    </row>
    <row r="484" spans="1:9">
      <c r="A484" s="16">
        <v>45.3</v>
      </c>
      <c r="B484" s="17">
        <v>23.312011999999999</v>
      </c>
      <c r="C484" s="17">
        <f t="shared" si="13"/>
        <v>523.31201199999998</v>
      </c>
      <c r="D484" s="17">
        <f t="shared" si="14"/>
        <v>3.4258521611610802E-3</v>
      </c>
      <c r="E484" s="17"/>
      <c r="F484" s="17"/>
      <c r="G484" s="17"/>
      <c r="H484" s="17"/>
      <c r="I484" s="17"/>
    </row>
    <row r="485" spans="1:9">
      <c r="A485" s="16">
        <v>45.4</v>
      </c>
      <c r="B485" s="17">
        <v>23.223716</v>
      </c>
      <c r="C485" s="17">
        <f t="shared" si="13"/>
        <v>523.22371599999997</v>
      </c>
      <c r="D485" s="17">
        <f t="shared" si="14"/>
        <v>3.4252741330717466E-3</v>
      </c>
      <c r="E485" s="17"/>
      <c r="F485" s="17"/>
      <c r="G485" s="17"/>
      <c r="H485" s="17"/>
      <c r="I485" s="17"/>
    </row>
    <row r="486" spans="1:9">
      <c r="A486" s="16">
        <v>45.5</v>
      </c>
      <c r="B486" s="17">
        <v>23.135798999999999</v>
      </c>
      <c r="C486" s="17">
        <f t="shared" si="13"/>
        <v>523.13579900000002</v>
      </c>
      <c r="D486" s="17">
        <f t="shared" si="14"/>
        <v>3.4246985860987241E-3</v>
      </c>
      <c r="E486" s="17"/>
      <c r="F486" s="17"/>
      <c r="G486" s="17"/>
      <c r="H486" s="17"/>
      <c r="I486" s="17"/>
    </row>
    <row r="487" spans="1:9">
      <c r="A487" s="16">
        <v>45.6</v>
      </c>
      <c r="B487" s="17">
        <v>23.048259000000002</v>
      </c>
      <c r="C487" s="17">
        <f t="shared" si="13"/>
        <v>523.04825900000003</v>
      </c>
      <c r="D487" s="17">
        <f t="shared" si="14"/>
        <v>3.4241255071490524E-3</v>
      </c>
      <c r="E487" s="17"/>
      <c r="F487" s="17"/>
      <c r="G487" s="17"/>
      <c r="H487" s="17"/>
      <c r="I487" s="17"/>
    </row>
    <row r="488" spans="1:9">
      <c r="A488" s="16">
        <v>45.7</v>
      </c>
      <c r="B488" s="17">
        <v>22.961093000000002</v>
      </c>
      <c r="C488" s="17">
        <f t="shared" si="13"/>
        <v>522.96109300000001</v>
      </c>
      <c r="D488" s="17">
        <f t="shared" si="14"/>
        <v>3.4235548765832861E-3</v>
      </c>
      <c r="E488" s="17"/>
      <c r="F488" s="17"/>
      <c r="G488" s="17"/>
      <c r="H488" s="17"/>
      <c r="I488" s="17"/>
    </row>
    <row r="489" spans="1:9">
      <c r="A489" s="16">
        <v>45.8</v>
      </c>
      <c r="B489" s="17">
        <v>22.874298</v>
      </c>
      <c r="C489" s="17">
        <f t="shared" si="13"/>
        <v>522.87429799999995</v>
      </c>
      <c r="D489" s="17">
        <f t="shared" si="14"/>
        <v>3.4229866747619827E-3</v>
      </c>
      <c r="E489" s="17"/>
      <c r="F489" s="17"/>
      <c r="G489" s="17"/>
      <c r="H489" s="17"/>
      <c r="I489" s="17"/>
    </row>
    <row r="490" spans="1:9">
      <c r="A490" s="16">
        <v>45.9</v>
      </c>
      <c r="B490" s="17">
        <v>22.787870999999999</v>
      </c>
      <c r="C490" s="17">
        <f t="shared" si="13"/>
        <v>522.787871</v>
      </c>
      <c r="D490" s="17">
        <f t="shared" si="14"/>
        <v>3.422420882045701E-3</v>
      </c>
      <c r="E490" s="17"/>
      <c r="F490" s="17"/>
      <c r="G490" s="17"/>
      <c r="H490" s="17"/>
      <c r="I490" s="17"/>
    </row>
    <row r="491" spans="1:9">
      <c r="A491" s="16">
        <v>46</v>
      </c>
      <c r="B491" s="17">
        <v>22.701810999999999</v>
      </c>
      <c r="C491" s="17">
        <f t="shared" si="13"/>
        <v>522.70181100000002</v>
      </c>
      <c r="D491" s="17">
        <f t="shared" si="14"/>
        <v>3.4218574918879578E-3</v>
      </c>
      <c r="E491" s="17"/>
      <c r="F491" s="17"/>
      <c r="G491" s="17"/>
      <c r="H491" s="17"/>
      <c r="I491" s="17"/>
    </row>
    <row r="492" spans="1:9">
      <c r="A492" s="16">
        <v>46.1</v>
      </c>
      <c r="B492" s="17">
        <v>22.616115000000001</v>
      </c>
      <c r="C492" s="17">
        <f t="shared" ref="C492:C542" si="15">B492+$C$26</f>
        <v>522.61611500000004</v>
      </c>
      <c r="D492" s="17">
        <f t="shared" ref="D492:D542" si="16">C492*1000000/(4*PI())*$C$13*RADIANS($C$20)*RADIANS($C$21)</f>
        <v>3.421296484649311E-3</v>
      </c>
      <c r="E492" s="17"/>
      <c r="F492" s="17"/>
      <c r="G492" s="17"/>
      <c r="H492" s="17"/>
      <c r="I492" s="17"/>
    </row>
    <row r="493" spans="1:9">
      <c r="A493" s="16">
        <v>46.2</v>
      </c>
      <c r="B493" s="17">
        <v>22.53078</v>
      </c>
      <c r="C493" s="17">
        <f t="shared" si="15"/>
        <v>522.53078000000005</v>
      </c>
      <c r="D493" s="17">
        <f t="shared" si="16"/>
        <v>3.4207378406903169E-3</v>
      </c>
      <c r="E493" s="17"/>
      <c r="F493" s="17"/>
      <c r="G493" s="17"/>
      <c r="H493" s="17"/>
      <c r="I493" s="17"/>
    </row>
    <row r="494" spans="1:9">
      <c r="A494" s="16">
        <v>46.3</v>
      </c>
      <c r="B494" s="17">
        <v>22.445803000000002</v>
      </c>
      <c r="C494" s="17">
        <f t="shared" si="15"/>
        <v>522.44580299999996</v>
      </c>
      <c r="D494" s="17">
        <f t="shared" si="16"/>
        <v>3.4201815403715322E-3</v>
      </c>
      <c r="E494" s="17"/>
      <c r="F494" s="17"/>
      <c r="G494" s="17"/>
      <c r="H494" s="17"/>
      <c r="I494" s="17"/>
    </row>
    <row r="495" spans="1:9">
      <c r="A495" s="16">
        <v>46.4</v>
      </c>
      <c r="B495" s="17">
        <v>22.361183</v>
      </c>
      <c r="C495" s="17">
        <f t="shared" si="15"/>
        <v>522.36118299999998</v>
      </c>
      <c r="D495" s="17">
        <f t="shared" si="16"/>
        <v>3.4196275771464788E-3</v>
      </c>
      <c r="E495" s="17"/>
      <c r="F495" s="17"/>
      <c r="G495" s="17"/>
      <c r="H495" s="17"/>
      <c r="I495" s="17"/>
    </row>
    <row r="496" spans="1:9">
      <c r="A496" s="16">
        <v>46.5</v>
      </c>
      <c r="B496" s="17">
        <v>22.276916</v>
      </c>
      <c r="C496" s="17">
        <f t="shared" si="15"/>
        <v>522.27691600000003</v>
      </c>
      <c r="D496" s="17">
        <f t="shared" si="16"/>
        <v>3.4190759248292281E-3</v>
      </c>
      <c r="E496" s="17"/>
      <c r="F496" s="17"/>
      <c r="G496" s="17"/>
      <c r="H496" s="17"/>
      <c r="I496" s="17"/>
    </row>
    <row r="497" spans="1:9">
      <c r="A497" s="16">
        <v>46.6</v>
      </c>
      <c r="B497" s="17">
        <v>22.193000999999999</v>
      </c>
      <c r="C497" s="17">
        <f t="shared" si="15"/>
        <v>522.19300099999998</v>
      </c>
      <c r="D497" s="17">
        <f t="shared" si="16"/>
        <v>3.418526576873302E-3</v>
      </c>
      <c r="E497" s="17"/>
      <c r="F497" s="17"/>
      <c r="G497" s="17"/>
      <c r="H497" s="17"/>
      <c r="I497" s="17"/>
    </row>
    <row r="498" spans="1:9">
      <c r="A498" s="16">
        <v>46.7</v>
      </c>
      <c r="B498" s="17">
        <v>22.109435000000001</v>
      </c>
      <c r="C498" s="17">
        <f t="shared" si="15"/>
        <v>522.10943499999996</v>
      </c>
      <c r="D498" s="17">
        <f t="shared" si="16"/>
        <v>3.4179795136392559E-3</v>
      </c>
      <c r="E498" s="17"/>
      <c r="F498" s="17"/>
      <c r="G498" s="17"/>
      <c r="H498" s="17"/>
      <c r="I498" s="17"/>
    </row>
    <row r="499" spans="1:9">
      <c r="A499" s="16">
        <v>46.8</v>
      </c>
      <c r="B499" s="17">
        <v>22.026215000000001</v>
      </c>
      <c r="C499" s="17">
        <f t="shared" si="15"/>
        <v>522.02621499999998</v>
      </c>
      <c r="D499" s="17">
        <f t="shared" si="16"/>
        <v>3.4174347154876487E-3</v>
      </c>
      <c r="E499" s="17"/>
      <c r="F499" s="17"/>
      <c r="G499" s="17"/>
      <c r="H499" s="17"/>
      <c r="I499" s="17"/>
    </row>
    <row r="500" spans="1:9">
      <c r="A500" s="16">
        <v>46.9</v>
      </c>
      <c r="B500" s="17">
        <v>21.943339999999999</v>
      </c>
      <c r="C500" s="17">
        <f t="shared" si="15"/>
        <v>521.94334000000003</v>
      </c>
      <c r="D500" s="17">
        <f t="shared" si="16"/>
        <v>3.4168921758719975E-3</v>
      </c>
      <c r="E500" s="17"/>
      <c r="F500" s="17"/>
      <c r="G500" s="17"/>
      <c r="H500" s="17"/>
      <c r="I500" s="17"/>
    </row>
    <row r="501" spans="1:9">
      <c r="A501" s="16">
        <v>47</v>
      </c>
      <c r="B501" s="17">
        <v>21.860806</v>
      </c>
      <c r="C501" s="17">
        <f t="shared" si="15"/>
        <v>521.86080600000003</v>
      </c>
      <c r="D501" s="17">
        <f t="shared" si="16"/>
        <v>3.4163518686063776E-3</v>
      </c>
      <c r="E501" s="17"/>
      <c r="F501" s="17"/>
      <c r="G501" s="17"/>
      <c r="H501" s="17"/>
      <c r="I501" s="17"/>
    </row>
    <row r="502" spans="1:9">
      <c r="A502" s="16">
        <v>47.1</v>
      </c>
      <c r="B502" s="17">
        <v>21.778611999999999</v>
      </c>
      <c r="C502" s="17">
        <f t="shared" si="15"/>
        <v>521.77861199999995</v>
      </c>
      <c r="D502" s="17">
        <f t="shared" si="16"/>
        <v>3.4158137871443104E-3</v>
      </c>
      <c r="E502" s="17"/>
      <c r="F502" s="17"/>
      <c r="G502" s="17"/>
      <c r="H502" s="17"/>
      <c r="I502" s="17"/>
    </row>
    <row r="503" spans="1:9">
      <c r="A503" s="16">
        <v>47.2</v>
      </c>
      <c r="B503" s="17">
        <v>21.696755</v>
      </c>
      <c r="C503" s="17">
        <f t="shared" si="15"/>
        <v>521.69675500000005</v>
      </c>
      <c r="D503" s="17">
        <f t="shared" si="16"/>
        <v>3.4152779118463519E-3</v>
      </c>
      <c r="E503" s="17"/>
      <c r="F503" s="17"/>
      <c r="G503" s="17"/>
      <c r="H503" s="17"/>
      <c r="I503" s="17"/>
    </row>
    <row r="504" spans="1:9">
      <c r="A504" s="16">
        <v>47.3</v>
      </c>
      <c r="B504" s="17">
        <v>21.615233</v>
      </c>
      <c r="C504" s="17">
        <f t="shared" si="15"/>
        <v>521.61523299999999</v>
      </c>
      <c r="D504" s="17">
        <f t="shared" si="16"/>
        <v>3.4147442296195377E-3</v>
      </c>
      <c r="E504" s="17"/>
      <c r="F504" s="17"/>
      <c r="G504" s="17"/>
      <c r="H504" s="17"/>
      <c r="I504" s="17"/>
    </row>
    <row r="505" spans="1:9">
      <c r="A505" s="16">
        <v>47.4</v>
      </c>
      <c r="B505" s="17">
        <v>21.534044000000002</v>
      </c>
      <c r="C505" s="17">
        <f t="shared" si="15"/>
        <v>521.53404399999999</v>
      </c>
      <c r="D505" s="17">
        <f t="shared" si="16"/>
        <v>3.414212727370909E-3</v>
      </c>
      <c r="E505" s="17"/>
      <c r="F505" s="17"/>
      <c r="G505" s="17"/>
      <c r="H505" s="17"/>
      <c r="I505" s="17"/>
    </row>
    <row r="506" spans="1:9">
      <c r="A506" s="16">
        <v>47.5</v>
      </c>
      <c r="B506" s="17">
        <v>21.453185999999999</v>
      </c>
      <c r="C506" s="17">
        <f t="shared" si="15"/>
        <v>521.45318599999996</v>
      </c>
      <c r="D506" s="17">
        <f t="shared" si="16"/>
        <v>3.4136833920075027E-3</v>
      </c>
      <c r="E506" s="17"/>
      <c r="F506" s="17"/>
      <c r="G506" s="17"/>
      <c r="H506" s="17"/>
      <c r="I506" s="17"/>
    </row>
    <row r="507" spans="1:9">
      <c r="A507" s="16">
        <v>47.6</v>
      </c>
      <c r="B507" s="17">
        <v>21.372655999999999</v>
      </c>
      <c r="C507" s="17">
        <f t="shared" si="15"/>
        <v>521.37265600000001</v>
      </c>
      <c r="D507" s="17">
        <f t="shared" si="16"/>
        <v>3.4131562038898743E-3</v>
      </c>
      <c r="E507" s="17"/>
      <c r="F507" s="17"/>
      <c r="G507" s="17"/>
      <c r="H507" s="17"/>
      <c r="I507" s="17"/>
    </row>
    <row r="508" spans="1:9">
      <c r="A508" s="16">
        <v>47.7</v>
      </c>
      <c r="B508" s="17">
        <v>21.292452000000001</v>
      </c>
      <c r="C508" s="17">
        <f t="shared" si="15"/>
        <v>521.29245200000003</v>
      </c>
      <c r="D508" s="17">
        <f t="shared" si="16"/>
        <v>3.4126311499250639E-3</v>
      </c>
      <c r="E508" s="17"/>
      <c r="F508" s="17"/>
      <c r="G508" s="17"/>
      <c r="H508" s="17"/>
      <c r="I508" s="17"/>
    </row>
    <row r="509" spans="1:9">
      <c r="A509" s="16">
        <v>47.8</v>
      </c>
      <c r="B509" s="17">
        <v>21.212572000000002</v>
      </c>
      <c r="C509" s="17">
        <f t="shared" si="15"/>
        <v>521.21257200000002</v>
      </c>
      <c r="D509" s="17">
        <f t="shared" si="16"/>
        <v>3.4121082170201077E-3</v>
      </c>
      <c r="E509" s="17"/>
      <c r="F509" s="17"/>
      <c r="G509" s="17"/>
      <c r="H509" s="17"/>
      <c r="I509" s="17"/>
    </row>
    <row r="510" spans="1:9">
      <c r="A510" s="16">
        <v>47.9</v>
      </c>
      <c r="B510" s="17">
        <v>21.133013999999999</v>
      </c>
      <c r="C510" s="17">
        <f t="shared" si="15"/>
        <v>521.133014</v>
      </c>
      <c r="D510" s="17">
        <f t="shared" si="16"/>
        <v>3.411587392082045E-3</v>
      </c>
      <c r="E510" s="17"/>
      <c r="F510" s="17"/>
      <c r="G510" s="17"/>
      <c r="H510" s="17"/>
      <c r="I510" s="17"/>
    </row>
    <row r="511" spans="1:9">
      <c r="A511" s="16">
        <v>48</v>
      </c>
      <c r="B511" s="17">
        <v>21.053775000000002</v>
      </c>
      <c r="C511" s="17">
        <f t="shared" si="15"/>
        <v>521.05377499999997</v>
      </c>
      <c r="D511" s="17">
        <f t="shared" si="16"/>
        <v>3.4110686554714308E-3</v>
      </c>
      <c r="E511" s="17"/>
      <c r="F511" s="17"/>
      <c r="G511" s="17"/>
      <c r="H511" s="17"/>
      <c r="I511" s="17"/>
    </row>
    <row r="512" spans="1:9">
      <c r="A512" s="16">
        <v>48.1</v>
      </c>
      <c r="B512" s="17">
        <v>20.974854000000001</v>
      </c>
      <c r="C512" s="17">
        <f t="shared" si="15"/>
        <v>520.97485400000005</v>
      </c>
      <c r="D512" s="17">
        <f t="shared" si="16"/>
        <v>3.4105520006417864E-3</v>
      </c>
      <c r="E512" s="17"/>
      <c r="F512" s="17"/>
      <c r="G512" s="17"/>
      <c r="H512" s="17"/>
      <c r="I512" s="17"/>
    </row>
    <row r="513" spans="1:9">
      <c r="A513" s="16">
        <v>48.2</v>
      </c>
      <c r="B513" s="17">
        <v>20.896248</v>
      </c>
      <c r="C513" s="17">
        <f t="shared" si="15"/>
        <v>520.89624800000001</v>
      </c>
      <c r="D513" s="17">
        <f t="shared" si="16"/>
        <v>3.4100374079536668E-3</v>
      </c>
      <c r="E513" s="17"/>
      <c r="F513" s="17"/>
      <c r="G513" s="17"/>
      <c r="H513" s="17"/>
      <c r="I513" s="17"/>
    </row>
    <row r="514" spans="1:9">
      <c r="A514" s="16">
        <v>48.3</v>
      </c>
      <c r="B514" s="17">
        <v>20.817955999999999</v>
      </c>
      <c r="C514" s="17">
        <f t="shared" si="15"/>
        <v>520.81795599999998</v>
      </c>
      <c r="D514" s="17">
        <f t="shared" si="16"/>
        <v>3.4095248708605917E-3</v>
      </c>
      <c r="E514" s="17"/>
      <c r="F514" s="17"/>
      <c r="G514" s="17"/>
      <c r="H514" s="17"/>
      <c r="I514" s="17"/>
    </row>
    <row r="515" spans="1:9">
      <c r="A515" s="16">
        <v>48.4</v>
      </c>
      <c r="B515" s="17">
        <v>20.739975000000001</v>
      </c>
      <c r="C515" s="17">
        <f t="shared" si="15"/>
        <v>520.73997499999996</v>
      </c>
      <c r="D515" s="17">
        <f t="shared" si="16"/>
        <v>3.4090143697231181E-3</v>
      </c>
      <c r="E515" s="17"/>
      <c r="F515" s="17"/>
      <c r="G515" s="17"/>
      <c r="H515" s="17"/>
      <c r="I515" s="17"/>
    </row>
    <row r="516" spans="1:9">
      <c r="A516" s="16">
        <v>48.5</v>
      </c>
      <c r="B516" s="17">
        <v>20.662303999999999</v>
      </c>
      <c r="C516" s="17">
        <f t="shared" si="15"/>
        <v>520.66230399999995</v>
      </c>
      <c r="D516" s="17">
        <f t="shared" si="16"/>
        <v>3.4085058979947654E-3</v>
      </c>
      <c r="E516" s="17"/>
      <c r="F516" s="17"/>
      <c r="G516" s="17"/>
      <c r="H516" s="17"/>
      <c r="I516" s="17"/>
    </row>
    <row r="517" spans="1:9">
      <c r="A517" s="16">
        <v>48.6</v>
      </c>
      <c r="B517" s="17">
        <v>20.58494</v>
      </c>
      <c r="C517" s="17">
        <f t="shared" si="15"/>
        <v>520.58493999999996</v>
      </c>
      <c r="D517" s="17">
        <f t="shared" si="16"/>
        <v>3.4079994360360897E-3</v>
      </c>
      <c r="E517" s="17"/>
      <c r="F517" s="17"/>
      <c r="G517" s="17"/>
      <c r="H517" s="17"/>
      <c r="I517" s="17"/>
    </row>
    <row r="518" spans="1:9">
      <c r="A518" s="16">
        <v>48.7</v>
      </c>
      <c r="B518" s="17">
        <v>20.507881000000001</v>
      </c>
      <c r="C518" s="17">
        <f t="shared" si="15"/>
        <v>520.507881</v>
      </c>
      <c r="D518" s="17">
        <f t="shared" si="16"/>
        <v>3.4074949707541299E-3</v>
      </c>
      <c r="E518" s="17"/>
      <c r="F518" s="17"/>
      <c r="G518" s="17"/>
      <c r="H518" s="17"/>
      <c r="I518" s="17"/>
    </row>
    <row r="519" spans="1:9">
      <c r="A519" s="16">
        <v>48.8</v>
      </c>
      <c r="B519" s="17">
        <v>20.431125000000002</v>
      </c>
      <c r="C519" s="17">
        <f t="shared" si="15"/>
        <v>520.43112499999995</v>
      </c>
      <c r="D519" s="17">
        <f t="shared" si="16"/>
        <v>3.4069924890559218E-3</v>
      </c>
      <c r="E519" s="17"/>
      <c r="F519" s="17"/>
      <c r="G519" s="17"/>
      <c r="H519" s="17"/>
      <c r="I519" s="17"/>
    </row>
    <row r="520" spans="1:9">
      <c r="A520" s="16">
        <v>48.9</v>
      </c>
      <c r="B520" s="17">
        <v>20.354671</v>
      </c>
      <c r="C520" s="17">
        <f t="shared" si="15"/>
        <v>520.35467100000005</v>
      </c>
      <c r="D520" s="17">
        <f t="shared" si="16"/>
        <v>3.4064919843949876E-3</v>
      </c>
      <c r="E520" s="17"/>
      <c r="F520" s="17"/>
      <c r="G520" s="17"/>
      <c r="H520" s="17"/>
      <c r="I520" s="17"/>
    </row>
    <row r="521" spans="1:9">
      <c r="A521" s="16">
        <v>49</v>
      </c>
      <c r="B521" s="17">
        <v>20.278516</v>
      </c>
      <c r="C521" s="17">
        <f t="shared" si="15"/>
        <v>520.27851599999997</v>
      </c>
      <c r="D521" s="17">
        <f t="shared" si="16"/>
        <v>3.4059934371318806E-3</v>
      </c>
      <c r="E521" s="17"/>
      <c r="F521" s="17"/>
      <c r="G521" s="17"/>
      <c r="H521" s="17"/>
      <c r="I521" s="17"/>
    </row>
    <row r="522" spans="1:9">
      <c r="A522" s="16">
        <v>49.1</v>
      </c>
      <c r="B522" s="17">
        <v>20.202659000000001</v>
      </c>
      <c r="C522" s="17">
        <f t="shared" si="15"/>
        <v>520.20265900000004</v>
      </c>
      <c r="D522" s="17">
        <f t="shared" si="16"/>
        <v>3.4054968407201233E-3</v>
      </c>
      <c r="E522" s="17"/>
      <c r="F522" s="17"/>
      <c r="G522" s="17"/>
      <c r="H522" s="17"/>
      <c r="I522" s="17"/>
    </row>
    <row r="523" spans="1:9">
      <c r="A523" s="16">
        <v>49.2</v>
      </c>
      <c r="B523" s="17">
        <v>20.127096999999999</v>
      </c>
      <c r="C523" s="17">
        <f t="shared" si="15"/>
        <v>520.12709700000005</v>
      </c>
      <c r="D523" s="17">
        <f t="shared" si="16"/>
        <v>3.4050021755202692E-3</v>
      </c>
      <c r="E523" s="17"/>
      <c r="F523" s="17"/>
      <c r="G523" s="17"/>
      <c r="H523" s="17"/>
      <c r="I523" s="17"/>
    </row>
    <row r="524" spans="1:9">
      <c r="A524" s="16">
        <v>49.3</v>
      </c>
      <c r="B524" s="17">
        <v>20.051828</v>
      </c>
      <c r="C524" s="17">
        <f t="shared" si="15"/>
        <v>520.051828</v>
      </c>
      <c r="D524" s="17">
        <f t="shared" si="16"/>
        <v>3.4045094284393587E-3</v>
      </c>
      <c r="E524" s="17"/>
      <c r="F524" s="17"/>
      <c r="G524" s="17"/>
      <c r="H524" s="17"/>
      <c r="I524" s="17"/>
    </row>
    <row r="525" spans="1:9">
      <c r="A525" s="16">
        <v>49.4</v>
      </c>
      <c r="B525" s="17">
        <v>19.976852000000001</v>
      </c>
      <c r="C525" s="17">
        <f t="shared" si="15"/>
        <v>519.97685200000001</v>
      </c>
      <c r="D525" s="17">
        <f t="shared" si="16"/>
        <v>3.4040185994773909E-3</v>
      </c>
      <c r="E525" s="17"/>
      <c r="F525" s="17"/>
      <c r="G525" s="17"/>
      <c r="H525" s="17"/>
      <c r="I525" s="17"/>
    </row>
    <row r="526" spans="1:9">
      <c r="A526" s="16">
        <v>49.5</v>
      </c>
      <c r="B526" s="17">
        <v>19.902165</v>
      </c>
      <c r="C526" s="17">
        <f t="shared" si="15"/>
        <v>519.90216499999997</v>
      </c>
      <c r="D526" s="17">
        <f t="shared" si="16"/>
        <v>3.4035296624484413E-3</v>
      </c>
      <c r="E526" s="17"/>
      <c r="F526" s="17"/>
      <c r="G526" s="17"/>
      <c r="H526" s="17"/>
      <c r="I526" s="17"/>
    </row>
    <row r="527" spans="1:9">
      <c r="A527" s="16">
        <v>49.6</v>
      </c>
      <c r="B527" s="17">
        <v>19.827766</v>
      </c>
      <c r="C527" s="17">
        <f t="shared" si="15"/>
        <v>519.827766</v>
      </c>
      <c r="D527" s="17">
        <f t="shared" si="16"/>
        <v>3.4030426108060297E-3</v>
      </c>
      <c r="E527" s="17"/>
      <c r="F527" s="17"/>
      <c r="G527" s="17"/>
      <c r="H527" s="17"/>
      <c r="I527" s="17"/>
    </row>
    <row r="528" spans="1:9">
      <c r="A528" s="16">
        <v>49.7</v>
      </c>
      <c r="B528" s="17">
        <v>19.753654000000001</v>
      </c>
      <c r="C528" s="17">
        <f t="shared" si="15"/>
        <v>519.75365399999998</v>
      </c>
      <c r="D528" s="17">
        <f t="shared" si="16"/>
        <v>3.4025574380036751E-3</v>
      </c>
      <c r="E528" s="17"/>
      <c r="F528" s="17"/>
      <c r="G528" s="17"/>
      <c r="H528" s="17"/>
      <c r="I528" s="17"/>
    </row>
    <row r="529" spans="1:9">
      <c r="A529" s="16">
        <v>49.8</v>
      </c>
      <c r="B529" s="17">
        <v>19.679825999999998</v>
      </c>
      <c r="C529" s="17">
        <f t="shared" si="15"/>
        <v>519.67982600000005</v>
      </c>
      <c r="D529" s="17">
        <f t="shared" si="16"/>
        <v>3.4020741244019338E-3</v>
      </c>
      <c r="E529" s="17"/>
      <c r="F529" s="17"/>
      <c r="G529" s="17"/>
      <c r="H529" s="17"/>
      <c r="I529" s="17"/>
    </row>
    <row r="530" spans="1:9">
      <c r="A530" s="16">
        <v>49.9</v>
      </c>
      <c r="B530" s="17">
        <v>19.606280000000002</v>
      </c>
      <c r="C530" s="17">
        <f t="shared" si="15"/>
        <v>519.60627999999997</v>
      </c>
      <c r="D530" s="17">
        <f t="shared" si="16"/>
        <v>3.4015926569078434E-3</v>
      </c>
      <c r="E530" s="17"/>
      <c r="F530" s="17"/>
      <c r="G530" s="17"/>
      <c r="H530" s="17"/>
      <c r="I530" s="17"/>
    </row>
    <row r="531" spans="1:9">
      <c r="A531" s="16">
        <v>48.899999999999501</v>
      </c>
      <c r="B531" s="17">
        <v>19.606280000000002</v>
      </c>
      <c r="C531" s="17">
        <f t="shared" si="15"/>
        <v>519.60627999999997</v>
      </c>
      <c r="D531" s="17">
        <f t="shared" si="16"/>
        <v>3.4015926569078434E-3</v>
      </c>
      <c r="E531" s="17"/>
      <c r="F531" s="17"/>
      <c r="G531" s="17"/>
      <c r="H531" s="17"/>
      <c r="I531" s="17"/>
    </row>
    <row r="532" spans="1:9">
      <c r="A532" s="16">
        <v>48.999999999999503</v>
      </c>
      <c r="B532" s="17">
        <v>19.606280000000002</v>
      </c>
      <c r="C532" s="17">
        <f t="shared" si="15"/>
        <v>519.60627999999997</v>
      </c>
      <c r="D532" s="17">
        <f t="shared" si="16"/>
        <v>3.4015926569078434E-3</v>
      </c>
      <c r="E532" s="17"/>
      <c r="F532" s="17"/>
      <c r="G532" s="17"/>
      <c r="H532" s="17"/>
      <c r="I532" s="17"/>
    </row>
    <row r="533" spans="1:9">
      <c r="A533" s="16">
        <v>49.099999999999497</v>
      </c>
      <c r="B533" s="17">
        <v>19.606280000000002</v>
      </c>
      <c r="C533" s="17">
        <f t="shared" si="15"/>
        <v>519.60627999999997</v>
      </c>
      <c r="D533" s="17">
        <f t="shared" si="16"/>
        <v>3.4015926569078434E-3</v>
      </c>
      <c r="E533" s="17"/>
      <c r="F533" s="17"/>
      <c r="G533" s="17"/>
      <c r="H533" s="17"/>
      <c r="I533" s="17"/>
    </row>
    <row r="534" spans="1:9">
      <c r="A534" s="16">
        <v>49.199999999999399</v>
      </c>
      <c r="B534" s="17">
        <v>19.606280000000002</v>
      </c>
      <c r="C534" s="17">
        <f t="shared" si="15"/>
        <v>519.60627999999997</v>
      </c>
      <c r="D534" s="17">
        <f t="shared" si="16"/>
        <v>3.4015926569078434E-3</v>
      </c>
      <c r="E534" s="17"/>
      <c r="F534" s="17"/>
      <c r="G534" s="17"/>
      <c r="H534" s="17"/>
      <c r="I534" s="17"/>
    </row>
    <row r="535" spans="1:9">
      <c r="A535" s="16">
        <v>49.2999999999994</v>
      </c>
      <c r="B535" s="17">
        <v>19.606280000000002</v>
      </c>
      <c r="C535" s="17">
        <f t="shared" si="15"/>
        <v>519.60627999999997</v>
      </c>
      <c r="D535" s="17">
        <f t="shared" si="16"/>
        <v>3.4015926569078434E-3</v>
      </c>
      <c r="E535" s="17"/>
      <c r="F535" s="17"/>
      <c r="G535" s="17"/>
      <c r="H535" s="17"/>
      <c r="I535" s="17"/>
    </row>
    <row r="536" spans="1:9">
      <c r="A536" s="16">
        <v>49.399999999999402</v>
      </c>
      <c r="B536" s="17">
        <v>19.606280000000002</v>
      </c>
      <c r="C536" s="17">
        <f t="shared" si="15"/>
        <v>519.60627999999997</v>
      </c>
      <c r="D536" s="17">
        <f t="shared" si="16"/>
        <v>3.4015926569078434E-3</v>
      </c>
      <c r="E536" s="17"/>
      <c r="F536" s="17"/>
      <c r="G536" s="17"/>
      <c r="H536" s="17"/>
      <c r="I536" s="17"/>
    </row>
    <row r="537" spans="1:9">
      <c r="A537" s="16">
        <v>49.499999999999403</v>
      </c>
      <c r="B537" s="17">
        <v>19.606280000000002</v>
      </c>
      <c r="C537" s="17">
        <f t="shared" si="15"/>
        <v>519.60627999999997</v>
      </c>
      <c r="D537" s="17">
        <f t="shared" si="16"/>
        <v>3.4015926569078434E-3</v>
      </c>
      <c r="E537" s="17"/>
      <c r="F537" s="17"/>
      <c r="G537" s="17"/>
      <c r="H537" s="17"/>
      <c r="I537" s="17"/>
    </row>
    <row r="538" spans="1:9">
      <c r="A538" s="16">
        <v>49.599999999999397</v>
      </c>
      <c r="B538" s="17">
        <v>19.606280000000002</v>
      </c>
      <c r="C538" s="17">
        <f t="shared" si="15"/>
        <v>519.60627999999997</v>
      </c>
      <c r="D538" s="17">
        <f t="shared" si="16"/>
        <v>3.4015926569078434E-3</v>
      </c>
      <c r="E538" s="17"/>
      <c r="F538" s="17"/>
      <c r="G538" s="17"/>
      <c r="H538" s="17"/>
      <c r="I538" s="17"/>
    </row>
    <row r="539" spans="1:9">
      <c r="A539" s="16">
        <v>49.699999999999399</v>
      </c>
      <c r="B539" s="17">
        <v>19.606280000000002</v>
      </c>
      <c r="C539" s="17">
        <f t="shared" si="15"/>
        <v>519.60627999999997</v>
      </c>
      <c r="D539" s="17">
        <f t="shared" si="16"/>
        <v>3.4015926569078434E-3</v>
      </c>
      <c r="E539" s="17"/>
      <c r="F539" s="17"/>
      <c r="G539" s="17"/>
      <c r="H539" s="17"/>
      <c r="I539" s="17"/>
    </row>
    <row r="540" spans="1:9">
      <c r="A540" s="16">
        <v>49.7999999999994</v>
      </c>
      <c r="B540" s="17">
        <v>19.606280000000002</v>
      </c>
      <c r="C540" s="17">
        <f t="shared" si="15"/>
        <v>519.60627999999997</v>
      </c>
      <c r="D540" s="17">
        <f t="shared" si="16"/>
        <v>3.4015926569078434E-3</v>
      </c>
      <c r="E540" s="17"/>
      <c r="F540" s="17"/>
      <c r="G540" s="17"/>
      <c r="H540" s="17"/>
      <c r="I540" s="17"/>
    </row>
    <row r="541" spans="1:9">
      <c r="A541" s="16">
        <v>49.899999999999402</v>
      </c>
      <c r="B541" s="17">
        <v>19.606280000000002</v>
      </c>
      <c r="C541" s="17">
        <f t="shared" si="15"/>
        <v>519.60627999999997</v>
      </c>
      <c r="D541" s="17">
        <f t="shared" si="16"/>
        <v>3.4015926569078434E-3</v>
      </c>
      <c r="E541" s="17"/>
      <c r="F541" s="17"/>
      <c r="G541" s="17"/>
      <c r="H541" s="17"/>
      <c r="I541" s="17"/>
    </row>
    <row r="542" spans="1:9">
      <c r="A542" s="16">
        <v>49.999999999999403</v>
      </c>
      <c r="B542" s="17">
        <v>19.606280000000002</v>
      </c>
      <c r="C542" s="17">
        <f t="shared" si="15"/>
        <v>519.60627999999997</v>
      </c>
      <c r="D542" s="17">
        <f t="shared" si="16"/>
        <v>3.4015926569078434E-3</v>
      </c>
      <c r="E542" s="17"/>
      <c r="F542" s="17"/>
      <c r="G542" s="17"/>
      <c r="H542" s="17"/>
      <c r="I542" s="17"/>
    </row>
    <row r="543" spans="1:9">
      <c r="A543" s="16"/>
      <c r="B543" s="17"/>
      <c r="C543" s="17"/>
      <c r="D543" s="17"/>
      <c r="E543" s="17"/>
      <c r="F543" s="17"/>
      <c r="G543" s="17"/>
      <c r="H543" s="17"/>
      <c r="I543" s="17"/>
    </row>
    <row r="544" spans="1:9">
      <c r="A544" s="16"/>
      <c r="B544" s="17"/>
      <c r="C544" s="17"/>
      <c r="D544" s="17"/>
      <c r="E544" s="17"/>
      <c r="F544" s="17"/>
      <c r="G544" s="17"/>
      <c r="H544" s="17"/>
      <c r="I544" s="17"/>
    </row>
    <row r="545" spans="1:9">
      <c r="A545" s="16"/>
      <c r="B545" s="17"/>
      <c r="C545" s="17"/>
      <c r="D545" s="17"/>
      <c r="E545" s="17"/>
      <c r="F545" s="17"/>
      <c r="G545" s="17"/>
      <c r="H545" s="17"/>
      <c r="I545" s="17"/>
    </row>
    <row r="546" spans="1:9">
      <c r="A546" s="16"/>
      <c r="B546" s="17"/>
      <c r="C546" s="17"/>
      <c r="D546" s="17"/>
      <c r="E546" s="17"/>
      <c r="F546" s="17"/>
      <c r="G546" s="17"/>
      <c r="H546" s="17"/>
      <c r="I546" s="17"/>
    </row>
    <row r="547" spans="1:9">
      <c r="A547" s="16"/>
      <c r="B547" s="17"/>
      <c r="C547" s="17"/>
      <c r="D547" s="17"/>
      <c r="E547" s="17"/>
      <c r="F547" s="17"/>
      <c r="G547" s="17"/>
      <c r="H547" s="17"/>
      <c r="I547" s="17"/>
    </row>
    <row r="548" spans="1:9">
      <c r="A548" s="16"/>
      <c r="B548" s="17"/>
      <c r="C548" s="17"/>
      <c r="D548" s="17"/>
      <c r="E548" s="17"/>
      <c r="F548" s="17"/>
      <c r="G548" s="17"/>
      <c r="H548" s="17"/>
      <c r="I548" s="17"/>
    </row>
    <row r="549" spans="1:9">
      <c r="A549" s="16"/>
      <c r="B549" s="17"/>
      <c r="C549" s="17"/>
      <c r="D549" s="17"/>
      <c r="E549" s="17"/>
      <c r="F549" s="17"/>
      <c r="G549" s="17"/>
      <c r="H549" s="17"/>
      <c r="I549" s="17"/>
    </row>
    <row r="550" spans="1:9">
      <c r="A550" s="16"/>
      <c r="B550" s="17"/>
      <c r="C550" s="17"/>
      <c r="D550" s="17"/>
      <c r="E550" s="17"/>
      <c r="F550" s="17"/>
      <c r="G550" s="17"/>
      <c r="H550" s="17"/>
      <c r="I550" s="17"/>
    </row>
    <row r="551" spans="1:9">
      <c r="A551" s="16"/>
      <c r="B551" s="17"/>
      <c r="C551" s="17"/>
      <c r="D551" s="17"/>
      <c r="E551" s="17"/>
      <c r="F551" s="17"/>
      <c r="G551" s="17"/>
      <c r="H551" s="17"/>
      <c r="I551" s="17"/>
    </row>
    <row r="552" spans="1:9">
      <c r="A552" s="16"/>
      <c r="B552" s="17"/>
      <c r="C552" s="17"/>
      <c r="D552" s="17"/>
      <c r="E552" s="17"/>
      <c r="F552" s="17"/>
      <c r="G552" s="17"/>
      <c r="H552" s="17"/>
      <c r="I552" s="17"/>
    </row>
    <row r="553" spans="1:9">
      <c r="A553" s="16"/>
      <c r="B553" s="17"/>
      <c r="C553" s="17"/>
      <c r="D553" s="17"/>
      <c r="E553" s="17"/>
      <c r="F553" s="17"/>
      <c r="G553" s="17"/>
      <c r="H553" s="17"/>
      <c r="I553" s="17"/>
    </row>
    <row r="554" spans="1:9">
      <c r="A554" s="16"/>
      <c r="B554" s="17"/>
      <c r="C554" s="17"/>
      <c r="D554" s="17"/>
      <c r="E554" s="17"/>
      <c r="F554" s="17"/>
      <c r="G554" s="17"/>
      <c r="H554" s="17"/>
      <c r="I554" s="17"/>
    </row>
    <row r="555" spans="1:9">
      <c r="A555" s="16"/>
      <c r="B555" s="17"/>
      <c r="C555" s="17"/>
      <c r="D555" s="17"/>
      <c r="E555" s="17"/>
      <c r="F555" s="17"/>
      <c r="G555" s="17"/>
      <c r="H555" s="17"/>
      <c r="I555" s="17"/>
    </row>
    <row r="556" spans="1:9">
      <c r="A556" s="16"/>
      <c r="B556" s="17"/>
      <c r="C556" s="17"/>
      <c r="D556" s="17"/>
      <c r="E556" s="17"/>
      <c r="F556" s="17"/>
      <c r="G556" s="17"/>
      <c r="H556" s="17"/>
      <c r="I556" s="17"/>
    </row>
    <row r="557" spans="1:9">
      <c r="A557" s="16"/>
      <c r="B557" s="17"/>
      <c r="C557" s="17"/>
      <c r="D557" s="17"/>
      <c r="E557" s="17"/>
      <c r="F557" s="17"/>
      <c r="G557" s="17"/>
      <c r="H557" s="17"/>
      <c r="I557" s="17"/>
    </row>
    <row r="558" spans="1:9">
      <c r="A558" s="16"/>
      <c r="B558" s="17"/>
      <c r="C558" s="17"/>
      <c r="D558" s="17"/>
      <c r="E558" s="17"/>
      <c r="F558" s="17"/>
      <c r="G558" s="17"/>
      <c r="H558" s="17"/>
      <c r="I558" s="17"/>
    </row>
    <row r="559" spans="1:9">
      <c r="A559" s="16"/>
      <c r="B559" s="17"/>
      <c r="C559" s="17"/>
      <c r="D559" s="17"/>
      <c r="E559" s="17"/>
      <c r="F559" s="17"/>
      <c r="G559" s="17"/>
      <c r="H559" s="17"/>
      <c r="I559" s="17"/>
    </row>
    <row r="560" spans="1:9">
      <c r="A560" s="16"/>
      <c r="B560" s="17"/>
      <c r="C560" s="17"/>
      <c r="D560" s="17"/>
      <c r="E560" s="17"/>
      <c r="F560" s="17"/>
      <c r="G560" s="17"/>
      <c r="H560" s="17"/>
      <c r="I560" s="17"/>
    </row>
    <row r="561" spans="1:9">
      <c r="A561" s="16"/>
      <c r="B561" s="17"/>
      <c r="C561" s="17"/>
      <c r="D561" s="17"/>
      <c r="E561" s="17"/>
      <c r="F561" s="17"/>
      <c r="G561" s="17"/>
      <c r="H561" s="17"/>
      <c r="I561" s="17"/>
    </row>
    <row r="562" spans="1:9">
      <c r="A562" s="16"/>
      <c r="B562" s="17"/>
      <c r="C562" s="17"/>
      <c r="D562" s="17"/>
      <c r="E562" s="17"/>
      <c r="F562" s="17"/>
      <c r="G562" s="17"/>
    </row>
  </sheetData>
  <mergeCells count="15">
    <mergeCell ref="I28:L28"/>
    <mergeCell ref="H28:H29"/>
    <mergeCell ref="C34:F34"/>
    <mergeCell ref="C38:F38"/>
    <mergeCell ref="C17:F17"/>
    <mergeCell ref="C15:F15"/>
    <mergeCell ref="C16:F16"/>
    <mergeCell ref="C6:F6"/>
    <mergeCell ref="C7:F7"/>
    <mergeCell ref="C8:F8"/>
    <mergeCell ref="G8:G10"/>
    <mergeCell ref="C9:F9"/>
    <mergeCell ref="C10:F10"/>
    <mergeCell ref="C11:F11"/>
    <mergeCell ref="C12:F1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D54E-F701-494C-BE88-7E49FACA8229}">
  <dimension ref="A1:M558"/>
  <sheetViews>
    <sheetView topLeftCell="A31" workbookViewId="0">
      <selection activeCell="F41" sqref="F41"/>
    </sheetView>
  </sheetViews>
  <sheetFormatPr baseColWidth="10" defaultColWidth="8.83203125" defaultRowHeight="18"/>
  <cols>
    <col min="1" max="1" width="20.5" customWidth="1"/>
    <col min="2" max="2" width="49.5" bestFit="1" customWidth="1"/>
    <col min="3" max="3" width="18.6640625" customWidth="1"/>
    <col min="4" max="5" width="18" customWidth="1"/>
    <col min="6" max="6" width="16.6640625" customWidth="1"/>
    <col min="7" max="8" width="17.1640625" customWidth="1"/>
    <col min="9" max="9" width="16.6640625" customWidth="1"/>
    <col min="10" max="10" width="18.33203125" customWidth="1"/>
    <col min="11" max="11" width="17.1640625" customWidth="1"/>
    <col min="12" max="12" width="16.6640625" customWidth="1"/>
  </cols>
  <sheetData>
    <row r="1" spans="1:10">
      <c r="A1" t="s">
        <v>76</v>
      </c>
    </row>
    <row r="2" spans="1:10">
      <c r="A2" s="16"/>
      <c r="B2" s="16" t="s">
        <v>1</v>
      </c>
      <c r="C2" s="17">
        <v>6.626068E-34</v>
      </c>
      <c r="D2" s="16"/>
      <c r="E2" s="16"/>
      <c r="F2" s="16"/>
      <c r="G2" s="16"/>
      <c r="H2" s="16"/>
      <c r="I2" s="16"/>
      <c r="J2" s="16"/>
    </row>
    <row r="3" spans="1:10">
      <c r="A3" s="16"/>
      <c r="B3" s="16" t="s">
        <v>2</v>
      </c>
      <c r="C3" s="17">
        <v>299792458</v>
      </c>
      <c r="D3" s="16"/>
      <c r="E3" s="16"/>
      <c r="F3" s="16"/>
      <c r="G3" s="16"/>
      <c r="H3" s="16"/>
      <c r="I3" s="16"/>
      <c r="J3" s="16"/>
    </row>
    <row r="4" spans="1:10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  <c r="I4" s="16"/>
      <c r="J4" s="16"/>
    </row>
    <row r="5" spans="1:10" ht="19" thickBot="1">
      <c r="A5" s="16"/>
      <c r="B5" s="16"/>
      <c r="C5" s="17" t="s">
        <v>212</v>
      </c>
      <c r="D5" s="16" t="s">
        <v>213</v>
      </c>
      <c r="E5" s="16" t="s">
        <v>214</v>
      </c>
      <c r="F5" s="16" t="s">
        <v>214</v>
      </c>
      <c r="G5" s="16"/>
      <c r="H5" s="16"/>
      <c r="I5" s="16"/>
      <c r="J5" s="16"/>
    </row>
    <row r="6" spans="1:10">
      <c r="A6" s="16"/>
      <c r="B6" s="18" t="s">
        <v>81</v>
      </c>
      <c r="C6" s="203"/>
      <c r="D6" s="203"/>
      <c r="E6" s="244"/>
      <c r="F6" s="204"/>
      <c r="G6" s="16"/>
      <c r="H6" s="16"/>
      <c r="I6" s="16"/>
      <c r="J6" s="16"/>
    </row>
    <row r="7" spans="1:10">
      <c r="A7" s="16"/>
      <c r="B7" s="19" t="s">
        <v>82</v>
      </c>
      <c r="C7" s="205"/>
      <c r="D7" s="205"/>
      <c r="E7" s="250"/>
      <c r="F7" s="206"/>
      <c r="G7" s="16"/>
      <c r="H7" s="16"/>
      <c r="I7" s="16"/>
      <c r="J7" s="16"/>
    </row>
    <row r="8" spans="1:10">
      <c r="A8" s="16"/>
      <c r="B8" s="20" t="s">
        <v>83</v>
      </c>
      <c r="C8" s="193"/>
      <c r="D8" s="193"/>
      <c r="E8" s="246"/>
      <c r="F8" s="194"/>
      <c r="G8" s="207"/>
      <c r="H8" s="54"/>
      <c r="I8" s="16"/>
      <c r="J8" s="16"/>
    </row>
    <row r="9" spans="1:10">
      <c r="A9" s="16"/>
      <c r="B9" s="20" t="s">
        <v>85</v>
      </c>
      <c r="C9" s="193"/>
      <c r="D9" s="193"/>
      <c r="E9" s="246"/>
      <c r="F9" s="194"/>
      <c r="G9" s="207"/>
      <c r="H9" s="54"/>
      <c r="I9" s="16"/>
      <c r="J9" s="16"/>
    </row>
    <row r="10" spans="1:10">
      <c r="A10" s="16"/>
      <c r="B10" s="20" t="s">
        <v>86</v>
      </c>
      <c r="C10" s="193"/>
      <c r="D10" s="193"/>
      <c r="E10" s="246"/>
      <c r="F10" s="194"/>
      <c r="G10" s="207"/>
      <c r="H10" s="54"/>
      <c r="I10" s="16"/>
      <c r="J10" s="16"/>
    </row>
    <row r="11" spans="1:10">
      <c r="A11" s="16"/>
      <c r="B11" s="20" t="s">
        <v>87</v>
      </c>
      <c r="C11" s="193"/>
      <c r="D11" s="193"/>
      <c r="E11" s="246"/>
      <c r="F11" s="194"/>
      <c r="G11" s="16"/>
      <c r="H11" s="16"/>
      <c r="I11" s="16" t="s">
        <v>89</v>
      </c>
      <c r="J11" s="16"/>
    </row>
    <row r="12" spans="1:10">
      <c r="A12" s="16"/>
      <c r="B12" s="20" t="s">
        <v>90</v>
      </c>
      <c r="C12" s="193"/>
      <c r="D12" s="193"/>
      <c r="E12" s="246"/>
      <c r="F12" s="194"/>
      <c r="I12" s="16">
        <f>C8*C9*C11*C12</f>
        <v>0</v>
      </c>
      <c r="J12" s="16"/>
    </row>
    <row r="13" spans="1:10">
      <c r="A13" s="16"/>
      <c r="B13" s="21" t="s">
        <v>92</v>
      </c>
      <c r="C13" s="70">
        <v>300</v>
      </c>
      <c r="D13" s="70">
        <v>300</v>
      </c>
      <c r="E13" s="72">
        <v>300</v>
      </c>
      <c r="F13" s="71">
        <v>789</v>
      </c>
      <c r="G13" s="16"/>
      <c r="H13" s="16"/>
      <c r="I13" s="16"/>
      <c r="J13" s="16"/>
    </row>
    <row r="14" spans="1:10">
      <c r="A14" s="16"/>
      <c r="B14" s="20" t="s">
        <v>93</v>
      </c>
      <c r="C14" s="76">
        <f>36*1000</f>
        <v>36000</v>
      </c>
      <c r="D14" s="76">
        <f>36*1000</f>
        <v>36000</v>
      </c>
      <c r="E14" s="76">
        <f>36*1000</f>
        <v>36000</v>
      </c>
      <c r="F14" s="76">
        <f>36*1000</f>
        <v>36000</v>
      </c>
      <c r="G14" s="16"/>
      <c r="H14" s="16"/>
      <c r="I14" s="16"/>
      <c r="J14" s="16"/>
    </row>
    <row r="15" spans="1:10">
      <c r="A15" s="16"/>
      <c r="B15" s="20" t="s">
        <v>94</v>
      </c>
      <c r="C15" s="197"/>
      <c r="D15" s="197"/>
      <c r="E15" s="249"/>
      <c r="F15" s="198"/>
      <c r="G15" s="16"/>
      <c r="H15" s="16"/>
      <c r="I15" s="16"/>
      <c r="J15" s="16"/>
    </row>
    <row r="16" spans="1:10">
      <c r="A16" s="16"/>
      <c r="B16" s="20" t="s">
        <v>95</v>
      </c>
      <c r="C16" s="216"/>
      <c r="D16" s="217"/>
      <c r="E16" s="217"/>
      <c r="F16" s="218"/>
      <c r="G16" s="16"/>
      <c r="H16" s="16"/>
      <c r="I16" s="16"/>
      <c r="J16" s="16"/>
    </row>
    <row r="17" spans="1:13">
      <c r="A17" s="16"/>
      <c r="B17" s="20" t="s">
        <v>96</v>
      </c>
      <c r="C17" s="216"/>
      <c r="D17" s="217"/>
      <c r="E17" s="217"/>
      <c r="F17" s="218"/>
      <c r="G17" s="16"/>
      <c r="H17" s="16"/>
      <c r="I17" s="16"/>
      <c r="J17" s="16"/>
    </row>
    <row r="18" spans="1:13">
      <c r="A18" s="16"/>
      <c r="B18" s="21" t="s">
        <v>97</v>
      </c>
      <c r="C18" s="70">
        <v>0.1</v>
      </c>
      <c r="D18" s="70">
        <v>0.5</v>
      </c>
      <c r="E18" s="72">
        <v>1</v>
      </c>
      <c r="F18" s="71">
        <v>2</v>
      </c>
      <c r="G18" s="16"/>
      <c r="H18" s="16"/>
      <c r="I18" s="16"/>
      <c r="J18" s="16"/>
    </row>
    <row r="19" spans="1:13" ht="19" thickBot="1">
      <c r="A19" s="16"/>
      <c r="B19" s="24" t="s">
        <v>98</v>
      </c>
      <c r="C19" s="73">
        <v>0.1</v>
      </c>
      <c r="D19" s="73">
        <v>0.5</v>
      </c>
      <c r="E19" s="72">
        <v>1</v>
      </c>
      <c r="F19" s="71">
        <v>2</v>
      </c>
      <c r="G19" s="16"/>
      <c r="H19" s="16"/>
      <c r="I19" s="16"/>
      <c r="J19" s="16"/>
    </row>
    <row r="20" spans="1:13">
      <c r="A20" s="16"/>
      <c r="B20" s="25" t="s">
        <v>99</v>
      </c>
      <c r="C20" s="74">
        <f t="shared" ref="C20:F21" si="0">C18/3600</f>
        <v>2.7777777777777779E-5</v>
      </c>
      <c r="D20" s="74">
        <f t="shared" si="0"/>
        <v>1.3888888888888889E-4</v>
      </c>
      <c r="E20" s="74">
        <f t="shared" si="0"/>
        <v>2.7777777777777778E-4</v>
      </c>
      <c r="F20" s="74">
        <f t="shared" si="0"/>
        <v>5.5555555555555556E-4</v>
      </c>
      <c r="G20" s="16">
        <f>(C14*TAN(RADIANS(C20)))</f>
        <v>1.7453292519944666E-2</v>
      </c>
      <c r="H20" s="16" t="s">
        <v>230</v>
      </c>
      <c r="I20" s="16"/>
      <c r="J20" s="16"/>
    </row>
    <row r="21" spans="1:13">
      <c r="A21" s="16"/>
      <c r="B21" s="26" t="s">
        <v>101</v>
      </c>
      <c r="C21" s="74">
        <f t="shared" si="0"/>
        <v>2.7777777777777779E-5</v>
      </c>
      <c r="D21" s="74">
        <f t="shared" si="0"/>
        <v>1.3888888888888889E-4</v>
      </c>
      <c r="E21" s="74">
        <f t="shared" si="0"/>
        <v>2.7777777777777778E-4</v>
      </c>
      <c r="F21" s="74">
        <f t="shared" si="0"/>
        <v>5.5555555555555556E-4</v>
      </c>
      <c r="G21" s="16"/>
      <c r="H21" s="16"/>
      <c r="I21" s="16"/>
      <c r="J21" s="16"/>
    </row>
    <row r="22" spans="1:13">
      <c r="A22" s="16"/>
      <c r="B22" s="13" t="s">
        <v>105</v>
      </c>
      <c r="C22" s="75">
        <v>500</v>
      </c>
      <c r="D22" s="75">
        <v>500</v>
      </c>
      <c r="E22" s="75">
        <v>0</v>
      </c>
      <c r="F22" s="75">
        <v>0</v>
      </c>
      <c r="G22" s="16"/>
      <c r="H22" s="16"/>
      <c r="I22" s="16"/>
      <c r="J22" s="16"/>
    </row>
    <row r="23" spans="1:13" ht="19" thickBot="1">
      <c r="A23" s="16"/>
      <c r="B23" s="13" t="s">
        <v>215</v>
      </c>
      <c r="C23" s="75">
        <v>30000</v>
      </c>
      <c r="D23" s="75">
        <v>30000</v>
      </c>
      <c r="E23" s="75">
        <v>30000</v>
      </c>
      <c r="F23" s="75">
        <v>30000</v>
      </c>
      <c r="G23" s="16"/>
      <c r="H23" s="16"/>
      <c r="I23" s="16"/>
      <c r="J23" s="16"/>
    </row>
    <row r="24" spans="1:13">
      <c r="A24" s="16"/>
      <c r="B24" s="13" t="s">
        <v>216</v>
      </c>
      <c r="C24" s="75">
        <v>1500</v>
      </c>
      <c r="D24" s="75">
        <v>1500</v>
      </c>
      <c r="E24" s="75">
        <v>1500</v>
      </c>
      <c r="F24" s="75">
        <v>1500</v>
      </c>
      <c r="G24" s="16"/>
      <c r="H24" s="253"/>
      <c r="I24" s="251" t="s">
        <v>228</v>
      </c>
      <c r="J24" s="251"/>
      <c r="K24" s="251"/>
      <c r="L24" s="252"/>
    </row>
    <row r="25" spans="1:13" ht="39" thickBot="1">
      <c r="A25" s="16"/>
      <c r="B25" s="13" t="s">
        <v>229</v>
      </c>
      <c r="C25" s="75">
        <v>10</v>
      </c>
      <c r="D25" s="75">
        <v>10</v>
      </c>
      <c r="E25" s="75">
        <v>10</v>
      </c>
      <c r="F25" s="75">
        <v>10</v>
      </c>
      <c r="G25" s="16"/>
      <c r="H25" s="254"/>
      <c r="I25" s="89" t="s">
        <v>222</v>
      </c>
      <c r="J25" s="89" t="s">
        <v>223</v>
      </c>
      <c r="K25" s="90" t="s">
        <v>224</v>
      </c>
      <c r="L25" s="91" t="s">
        <v>225</v>
      </c>
    </row>
    <row r="26" spans="1:13" ht="19" thickTop="1">
      <c r="A26" s="16"/>
      <c r="B26" s="13" t="s">
        <v>217</v>
      </c>
      <c r="C26" s="75">
        <v>1</v>
      </c>
      <c r="D26" s="75">
        <v>1</v>
      </c>
      <c r="E26" s="75">
        <v>1</v>
      </c>
      <c r="F26" s="75">
        <v>1</v>
      </c>
      <c r="G26" s="16"/>
      <c r="H26" s="85" t="s">
        <v>220</v>
      </c>
      <c r="I26" s="86">
        <v>0.10386069710749732</v>
      </c>
      <c r="J26" s="86">
        <v>0.2670177086938586</v>
      </c>
      <c r="K26" s="87">
        <v>6.5042989988992348</v>
      </c>
      <c r="L26" s="88">
        <v>11.253537185809924</v>
      </c>
    </row>
    <row r="27" spans="1:13">
      <c r="A27" s="16"/>
      <c r="B27" s="13" t="s">
        <v>218</v>
      </c>
      <c r="C27" s="30">
        <f>(C22+C23)*1000000/(4*PI())*C13*RADIANS(C20)*RADIANS(C21)+(C25+C26)*(C14*TAN(RADIANS(C20))*C14*TAN(RADIANS(C21)))/100</f>
        <v>0.1711772263634086</v>
      </c>
      <c r="D27" s="30">
        <f>(D22+D23)*1000000/(4*PI())*D13*RADIANS(D20)*RADIANS(D21)+(D25+D26)*(D14*TAN(RADIANS(D20))*D14*TAN(RADIANS(D21)))/100</f>
        <v>4.2794306590852171</v>
      </c>
      <c r="E27" s="30">
        <f>(E22+E23)*1000000/(4*PI())*E13*RADIANS(E20)*RADIANS(E21)+(E25+E26)*(E14*TAN(RADIANS(E20))*E14*TAN(RADIANS(E21)))/100</f>
        <v>16.837159163476596</v>
      </c>
      <c r="F27" s="30">
        <f>(F22+F23)*1000000/(4*PI())*F13*RADIANS(F20)*RADIANS(F21)+(F25+F26)*(F14*TAN(RADIANS(F20))*F14*TAN(RADIANS(F21)))/100</f>
        <v>177.10506723842698</v>
      </c>
      <c r="G27" s="16">
        <f>(C14*TAN(RADIANS(C20))*C14*TAN(RADIANS(C21)))/100</f>
        <v>3.0461741978675642E-6</v>
      </c>
      <c r="H27" s="79" t="s">
        <v>221</v>
      </c>
      <c r="I27" s="77">
        <v>6.8418481910172508E-3</v>
      </c>
      <c r="J27" s="77">
        <v>1.7540668622909792E-2</v>
      </c>
      <c r="K27" s="78">
        <v>0.42729417665817532</v>
      </c>
      <c r="L27" s="80">
        <v>0.73871963153756459</v>
      </c>
    </row>
    <row r="28" spans="1:13" ht="19" thickBot="1">
      <c r="A28" s="16"/>
      <c r="B28" s="13" t="s">
        <v>219</v>
      </c>
      <c r="C28" s="30">
        <f>(C22+C24)*1000000/(4*PI())*C13*RADIANS(C20)*RADIANS(C21)+(C25+C26)*(C14*TAN(RADIANS(C20))*C14*TAN(RADIANS(C21)))/100</f>
        <v>1.1256046830749138E-2</v>
      </c>
      <c r="D28" s="30">
        <f>(D22+D24)*1000000/(4*PI())*D13*RADIANS(D20)*RADIANS(D21)+(D25+D26)*(D14*TAN(RADIANS(D20))*D14*TAN(RADIANS(D21)))/100</f>
        <v>0.28140117076873156</v>
      </c>
      <c r="E28" s="30">
        <f>(E22+E24)*1000000/(4*PI())*E13*RADIANS(E20)*RADIANS(E21)+(E25+E26)*(E14*TAN(RADIANS(E20))*E14*TAN(RADIANS(E21)))/100</f>
        <v>0.84504121021065082</v>
      </c>
      <c r="F28" s="30">
        <f>(F22+F24)*1000000/(4*PI())*F13*RADIANS(F20)*RADIANS(F21)+(F25+F26)*(F14*TAN(RADIANS(F20))*F14*TAN(RADIANS(F21)))/100</f>
        <v>8.8679863700692305</v>
      </c>
      <c r="G28" s="16"/>
      <c r="H28" s="81" t="s">
        <v>226</v>
      </c>
      <c r="I28" s="82">
        <v>1.7355929848867201E-3</v>
      </c>
      <c r="J28" s="82">
        <v>4.4102980928598552E-3</v>
      </c>
      <c r="K28" s="83">
        <v>0.10745181759285638</v>
      </c>
      <c r="L28" s="84">
        <v>0.18530818131270371</v>
      </c>
    </row>
    <row r="29" spans="1:13">
      <c r="A29" s="16"/>
      <c r="B29" s="13" t="s">
        <v>227</v>
      </c>
      <c r="C29" s="30">
        <f>(C22)*1000000/(4*PI())*C13*RADIANS(C20)*RADIANS(C21)+(C25+C26)*(C14*TAN(RADIANS(C20))*C14*TAN(RADIANS(C21)))/100</f>
        <v>2.8391426448196922E-3</v>
      </c>
      <c r="D29" s="30">
        <f>(D22)*1000000/(4*PI())*D13*RADIANS(D20)*RADIANS(D21)+(D25+D26)*(D14*TAN(RADIANS(D20))*D14*TAN(RADIANS(D21)))/100</f>
        <v>7.097856612049544E-2</v>
      </c>
      <c r="E29" s="30">
        <f>(E22)*1000000/(4*PI())*E13*RADIANS(E20)*RADIANS(E21)+(E25+E26)*(E14*TAN(RADIANS(E20))*E14*TAN(RADIANS(E21)))/100</f>
        <v>3.3507916177063003E-3</v>
      </c>
      <c r="F29" s="30">
        <f>(F22)*1000000/(4*PI())*F13*RADIANS(F20)*RADIANS(F21)+(F25+F26)*(F14*TAN(RADIANS(F20))*F14*TAN(RADIANS(F21)))/100</f>
        <v>1.3403166471455265E-2</v>
      </c>
      <c r="G29" s="16"/>
      <c r="I29" s="16"/>
      <c r="J29" s="16"/>
      <c r="K29" s="54"/>
      <c r="L29" s="54"/>
    </row>
    <row r="30" spans="1:13">
      <c r="A30" s="16"/>
      <c r="B30" s="13" t="s">
        <v>108</v>
      </c>
      <c r="C30" s="191">
        <f>($C$22+$C$23)*1000000/(4*PI())*$C$13*RADIANS($C$20)*RADIANS($C$21)</f>
        <v>0.17114371844723206</v>
      </c>
      <c r="D30" s="191"/>
      <c r="E30" s="191"/>
      <c r="F30" s="191"/>
      <c r="G30" s="16"/>
      <c r="H30" s="16"/>
      <c r="I30" s="16"/>
      <c r="J30" s="16"/>
      <c r="K30" s="54"/>
      <c r="L30" s="54"/>
      <c r="M30" s="54"/>
    </row>
    <row r="31" spans="1:13">
      <c r="A31" s="16"/>
      <c r="B31" s="27" t="s">
        <v>71</v>
      </c>
      <c r="C31" s="28">
        <v>9.9999999999999994E-12</v>
      </c>
      <c r="D31" s="28">
        <v>9.9999999999999998E-13</v>
      </c>
      <c r="E31" s="28"/>
      <c r="F31" s="28">
        <v>4.9999999999999999E-17</v>
      </c>
      <c r="G31" s="16"/>
      <c r="H31" s="16"/>
      <c r="I31" s="16"/>
      <c r="J31" s="16"/>
      <c r="K31" s="16"/>
      <c r="L31" s="16"/>
      <c r="M31" s="54"/>
    </row>
    <row r="32" spans="1:13">
      <c r="A32" s="16"/>
      <c r="B32" s="13" t="s">
        <v>109</v>
      </c>
      <c r="C32" s="29">
        <f>$C$31*$C$4/($C$2*$C$3/1306*10000000000)</f>
        <v>0.65745583704964472</v>
      </c>
      <c r="D32" s="29">
        <f>$D$31*$C$4/($C$2*$C$3/1306*10000000000)</f>
        <v>6.5745583704964486E-2</v>
      </c>
      <c r="E32" s="29"/>
      <c r="F32" s="29">
        <f>$F$31*$C$4/($C$2*$C$3/1306*10000000000)</f>
        <v>3.2872791852482239E-6</v>
      </c>
      <c r="G32" s="16"/>
      <c r="H32" s="16"/>
      <c r="I32" s="16"/>
      <c r="J32" s="16"/>
      <c r="K32" s="17"/>
      <c r="L32" s="17"/>
      <c r="M32" s="16"/>
    </row>
    <row r="33" spans="1:13">
      <c r="A33" s="16"/>
      <c r="B33" s="13" t="s">
        <v>110</v>
      </c>
      <c r="C33" s="30">
        <f>$C$13*C32</f>
        <v>197.23675111489342</v>
      </c>
      <c r="D33" s="30">
        <f>$C$13*D32</f>
        <v>19.723675111489346</v>
      </c>
      <c r="E33" s="30"/>
      <c r="F33" s="29">
        <f>$C$13*F32</f>
        <v>9.8618375557446721E-4</v>
      </c>
      <c r="G33" s="16"/>
      <c r="H33" s="16"/>
      <c r="I33" s="16"/>
      <c r="J33" s="16"/>
      <c r="K33" s="17"/>
      <c r="L33" s="17"/>
      <c r="M33" s="31"/>
    </row>
    <row r="34" spans="1:13">
      <c r="A34" s="16"/>
      <c r="B34" s="13" t="s">
        <v>50</v>
      </c>
      <c r="C34" s="191">
        <f>(0.08/1000)^2</f>
        <v>6.4000000000000011E-9</v>
      </c>
      <c r="D34" s="191"/>
      <c r="E34" s="191"/>
      <c r="F34" s="191"/>
      <c r="G34" s="16"/>
      <c r="H34" s="54"/>
      <c r="I34" s="54"/>
      <c r="J34" s="54"/>
      <c r="K34" s="17"/>
      <c r="L34" s="17"/>
      <c r="M34" s="31"/>
    </row>
    <row r="35" spans="1:13">
      <c r="A35" s="16"/>
      <c r="B35" s="13" t="s">
        <v>112</v>
      </c>
      <c r="C35" s="29">
        <f>C33/$C$34</f>
        <v>30818242361.702091</v>
      </c>
      <c r="D35" s="29">
        <f>D33/$C$34</f>
        <v>3081824236.1702099</v>
      </c>
      <c r="E35" s="29"/>
      <c r="F35" s="29">
        <f>F33/$C$34</f>
        <v>154091.21180851047</v>
      </c>
      <c r="G35" s="54"/>
      <c r="H35" s="46"/>
      <c r="I35" s="46"/>
      <c r="J35" s="16"/>
      <c r="K35" s="17"/>
      <c r="L35" s="17"/>
      <c r="M35" s="31"/>
    </row>
    <row r="36" spans="1:13">
      <c r="A36" s="16" t="s">
        <v>113</v>
      </c>
      <c r="B36" s="46" t="s">
        <v>114</v>
      </c>
      <c r="C36" s="46"/>
      <c r="D36" s="46"/>
      <c r="E36" s="46"/>
      <c r="F36" s="46"/>
      <c r="G36" s="46"/>
      <c r="H36" s="69"/>
      <c r="I36" s="69"/>
      <c r="J36" s="16"/>
      <c r="K36" s="17"/>
      <c r="L36" s="17"/>
      <c r="M36" s="31"/>
    </row>
    <row r="37" spans="1:13">
      <c r="A37" s="16" t="s">
        <v>113</v>
      </c>
      <c r="B37" s="69"/>
      <c r="C37" s="69"/>
      <c r="D37" s="16" t="s">
        <v>302</v>
      </c>
      <c r="E37" s="69"/>
      <c r="F37" s="69"/>
      <c r="G37" s="69"/>
      <c r="H37" s="16"/>
      <c r="I37" s="16"/>
      <c r="J37" s="31"/>
      <c r="K37" s="17"/>
      <c r="L37" s="17"/>
      <c r="M37" s="31"/>
    </row>
    <row r="38" spans="1:13">
      <c r="A38" s="16"/>
      <c r="B38" s="16" t="s">
        <v>297</v>
      </c>
      <c r="C38" s="16" t="s">
        <v>210</v>
      </c>
      <c r="D38" t="s">
        <v>298</v>
      </c>
      <c r="E38" s="16" t="s">
        <v>299</v>
      </c>
      <c r="F38" s="16" t="s">
        <v>300</v>
      </c>
      <c r="G38" s="16" t="s">
        <v>301</v>
      </c>
      <c r="H38" s="17"/>
      <c r="I38" s="17"/>
      <c r="J38" s="31"/>
      <c r="K38" s="17"/>
      <c r="L38" s="17"/>
      <c r="M38" s="31"/>
    </row>
    <row r="39" spans="1:13">
      <c r="A39" s="16"/>
      <c r="B39" s="17">
        <v>1</v>
      </c>
      <c r="C39" s="17">
        <f>B39</f>
        <v>1</v>
      </c>
      <c r="D39" s="17">
        <f t="shared" ref="D39:G41" si="1">$C39*1000000/(4*PI())*$C$13*RADIANS(C$20)*RADIANS(C$21)*3600</f>
        <v>2.020057004623067E-2</v>
      </c>
      <c r="E39" s="17">
        <f t="shared" si="1"/>
        <v>0.50501425115576659</v>
      </c>
      <c r="F39" s="17">
        <f t="shared" si="1"/>
        <v>2.0200570046230664</v>
      </c>
      <c r="G39" s="17">
        <f t="shared" si="1"/>
        <v>8.0802280184922655</v>
      </c>
      <c r="H39" s="17"/>
      <c r="I39" s="17"/>
      <c r="J39" s="31"/>
      <c r="K39" s="17"/>
      <c r="L39" s="17"/>
      <c r="M39" s="31"/>
    </row>
    <row r="40" spans="1:13">
      <c r="A40" s="16"/>
      <c r="B40" s="17">
        <v>10</v>
      </c>
      <c r="C40" s="17">
        <f>B40</f>
        <v>10</v>
      </c>
      <c r="D40" s="17">
        <f t="shared" si="1"/>
        <v>0.20200570046230673</v>
      </c>
      <c r="E40" s="17">
        <f t="shared" si="1"/>
        <v>5.0501425115576666</v>
      </c>
      <c r="F40" s="17">
        <f t="shared" si="1"/>
        <v>20.200570046230666</v>
      </c>
      <c r="G40" s="17">
        <f t="shared" si="1"/>
        <v>80.802280184922665</v>
      </c>
      <c r="H40" s="17"/>
      <c r="I40" s="17"/>
      <c r="J40" s="31"/>
      <c r="K40" s="17"/>
      <c r="L40" s="17"/>
      <c r="M40" s="31"/>
    </row>
    <row r="41" spans="1:13">
      <c r="A41" s="16"/>
      <c r="B41" s="17">
        <v>100</v>
      </c>
      <c r="C41" s="17">
        <f>B41</f>
        <v>100</v>
      </c>
      <c r="D41" s="17">
        <f t="shared" si="1"/>
        <v>2.0200570046230668</v>
      </c>
      <c r="E41" s="17">
        <f t="shared" si="1"/>
        <v>50.501425115576659</v>
      </c>
      <c r="F41" s="17">
        <f t="shared" si="1"/>
        <v>202.00570046230663</v>
      </c>
      <c r="G41" s="17">
        <f t="shared" si="1"/>
        <v>808.02280184922654</v>
      </c>
      <c r="H41" s="17"/>
      <c r="I41" s="17"/>
      <c r="J41" s="31"/>
      <c r="K41" s="17"/>
      <c r="L41" s="17"/>
      <c r="M41" s="31"/>
    </row>
    <row r="42" spans="1:13">
      <c r="A42" s="16"/>
      <c r="B42" s="17"/>
      <c r="C42" s="17"/>
      <c r="D42" s="17"/>
      <c r="E42" s="17"/>
      <c r="F42" s="17"/>
      <c r="G42" s="17"/>
      <c r="H42" s="17"/>
      <c r="I42" s="17"/>
      <c r="J42" s="31"/>
      <c r="K42" s="17"/>
      <c r="L42" s="17"/>
      <c r="M42" s="31"/>
    </row>
    <row r="43" spans="1:13">
      <c r="A43" s="16"/>
      <c r="B43" s="17"/>
      <c r="C43" s="17"/>
      <c r="D43" s="17"/>
      <c r="E43" s="17"/>
      <c r="F43" s="17"/>
      <c r="G43" s="17"/>
      <c r="H43" s="17"/>
      <c r="I43" s="17"/>
      <c r="J43" s="31"/>
      <c r="K43" s="17"/>
      <c r="L43" s="17"/>
      <c r="M43" s="31"/>
    </row>
    <row r="44" spans="1:13">
      <c r="A44" s="16"/>
      <c r="B44" s="17"/>
      <c r="C44" s="17"/>
      <c r="D44" s="17"/>
      <c r="E44" s="17"/>
      <c r="F44" s="17"/>
      <c r="G44" s="17"/>
      <c r="H44" s="17"/>
      <c r="I44" s="17"/>
      <c r="J44" s="31"/>
      <c r="K44" s="17"/>
      <c r="L44" s="17"/>
      <c r="M44" s="31"/>
    </row>
    <row r="45" spans="1:13">
      <c r="A45" s="16"/>
      <c r="B45" s="17"/>
      <c r="C45" s="17"/>
      <c r="D45" s="17"/>
      <c r="E45" s="17"/>
      <c r="F45" s="17"/>
      <c r="G45" s="17"/>
      <c r="H45" s="17"/>
      <c r="I45" s="17"/>
      <c r="J45" s="31"/>
      <c r="K45" s="17"/>
      <c r="L45" s="17"/>
      <c r="M45" s="31"/>
    </row>
    <row r="46" spans="1:13">
      <c r="A46" s="16"/>
      <c r="B46" s="17"/>
      <c r="C46" s="17"/>
      <c r="D46" s="17"/>
      <c r="E46" s="17"/>
      <c r="F46" s="17"/>
      <c r="G46" s="17"/>
      <c r="H46" s="17"/>
      <c r="I46" s="17"/>
      <c r="J46" s="31"/>
      <c r="K46" s="17"/>
      <c r="L46" s="17"/>
      <c r="M46" s="31"/>
    </row>
    <row r="47" spans="1:13">
      <c r="A47" s="16"/>
      <c r="B47" s="17"/>
      <c r="C47" s="17"/>
      <c r="D47" s="17"/>
      <c r="E47" s="17"/>
      <c r="F47" s="17"/>
      <c r="G47" s="17"/>
      <c r="H47" s="17"/>
      <c r="I47" s="17"/>
      <c r="J47" s="31"/>
      <c r="K47" s="17"/>
      <c r="L47" s="17"/>
      <c r="M47" s="31"/>
    </row>
    <row r="48" spans="1:13">
      <c r="A48" s="16"/>
      <c r="B48" s="17"/>
      <c r="C48" s="17"/>
      <c r="D48" s="17"/>
      <c r="E48" s="17"/>
      <c r="F48" s="17"/>
      <c r="G48" s="17"/>
      <c r="H48" s="17"/>
      <c r="I48" s="17"/>
      <c r="J48" s="31"/>
      <c r="K48" s="17"/>
      <c r="L48" s="17"/>
      <c r="M48" s="31"/>
    </row>
    <row r="49" spans="1:13">
      <c r="A49" s="16"/>
      <c r="B49" s="17"/>
      <c r="C49" s="17"/>
      <c r="D49" s="17"/>
      <c r="E49" s="17"/>
      <c r="F49" s="17"/>
      <c r="G49" s="17"/>
      <c r="H49" s="17"/>
      <c r="I49" s="17"/>
      <c r="J49" s="31"/>
      <c r="K49" s="17"/>
      <c r="L49" s="17"/>
      <c r="M49" s="31"/>
    </row>
    <row r="50" spans="1:13">
      <c r="A50" s="16"/>
      <c r="B50" s="17"/>
      <c r="C50" s="17"/>
      <c r="D50" s="17"/>
      <c r="E50" s="17"/>
      <c r="F50" s="17"/>
      <c r="G50" s="17"/>
      <c r="H50" s="17"/>
      <c r="I50" s="17"/>
      <c r="J50" s="31"/>
      <c r="K50" s="17"/>
      <c r="L50" s="17"/>
      <c r="M50" s="31"/>
    </row>
    <row r="51" spans="1:13">
      <c r="A51" s="16"/>
      <c r="B51" s="17"/>
      <c r="C51" s="17"/>
      <c r="D51" s="17"/>
      <c r="E51" s="17"/>
      <c r="F51" s="17"/>
      <c r="G51" s="17"/>
      <c r="H51" s="17"/>
      <c r="I51" s="17"/>
      <c r="J51" s="31"/>
      <c r="K51" s="17"/>
      <c r="L51" s="17"/>
      <c r="M51" s="31"/>
    </row>
    <row r="52" spans="1:13">
      <c r="A52" s="16"/>
      <c r="B52" s="17"/>
      <c r="C52" s="17"/>
      <c r="D52" s="17"/>
      <c r="E52" s="17"/>
      <c r="F52" s="17"/>
      <c r="G52" s="17"/>
      <c r="H52" s="17"/>
      <c r="I52" s="17"/>
      <c r="J52" s="31"/>
      <c r="K52" s="17"/>
      <c r="L52" s="17"/>
      <c r="M52" s="31"/>
    </row>
    <row r="53" spans="1:13">
      <c r="A53" s="16"/>
      <c r="B53" s="17"/>
      <c r="C53" s="17"/>
      <c r="D53" s="17"/>
      <c r="E53" s="17"/>
      <c r="F53" s="17"/>
      <c r="G53" s="17"/>
      <c r="H53" s="17"/>
      <c r="I53" s="17"/>
      <c r="J53" s="31"/>
      <c r="K53" s="17"/>
      <c r="L53" s="17"/>
      <c r="M53" s="31"/>
    </row>
    <row r="54" spans="1:13">
      <c r="A54" s="16"/>
      <c r="B54" s="17"/>
      <c r="C54" s="17"/>
      <c r="D54" s="17"/>
      <c r="E54" s="17"/>
      <c r="F54" s="17"/>
      <c r="G54" s="17"/>
      <c r="H54" s="17"/>
      <c r="I54" s="17"/>
      <c r="J54" s="31"/>
      <c r="K54" s="17"/>
      <c r="L54" s="17"/>
      <c r="M54" s="31"/>
    </row>
    <row r="55" spans="1:13">
      <c r="A55" s="16"/>
      <c r="B55" s="17"/>
      <c r="C55" s="17"/>
      <c r="D55" s="17"/>
      <c r="E55" s="17"/>
      <c r="F55" s="17"/>
      <c r="G55" s="17"/>
      <c r="H55" s="17"/>
      <c r="I55" s="17"/>
      <c r="J55" s="31"/>
      <c r="K55" s="17"/>
      <c r="L55" s="17"/>
      <c r="M55" s="31"/>
    </row>
    <row r="56" spans="1:13">
      <c r="A56" s="16"/>
      <c r="B56" s="17"/>
      <c r="C56" s="17"/>
      <c r="D56" s="17"/>
      <c r="E56" s="17"/>
      <c r="F56" s="17"/>
      <c r="G56" s="17"/>
      <c r="H56" s="17"/>
      <c r="I56" s="17"/>
      <c r="J56" s="31"/>
      <c r="K56" s="17"/>
      <c r="L56" s="17"/>
      <c r="M56" s="31"/>
    </row>
    <row r="57" spans="1:13">
      <c r="A57" s="16"/>
      <c r="B57" s="17"/>
      <c r="C57" s="17"/>
      <c r="D57" s="17"/>
      <c r="E57" s="17"/>
      <c r="F57" s="17"/>
      <c r="G57" s="17"/>
      <c r="H57" s="17"/>
      <c r="I57" s="17"/>
      <c r="J57" s="31"/>
      <c r="K57" s="17"/>
      <c r="L57" s="17"/>
      <c r="M57" s="31"/>
    </row>
    <row r="58" spans="1:13">
      <c r="A58" s="16"/>
      <c r="B58" s="17"/>
      <c r="C58" s="17"/>
      <c r="D58" s="17"/>
      <c r="E58" s="17"/>
      <c r="F58" s="17"/>
      <c r="G58" s="17"/>
      <c r="H58" s="17"/>
      <c r="I58" s="17"/>
      <c r="J58" s="31"/>
      <c r="K58" s="17"/>
      <c r="L58" s="17"/>
      <c r="M58" s="31"/>
    </row>
    <row r="59" spans="1:13">
      <c r="A59" s="16"/>
      <c r="B59" s="17"/>
      <c r="C59" s="17"/>
      <c r="D59" s="17"/>
      <c r="E59" s="17"/>
      <c r="F59" s="17"/>
      <c r="G59" s="17"/>
      <c r="H59" s="17"/>
      <c r="I59" s="17"/>
      <c r="J59" s="31"/>
      <c r="K59" s="17"/>
      <c r="L59" s="17"/>
      <c r="M59" s="31"/>
    </row>
    <row r="60" spans="1:13">
      <c r="A60" s="16"/>
      <c r="B60" s="17"/>
      <c r="C60" s="17"/>
      <c r="D60" s="17"/>
      <c r="E60" s="17"/>
      <c r="F60" s="17"/>
      <c r="G60" s="17"/>
      <c r="H60" s="17"/>
      <c r="I60" s="17"/>
      <c r="J60" s="31"/>
      <c r="K60" s="17"/>
      <c r="L60" s="17"/>
      <c r="M60" s="31"/>
    </row>
    <row r="61" spans="1:13">
      <c r="A61" s="16"/>
      <c r="B61" s="17"/>
      <c r="C61" s="17"/>
      <c r="D61" s="17"/>
      <c r="E61" s="17"/>
      <c r="F61" s="17"/>
      <c r="G61" s="17"/>
      <c r="H61" s="17"/>
      <c r="I61" s="17"/>
      <c r="J61" s="31"/>
      <c r="K61" s="17"/>
      <c r="L61" s="17"/>
      <c r="M61" s="31"/>
    </row>
    <row r="62" spans="1:13">
      <c r="A62" s="16"/>
      <c r="B62" s="17"/>
      <c r="C62" s="17"/>
      <c r="D62" s="17"/>
      <c r="E62" s="17"/>
      <c r="F62" s="17"/>
      <c r="G62" s="17"/>
      <c r="H62" s="17"/>
      <c r="I62" s="17"/>
      <c r="J62" s="31"/>
      <c r="K62" s="17"/>
      <c r="L62" s="17"/>
      <c r="M62" s="31"/>
    </row>
    <row r="63" spans="1:13">
      <c r="A63" s="16"/>
      <c r="B63" s="17"/>
      <c r="C63" s="17"/>
      <c r="D63" s="17"/>
      <c r="E63" s="17"/>
      <c r="F63" s="17"/>
      <c r="G63" s="17"/>
      <c r="H63" s="17"/>
      <c r="I63" s="17"/>
      <c r="J63" s="31"/>
      <c r="K63" s="17"/>
      <c r="L63" s="17"/>
      <c r="M63" s="31"/>
    </row>
    <row r="64" spans="1:13">
      <c r="A64" s="16"/>
      <c r="B64" s="17"/>
      <c r="C64" s="17"/>
      <c r="D64" s="17"/>
      <c r="E64" s="17"/>
      <c r="F64" s="17"/>
      <c r="G64" s="17"/>
      <c r="H64" s="17"/>
      <c r="I64" s="17"/>
      <c r="J64" s="31"/>
      <c r="K64" s="17"/>
      <c r="L64" s="17"/>
      <c r="M64" s="31"/>
    </row>
    <row r="65" spans="1:13">
      <c r="A65" s="16"/>
      <c r="B65" s="17"/>
      <c r="C65" s="17"/>
      <c r="D65" s="17"/>
      <c r="E65" s="17"/>
      <c r="F65" s="17"/>
      <c r="G65" s="17"/>
      <c r="H65" s="17"/>
      <c r="I65" s="17"/>
      <c r="J65" s="31"/>
      <c r="K65" s="17"/>
      <c r="L65" s="17"/>
      <c r="M65" s="31"/>
    </row>
    <row r="66" spans="1:13">
      <c r="A66" s="16"/>
      <c r="B66" s="17"/>
      <c r="C66" s="17"/>
      <c r="D66" s="17"/>
      <c r="E66" s="17"/>
      <c r="F66" s="17"/>
      <c r="G66" s="17"/>
      <c r="H66" s="17"/>
      <c r="I66" s="17"/>
      <c r="J66" s="31"/>
      <c r="K66" s="17"/>
      <c r="L66" s="17"/>
      <c r="M66" s="31"/>
    </row>
    <row r="67" spans="1:13">
      <c r="A67" s="16"/>
      <c r="B67" s="17"/>
      <c r="C67" s="17"/>
      <c r="D67" s="17"/>
      <c r="E67" s="17"/>
      <c r="F67" s="17"/>
      <c r="G67" s="17"/>
      <c r="H67" s="17"/>
      <c r="I67" s="17"/>
      <c r="J67" s="31"/>
      <c r="K67" s="17"/>
      <c r="L67" s="17"/>
      <c r="M67" s="31"/>
    </row>
    <row r="68" spans="1:13">
      <c r="A68" s="16"/>
      <c r="B68" s="17"/>
      <c r="C68" s="17"/>
      <c r="D68" s="17"/>
      <c r="E68" s="17"/>
      <c r="F68" s="17"/>
      <c r="G68" s="17"/>
      <c r="H68" s="17"/>
      <c r="I68" s="17"/>
      <c r="J68" s="31"/>
      <c r="K68" s="17"/>
      <c r="L68" s="17"/>
      <c r="M68" s="31"/>
    </row>
    <row r="69" spans="1:13">
      <c r="A69" s="16"/>
      <c r="B69" s="17"/>
      <c r="C69" s="17"/>
      <c r="D69" s="17"/>
      <c r="E69" s="17"/>
      <c r="F69" s="17"/>
      <c r="G69" s="17"/>
      <c r="H69" s="17"/>
      <c r="I69" s="17"/>
      <c r="J69" s="31"/>
      <c r="K69" s="17"/>
      <c r="L69" s="17"/>
      <c r="M69" s="31"/>
    </row>
    <row r="70" spans="1:13">
      <c r="A70" s="16"/>
      <c r="B70" s="17"/>
      <c r="C70" s="17"/>
      <c r="D70" s="17"/>
      <c r="E70" s="17"/>
      <c r="F70" s="17"/>
      <c r="G70" s="17"/>
      <c r="H70" s="17"/>
      <c r="I70" s="17"/>
      <c r="J70" s="31"/>
      <c r="K70" s="17"/>
      <c r="L70" s="17"/>
      <c r="M70" s="31"/>
    </row>
    <row r="71" spans="1:13">
      <c r="A71" s="16"/>
      <c r="B71" s="17"/>
      <c r="C71" s="17"/>
      <c r="D71" s="17"/>
      <c r="E71" s="17"/>
      <c r="F71" s="17"/>
      <c r="G71" s="17"/>
      <c r="H71" s="17"/>
      <c r="I71" s="17"/>
      <c r="J71" s="31"/>
      <c r="K71" s="17"/>
      <c r="L71" s="17"/>
      <c r="M71" s="31"/>
    </row>
    <row r="72" spans="1:13">
      <c r="A72" s="16"/>
      <c r="B72" s="17"/>
      <c r="C72" s="17"/>
      <c r="D72" s="17"/>
      <c r="E72" s="17"/>
      <c r="F72" s="17"/>
      <c r="G72" s="17"/>
      <c r="H72" s="17"/>
      <c r="I72" s="17"/>
      <c r="J72" s="31"/>
      <c r="K72" s="17"/>
      <c r="L72" s="17"/>
      <c r="M72" s="31"/>
    </row>
    <row r="73" spans="1:13">
      <c r="A73" s="16"/>
      <c r="B73" s="17"/>
      <c r="C73" s="17"/>
      <c r="D73" s="17"/>
      <c r="E73" s="17"/>
      <c r="F73" s="17"/>
      <c r="G73" s="17"/>
      <c r="H73" s="17"/>
      <c r="I73" s="17"/>
      <c r="J73" s="31"/>
      <c r="K73" s="17"/>
      <c r="L73" s="17"/>
      <c r="M73" s="31"/>
    </row>
    <row r="74" spans="1:13">
      <c r="A74" s="16"/>
      <c r="B74" s="17"/>
      <c r="C74" s="17"/>
      <c r="D74" s="17"/>
      <c r="E74" s="17"/>
      <c r="F74" s="17"/>
      <c r="G74" s="17"/>
      <c r="H74" s="17"/>
      <c r="I74" s="17"/>
      <c r="J74" s="31"/>
      <c r="K74" s="17"/>
      <c r="L74" s="17"/>
      <c r="M74" s="31"/>
    </row>
    <row r="75" spans="1:13">
      <c r="A75" s="16"/>
      <c r="B75" s="17"/>
      <c r="C75" s="17"/>
      <c r="D75" s="17"/>
      <c r="E75" s="17"/>
      <c r="F75" s="17"/>
      <c r="G75" s="17"/>
      <c r="H75" s="17"/>
      <c r="I75" s="17"/>
      <c r="J75" s="31"/>
      <c r="K75" s="17"/>
      <c r="L75" s="17"/>
      <c r="M75" s="31"/>
    </row>
    <row r="76" spans="1:13">
      <c r="A76" s="16"/>
      <c r="B76" s="17"/>
      <c r="C76" s="17"/>
      <c r="D76" s="17"/>
      <c r="E76" s="17"/>
      <c r="F76" s="17"/>
      <c r="G76" s="17"/>
      <c r="H76" s="17"/>
      <c r="I76" s="17"/>
      <c r="J76" s="31"/>
      <c r="K76" s="17"/>
      <c r="L76" s="17"/>
      <c r="M76" s="31"/>
    </row>
    <row r="77" spans="1:13">
      <c r="A77" s="16"/>
      <c r="B77" s="17"/>
      <c r="C77" s="17"/>
      <c r="D77" s="17"/>
      <c r="E77" s="17"/>
      <c r="F77" s="17"/>
      <c r="G77" s="17"/>
      <c r="H77" s="17"/>
      <c r="I77" s="17"/>
      <c r="J77" s="31"/>
      <c r="K77" s="17"/>
      <c r="L77" s="17"/>
      <c r="M77" s="31"/>
    </row>
    <row r="78" spans="1:13">
      <c r="A78" s="16"/>
      <c r="B78" s="17"/>
      <c r="C78" s="17"/>
      <c r="D78" s="17"/>
      <c r="E78" s="17"/>
      <c r="F78" s="17"/>
      <c r="G78" s="17"/>
      <c r="H78" s="17"/>
      <c r="I78" s="17"/>
      <c r="J78" s="31"/>
      <c r="K78" s="17"/>
      <c r="L78" s="17"/>
      <c r="M78" s="31"/>
    </row>
    <row r="79" spans="1:13">
      <c r="A79" s="16"/>
      <c r="B79" s="17"/>
      <c r="C79" s="17"/>
      <c r="D79" s="17"/>
      <c r="E79" s="17"/>
      <c r="F79" s="17"/>
      <c r="G79" s="17"/>
      <c r="H79" s="17"/>
      <c r="I79" s="17"/>
      <c r="J79" s="31"/>
      <c r="K79" s="17"/>
      <c r="L79" s="17"/>
      <c r="M79" s="31"/>
    </row>
    <row r="80" spans="1:13">
      <c r="A80" s="16"/>
      <c r="B80" s="17"/>
      <c r="C80" s="17"/>
      <c r="D80" s="17"/>
      <c r="E80" s="17"/>
      <c r="F80" s="17"/>
      <c r="G80" s="17"/>
      <c r="H80" s="17"/>
      <c r="I80" s="17"/>
      <c r="J80" s="31"/>
      <c r="K80" s="17"/>
      <c r="L80" s="17"/>
      <c r="M80" s="31"/>
    </row>
    <row r="81" spans="1:13">
      <c r="A81" s="16"/>
      <c r="B81" s="17"/>
      <c r="C81" s="17"/>
      <c r="D81" s="17"/>
      <c r="E81" s="17"/>
      <c r="F81" s="17"/>
      <c r="G81" s="17"/>
      <c r="H81" s="17"/>
      <c r="I81" s="17"/>
      <c r="J81" s="31"/>
      <c r="K81" s="17"/>
      <c r="L81" s="17"/>
      <c r="M81" s="31"/>
    </row>
    <row r="82" spans="1:13">
      <c r="A82" s="16"/>
      <c r="B82" s="17"/>
      <c r="C82" s="17"/>
      <c r="D82" s="17"/>
      <c r="E82" s="17"/>
      <c r="F82" s="17"/>
      <c r="G82" s="17"/>
      <c r="H82" s="17"/>
      <c r="I82" s="17"/>
      <c r="J82" s="31"/>
      <c r="K82" s="17"/>
      <c r="L82" s="17"/>
      <c r="M82" s="31"/>
    </row>
    <row r="83" spans="1:13">
      <c r="A83" s="16"/>
      <c r="B83" s="17"/>
      <c r="C83" s="17"/>
      <c r="D83" s="17"/>
      <c r="E83" s="17"/>
      <c r="F83" s="17"/>
      <c r="G83" s="17"/>
      <c r="H83" s="17"/>
      <c r="I83" s="17"/>
      <c r="J83" s="31"/>
      <c r="K83" s="17"/>
      <c r="L83" s="17"/>
      <c r="M83" s="31"/>
    </row>
    <row r="84" spans="1:13">
      <c r="A84" s="16"/>
      <c r="B84" s="17"/>
      <c r="C84" s="17"/>
      <c r="D84" s="17"/>
      <c r="E84" s="17"/>
      <c r="F84" s="17"/>
      <c r="G84" s="17"/>
      <c r="H84" s="17"/>
      <c r="I84" s="17"/>
      <c r="J84" s="31"/>
      <c r="K84" s="17"/>
      <c r="L84" s="17"/>
      <c r="M84" s="31"/>
    </row>
    <row r="85" spans="1:13">
      <c r="A85" s="16"/>
      <c r="B85" s="17"/>
      <c r="C85" s="17"/>
      <c r="D85" s="17"/>
      <c r="E85" s="17"/>
      <c r="F85" s="17"/>
      <c r="G85" s="17"/>
      <c r="H85" s="17"/>
      <c r="I85" s="17"/>
      <c r="J85" s="31"/>
      <c r="K85" s="17"/>
      <c r="L85" s="17"/>
      <c r="M85" s="31"/>
    </row>
    <row r="86" spans="1:13">
      <c r="A86" s="16"/>
      <c r="B86" s="17"/>
      <c r="C86" s="17"/>
      <c r="D86" s="17"/>
      <c r="E86" s="17"/>
      <c r="F86" s="17"/>
      <c r="G86" s="17"/>
      <c r="H86" s="17"/>
      <c r="I86" s="17"/>
      <c r="J86" s="31"/>
      <c r="K86" s="17"/>
      <c r="L86" s="17"/>
      <c r="M86" s="31"/>
    </row>
    <row r="87" spans="1:13">
      <c r="A87" s="16"/>
      <c r="B87" s="17"/>
      <c r="C87" s="17"/>
      <c r="D87" s="17"/>
      <c r="E87" s="17"/>
      <c r="F87" s="17"/>
      <c r="G87" s="17"/>
      <c r="H87" s="17"/>
      <c r="I87" s="17"/>
      <c r="J87" s="31"/>
      <c r="K87" s="17"/>
      <c r="L87" s="17"/>
      <c r="M87" s="31"/>
    </row>
    <row r="88" spans="1:13">
      <c r="A88" s="16"/>
      <c r="B88" s="17"/>
      <c r="C88" s="17"/>
      <c r="D88" s="17"/>
      <c r="E88" s="17"/>
      <c r="F88" s="17"/>
      <c r="G88" s="17"/>
      <c r="H88" s="17"/>
      <c r="I88" s="17"/>
      <c r="J88" s="31"/>
      <c r="K88" s="17"/>
      <c r="L88" s="17"/>
      <c r="M88" s="31"/>
    </row>
    <row r="89" spans="1:13">
      <c r="A89" s="16"/>
      <c r="B89" s="17"/>
      <c r="C89" s="17"/>
      <c r="D89" s="17"/>
      <c r="E89" s="17"/>
      <c r="F89" s="17"/>
      <c r="G89" s="17"/>
      <c r="H89" s="17"/>
      <c r="I89" s="17"/>
      <c r="J89" s="31"/>
      <c r="K89" s="17"/>
      <c r="L89" s="17"/>
      <c r="M89" s="31"/>
    </row>
    <row r="90" spans="1:13">
      <c r="A90" s="16"/>
      <c r="B90" s="17"/>
      <c r="C90" s="17"/>
      <c r="D90" s="17"/>
      <c r="E90" s="17"/>
      <c r="F90" s="17"/>
      <c r="G90" s="17"/>
      <c r="H90" s="17"/>
      <c r="I90" s="17"/>
      <c r="J90" s="31"/>
      <c r="K90" s="17"/>
      <c r="L90" s="17"/>
      <c r="M90" s="31"/>
    </row>
    <row r="91" spans="1:13">
      <c r="A91" s="16"/>
      <c r="B91" s="17"/>
      <c r="C91" s="17"/>
      <c r="D91" s="17"/>
      <c r="E91" s="17"/>
      <c r="F91" s="17"/>
      <c r="G91" s="17"/>
      <c r="H91" s="17"/>
      <c r="I91" s="17"/>
      <c r="J91" s="31"/>
      <c r="K91" s="17"/>
      <c r="L91" s="17"/>
      <c r="M91" s="31"/>
    </row>
    <row r="92" spans="1:13">
      <c r="A92" s="16"/>
      <c r="B92" s="17"/>
      <c r="C92" s="17"/>
      <c r="D92" s="17"/>
      <c r="E92" s="17"/>
      <c r="F92" s="17"/>
      <c r="G92" s="17"/>
      <c r="H92" s="17"/>
      <c r="I92" s="17"/>
      <c r="J92" s="31"/>
      <c r="K92" s="17"/>
      <c r="L92" s="17"/>
      <c r="M92" s="31"/>
    </row>
    <row r="93" spans="1:13">
      <c r="A93" s="16"/>
      <c r="B93" s="17"/>
      <c r="C93" s="17"/>
      <c r="D93" s="17"/>
      <c r="E93" s="17"/>
      <c r="F93" s="17"/>
      <c r="G93" s="17"/>
      <c r="H93" s="17"/>
      <c r="I93" s="17"/>
      <c r="J93" s="31"/>
      <c r="K93" s="17"/>
      <c r="L93" s="17"/>
      <c r="M93" s="31"/>
    </row>
    <row r="94" spans="1:13">
      <c r="A94" s="16"/>
      <c r="B94" s="17"/>
      <c r="C94" s="17"/>
      <c r="D94" s="17"/>
      <c r="E94" s="17"/>
      <c r="F94" s="17"/>
      <c r="G94" s="17"/>
      <c r="H94" s="17"/>
      <c r="I94" s="17"/>
      <c r="J94" s="31"/>
      <c r="K94" s="17"/>
      <c r="L94" s="17"/>
      <c r="M94" s="31"/>
    </row>
    <row r="95" spans="1:13">
      <c r="A95" s="16"/>
      <c r="B95" s="17"/>
      <c r="C95" s="17"/>
      <c r="D95" s="17"/>
      <c r="E95" s="17"/>
      <c r="F95" s="17"/>
      <c r="G95" s="17"/>
      <c r="H95" s="17"/>
      <c r="I95" s="17"/>
      <c r="J95" s="31"/>
      <c r="K95" s="17"/>
      <c r="L95" s="17"/>
      <c r="M95" s="31"/>
    </row>
    <row r="96" spans="1:13">
      <c r="A96" s="16"/>
      <c r="B96" s="17"/>
      <c r="C96" s="17"/>
      <c r="D96" s="17"/>
      <c r="E96" s="17"/>
      <c r="F96" s="17"/>
      <c r="G96" s="17"/>
      <c r="H96" s="17"/>
      <c r="I96" s="17"/>
      <c r="J96" s="31"/>
      <c r="K96" s="17"/>
      <c r="L96" s="17"/>
      <c r="M96" s="31"/>
    </row>
    <row r="97" spans="1:13">
      <c r="A97" s="16"/>
      <c r="B97" s="17"/>
      <c r="C97" s="17"/>
      <c r="D97" s="17"/>
      <c r="E97" s="17"/>
      <c r="F97" s="17"/>
      <c r="G97" s="17"/>
      <c r="H97" s="17"/>
      <c r="I97" s="17"/>
      <c r="J97" s="31"/>
      <c r="K97" s="17"/>
      <c r="L97" s="17"/>
      <c r="M97" s="31"/>
    </row>
    <row r="98" spans="1:13">
      <c r="A98" s="16"/>
      <c r="B98" s="17"/>
      <c r="C98" s="17"/>
      <c r="D98" s="17"/>
      <c r="E98" s="17"/>
      <c r="F98" s="17"/>
      <c r="G98" s="17"/>
      <c r="H98" s="17"/>
      <c r="I98" s="17"/>
      <c r="J98" s="31"/>
      <c r="K98" s="17"/>
      <c r="L98" s="17"/>
      <c r="M98" s="31"/>
    </row>
    <row r="99" spans="1:13">
      <c r="A99" s="16"/>
      <c r="B99" s="17"/>
      <c r="C99" s="17"/>
      <c r="D99" s="17"/>
      <c r="E99" s="17"/>
      <c r="F99" s="17"/>
      <c r="G99" s="17"/>
      <c r="H99" s="17"/>
      <c r="I99" s="17"/>
      <c r="J99" s="31"/>
      <c r="K99" s="17"/>
      <c r="L99" s="17"/>
      <c r="M99" s="31"/>
    </row>
    <row r="100" spans="1:13">
      <c r="A100" s="16"/>
      <c r="B100" s="17"/>
      <c r="C100" s="17"/>
      <c r="D100" s="17"/>
      <c r="E100" s="17"/>
      <c r="F100" s="17"/>
      <c r="G100" s="17"/>
      <c r="H100" s="17"/>
      <c r="I100" s="17"/>
      <c r="J100" s="31"/>
      <c r="K100" s="17"/>
      <c r="L100" s="17"/>
      <c r="M100" s="31"/>
    </row>
    <row r="101" spans="1:13">
      <c r="A101" s="16"/>
      <c r="B101" s="17"/>
      <c r="C101" s="17"/>
      <c r="D101" s="17"/>
      <c r="E101" s="17"/>
      <c r="F101" s="17"/>
      <c r="G101" s="17"/>
      <c r="H101" s="17"/>
      <c r="I101" s="17"/>
      <c r="J101" s="31"/>
      <c r="K101" s="17"/>
      <c r="L101" s="17"/>
      <c r="M101" s="31"/>
    </row>
    <row r="102" spans="1:13">
      <c r="A102" s="16"/>
      <c r="B102" s="17"/>
      <c r="C102" s="17"/>
      <c r="D102" s="17"/>
      <c r="E102" s="17"/>
      <c r="F102" s="17"/>
      <c r="G102" s="17"/>
      <c r="H102" s="17"/>
      <c r="I102" s="17"/>
      <c r="J102" s="31"/>
      <c r="K102" s="17"/>
      <c r="L102" s="17"/>
      <c r="M102" s="31"/>
    </row>
    <row r="103" spans="1:13">
      <c r="A103" s="16"/>
      <c r="B103" s="17"/>
      <c r="C103" s="17"/>
      <c r="D103" s="17"/>
      <c r="E103" s="17"/>
      <c r="F103" s="17"/>
      <c r="G103" s="17"/>
      <c r="H103" s="17"/>
      <c r="I103" s="17"/>
      <c r="J103" s="31"/>
      <c r="K103" s="17"/>
      <c r="L103" s="17"/>
      <c r="M103" s="31"/>
    </row>
    <row r="104" spans="1:13">
      <c r="A104" s="16"/>
      <c r="B104" s="17"/>
      <c r="C104" s="17"/>
      <c r="D104" s="17"/>
      <c r="E104" s="17"/>
      <c r="F104" s="17"/>
      <c r="G104" s="17"/>
      <c r="H104" s="17"/>
      <c r="I104" s="17"/>
      <c r="J104" s="31"/>
      <c r="K104" s="17"/>
      <c r="L104" s="17"/>
      <c r="M104" s="31"/>
    </row>
    <row r="105" spans="1:13">
      <c r="A105" s="16"/>
      <c r="B105" s="17"/>
      <c r="C105" s="17"/>
      <c r="D105" s="17"/>
      <c r="E105" s="17"/>
      <c r="F105" s="17"/>
      <c r="G105" s="17"/>
      <c r="H105" s="17"/>
      <c r="I105" s="17"/>
      <c r="J105" s="31"/>
      <c r="K105" s="17"/>
      <c r="L105" s="17"/>
      <c r="M105" s="31"/>
    </row>
    <row r="106" spans="1:13">
      <c r="A106" s="16"/>
      <c r="B106" s="17"/>
      <c r="C106" s="17"/>
      <c r="D106" s="17"/>
      <c r="E106" s="17"/>
      <c r="F106" s="17"/>
      <c r="G106" s="17"/>
      <c r="H106" s="17"/>
      <c r="I106" s="17"/>
      <c r="J106" s="31"/>
      <c r="K106" s="17"/>
      <c r="L106" s="17"/>
      <c r="M106" s="31"/>
    </row>
    <row r="107" spans="1:13">
      <c r="A107" s="16"/>
      <c r="B107" s="17"/>
      <c r="C107" s="17"/>
      <c r="D107" s="17"/>
      <c r="E107" s="17"/>
      <c r="F107" s="17"/>
      <c r="G107" s="17"/>
      <c r="H107" s="17"/>
      <c r="I107" s="17"/>
      <c r="J107" s="31"/>
      <c r="K107" s="17"/>
      <c r="L107" s="17"/>
      <c r="M107" s="31"/>
    </row>
    <row r="108" spans="1:13">
      <c r="A108" s="16"/>
      <c r="B108" s="17"/>
      <c r="C108" s="17"/>
      <c r="D108" s="17"/>
      <c r="E108" s="17"/>
      <c r="F108" s="17"/>
      <c r="G108" s="17"/>
      <c r="H108" s="17"/>
      <c r="I108" s="17"/>
      <c r="J108" s="31"/>
      <c r="K108" s="17"/>
      <c r="L108" s="17"/>
      <c r="M108" s="31"/>
    </row>
    <row r="109" spans="1:13">
      <c r="A109" s="16"/>
      <c r="B109" s="17"/>
      <c r="C109" s="17"/>
      <c r="D109" s="17"/>
      <c r="E109" s="17"/>
      <c r="F109" s="17"/>
      <c r="G109" s="17"/>
      <c r="H109" s="17"/>
      <c r="I109" s="17"/>
      <c r="J109" s="31"/>
      <c r="K109" s="17"/>
      <c r="L109" s="17"/>
      <c r="M109" s="31"/>
    </row>
    <row r="110" spans="1:13">
      <c r="A110" s="16"/>
      <c r="B110" s="17"/>
      <c r="C110" s="17"/>
      <c r="D110" s="17"/>
      <c r="E110" s="17"/>
      <c r="F110" s="17"/>
      <c r="G110" s="17"/>
      <c r="H110" s="17"/>
      <c r="I110" s="17"/>
      <c r="J110" s="31"/>
      <c r="K110" s="17"/>
      <c r="L110" s="17"/>
      <c r="M110" s="31"/>
    </row>
    <row r="111" spans="1:13">
      <c r="A111" s="16"/>
      <c r="B111" s="17"/>
      <c r="C111" s="17"/>
      <c r="D111" s="17"/>
      <c r="E111" s="17"/>
      <c r="F111" s="17"/>
      <c r="G111" s="17"/>
      <c r="H111" s="17"/>
      <c r="I111" s="17"/>
      <c r="J111" s="31"/>
      <c r="K111" s="17"/>
      <c r="L111" s="17"/>
      <c r="M111" s="31"/>
    </row>
    <row r="112" spans="1:13">
      <c r="A112" s="16"/>
      <c r="B112" s="17"/>
      <c r="C112" s="17"/>
      <c r="D112" s="17"/>
      <c r="E112" s="17"/>
      <c r="F112" s="17"/>
      <c r="G112" s="17"/>
      <c r="H112" s="17"/>
      <c r="I112" s="17"/>
      <c r="J112" s="31"/>
      <c r="K112" s="17"/>
      <c r="L112" s="17"/>
      <c r="M112" s="31"/>
    </row>
    <row r="113" spans="1:13">
      <c r="A113" s="16"/>
      <c r="B113" s="17"/>
      <c r="C113" s="17"/>
      <c r="D113" s="17"/>
      <c r="E113" s="17"/>
      <c r="F113" s="17"/>
      <c r="G113" s="17"/>
      <c r="H113" s="17"/>
      <c r="I113" s="17"/>
      <c r="J113" s="31"/>
      <c r="K113" s="17"/>
      <c r="L113" s="17"/>
      <c r="M113" s="31"/>
    </row>
    <row r="114" spans="1:13">
      <c r="A114" s="16"/>
      <c r="B114" s="17"/>
      <c r="C114" s="17"/>
      <c r="D114" s="17"/>
      <c r="E114" s="17"/>
      <c r="F114" s="17"/>
      <c r="G114" s="17"/>
      <c r="H114" s="17"/>
      <c r="I114" s="17"/>
      <c r="J114" s="31"/>
      <c r="K114" s="17"/>
      <c r="L114" s="17"/>
      <c r="M114" s="31"/>
    </row>
    <row r="115" spans="1:13">
      <c r="A115" s="16"/>
      <c r="B115" s="17"/>
      <c r="C115" s="17"/>
      <c r="D115" s="17"/>
      <c r="E115" s="17"/>
      <c r="F115" s="17"/>
      <c r="G115" s="17"/>
      <c r="H115" s="17"/>
      <c r="I115" s="17"/>
      <c r="J115" s="31"/>
      <c r="K115" s="17"/>
      <c r="L115" s="17"/>
      <c r="M115" s="31"/>
    </row>
    <row r="116" spans="1:13">
      <c r="A116" s="16"/>
      <c r="B116" s="17"/>
      <c r="C116" s="17"/>
      <c r="D116" s="17"/>
      <c r="E116" s="17"/>
      <c r="F116" s="17"/>
      <c r="G116" s="17"/>
      <c r="H116" s="17"/>
      <c r="I116" s="17"/>
      <c r="J116" s="31"/>
      <c r="K116" s="17"/>
      <c r="L116" s="17"/>
      <c r="M116" s="31"/>
    </row>
    <row r="117" spans="1:13">
      <c r="A117" s="16"/>
      <c r="B117" s="17"/>
      <c r="C117" s="17"/>
      <c r="D117" s="17"/>
      <c r="E117" s="17"/>
      <c r="F117" s="17"/>
      <c r="G117" s="17"/>
      <c r="H117" s="17"/>
      <c r="I117" s="17"/>
      <c r="J117" s="31"/>
      <c r="K117" s="17"/>
      <c r="L117" s="17"/>
      <c r="M117" s="31"/>
    </row>
    <row r="118" spans="1:13">
      <c r="A118" s="16"/>
      <c r="B118" s="17"/>
      <c r="C118" s="17"/>
      <c r="D118" s="17"/>
      <c r="E118" s="17"/>
      <c r="F118" s="17"/>
      <c r="G118" s="17"/>
      <c r="H118" s="17"/>
      <c r="I118" s="17"/>
      <c r="J118" s="31"/>
      <c r="K118" s="17"/>
      <c r="L118" s="17"/>
      <c r="M118" s="31"/>
    </row>
    <row r="119" spans="1:13">
      <c r="A119" s="16"/>
      <c r="B119" s="17"/>
      <c r="C119" s="17"/>
      <c r="D119" s="17"/>
      <c r="E119" s="17"/>
      <c r="F119" s="17"/>
      <c r="G119" s="17"/>
      <c r="H119" s="17"/>
      <c r="I119" s="17"/>
      <c r="J119" s="31"/>
      <c r="K119" s="17"/>
      <c r="L119" s="17"/>
      <c r="M119" s="31"/>
    </row>
    <row r="120" spans="1:13">
      <c r="A120" s="16"/>
      <c r="B120" s="17"/>
      <c r="C120" s="17"/>
      <c r="D120" s="17"/>
      <c r="E120" s="17"/>
      <c r="F120" s="17"/>
      <c r="G120" s="17"/>
      <c r="H120" s="17"/>
      <c r="I120" s="17"/>
      <c r="J120" s="31"/>
      <c r="K120" s="17"/>
      <c r="L120" s="17"/>
      <c r="M120" s="31"/>
    </row>
    <row r="121" spans="1:13">
      <c r="A121" s="16"/>
      <c r="B121" s="17"/>
      <c r="C121" s="17"/>
      <c r="D121" s="17"/>
      <c r="E121" s="17"/>
      <c r="F121" s="17"/>
      <c r="G121" s="17"/>
      <c r="H121" s="17"/>
      <c r="I121" s="17"/>
      <c r="J121" s="31"/>
      <c r="K121" s="17"/>
      <c r="L121" s="17"/>
      <c r="M121" s="31"/>
    </row>
    <row r="122" spans="1:13">
      <c r="A122" s="16"/>
      <c r="B122" s="17"/>
      <c r="C122" s="17"/>
      <c r="D122" s="17"/>
      <c r="E122" s="17"/>
      <c r="F122" s="17"/>
      <c r="G122" s="17"/>
      <c r="H122" s="17"/>
      <c r="I122" s="17"/>
      <c r="J122" s="31"/>
      <c r="K122" s="17"/>
      <c r="L122" s="17"/>
      <c r="M122" s="31"/>
    </row>
    <row r="123" spans="1:13">
      <c r="A123" s="16"/>
      <c r="B123" s="17"/>
      <c r="C123" s="17"/>
      <c r="D123" s="17"/>
      <c r="E123" s="17"/>
      <c r="F123" s="17"/>
      <c r="G123" s="17"/>
      <c r="H123" s="17"/>
      <c r="I123" s="17"/>
      <c r="J123" s="31"/>
      <c r="K123" s="17"/>
      <c r="L123" s="17"/>
      <c r="M123" s="31"/>
    </row>
    <row r="124" spans="1:13">
      <c r="A124" s="16"/>
      <c r="B124" s="17"/>
      <c r="C124" s="17"/>
      <c r="D124" s="17"/>
      <c r="E124" s="17"/>
      <c r="F124" s="17"/>
      <c r="G124" s="17"/>
      <c r="H124" s="17"/>
      <c r="I124" s="17"/>
      <c r="J124" s="31"/>
      <c r="K124" s="17"/>
      <c r="L124" s="17"/>
      <c r="M124" s="31"/>
    </row>
    <row r="125" spans="1:13">
      <c r="A125" s="16"/>
      <c r="B125" s="17"/>
      <c r="C125" s="17"/>
      <c r="D125" s="17"/>
      <c r="E125" s="17"/>
      <c r="F125" s="17"/>
      <c r="G125" s="17"/>
      <c r="H125" s="17"/>
      <c r="I125" s="17"/>
      <c r="J125" s="31"/>
      <c r="K125" s="17"/>
      <c r="L125" s="17"/>
      <c r="M125" s="31"/>
    </row>
    <row r="126" spans="1:13">
      <c r="A126" s="16"/>
      <c r="B126" s="17"/>
      <c r="C126" s="17"/>
      <c r="D126" s="17"/>
      <c r="E126" s="17"/>
      <c r="F126" s="17"/>
      <c r="G126" s="17"/>
      <c r="H126" s="17"/>
      <c r="I126" s="17"/>
      <c r="J126" s="31"/>
      <c r="K126" s="17"/>
      <c r="L126" s="17"/>
      <c r="M126" s="31"/>
    </row>
    <row r="127" spans="1:13">
      <c r="A127" s="16"/>
      <c r="B127" s="17"/>
      <c r="C127" s="17"/>
      <c r="D127" s="17"/>
      <c r="E127" s="17"/>
      <c r="F127" s="17"/>
      <c r="G127" s="17"/>
      <c r="H127" s="17"/>
      <c r="I127" s="17"/>
      <c r="J127" s="31"/>
      <c r="K127" s="17"/>
      <c r="L127" s="17"/>
      <c r="M127" s="31"/>
    </row>
    <row r="128" spans="1:13">
      <c r="A128" s="16"/>
      <c r="B128" s="17"/>
      <c r="C128" s="17"/>
      <c r="D128" s="17"/>
      <c r="E128" s="17"/>
      <c r="F128" s="17"/>
      <c r="G128" s="17"/>
      <c r="H128" s="17"/>
      <c r="I128" s="17"/>
      <c r="J128" s="31"/>
      <c r="K128" s="17"/>
      <c r="L128" s="17"/>
      <c r="M128" s="31"/>
    </row>
    <row r="129" spans="1:13">
      <c r="A129" s="16"/>
      <c r="B129" s="17"/>
      <c r="C129" s="17"/>
      <c r="D129" s="17"/>
      <c r="E129" s="17"/>
      <c r="F129" s="17"/>
      <c r="G129" s="17"/>
      <c r="H129" s="17"/>
      <c r="I129" s="17"/>
      <c r="J129" s="31"/>
      <c r="K129" s="17"/>
      <c r="L129" s="17"/>
      <c r="M129" s="31"/>
    </row>
    <row r="130" spans="1:13">
      <c r="A130" s="16"/>
      <c r="B130" s="17"/>
      <c r="C130" s="17"/>
      <c r="D130" s="17"/>
      <c r="E130" s="17"/>
      <c r="F130" s="17"/>
      <c r="G130" s="17"/>
      <c r="H130" s="17"/>
      <c r="I130" s="17"/>
      <c r="J130" s="31"/>
      <c r="K130" s="17"/>
      <c r="L130" s="17"/>
      <c r="M130" s="31"/>
    </row>
    <row r="131" spans="1:13">
      <c r="A131" s="16"/>
      <c r="B131" s="17"/>
      <c r="C131" s="17"/>
      <c r="D131" s="17"/>
      <c r="E131" s="17"/>
      <c r="F131" s="17"/>
      <c r="G131" s="17"/>
      <c r="H131" s="17"/>
      <c r="I131" s="17"/>
      <c r="J131" s="31"/>
      <c r="K131" s="17"/>
      <c r="L131" s="17"/>
      <c r="M131" s="31"/>
    </row>
    <row r="132" spans="1:13">
      <c r="A132" s="16"/>
      <c r="B132" s="17"/>
      <c r="C132" s="17"/>
      <c r="D132" s="17"/>
      <c r="E132" s="17"/>
      <c r="F132" s="17"/>
      <c r="G132" s="17"/>
      <c r="H132" s="17"/>
      <c r="I132" s="17"/>
      <c r="J132" s="31"/>
      <c r="K132" s="17"/>
      <c r="L132" s="17"/>
      <c r="M132" s="31"/>
    </row>
    <row r="133" spans="1:13">
      <c r="A133" s="16"/>
      <c r="B133" s="17"/>
      <c r="C133" s="17"/>
      <c r="D133" s="17"/>
      <c r="E133" s="17"/>
      <c r="F133" s="17"/>
      <c r="G133" s="17"/>
      <c r="H133" s="17"/>
      <c r="I133" s="17"/>
      <c r="J133" s="31"/>
      <c r="K133" s="17"/>
      <c r="L133" s="17"/>
      <c r="M133" s="31"/>
    </row>
    <row r="134" spans="1:13">
      <c r="A134" s="16"/>
      <c r="B134" s="17"/>
      <c r="C134" s="17"/>
      <c r="D134" s="17"/>
      <c r="E134" s="17"/>
      <c r="F134" s="17"/>
      <c r="G134" s="17"/>
      <c r="H134" s="17"/>
      <c r="I134" s="17"/>
      <c r="J134" s="31"/>
      <c r="K134" s="17"/>
      <c r="L134" s="17"/>
      <c r="M134" s="31"/>
    </row>
    <row r="135" spans="1:13">
      <c r="A135" s="16"/>
      <c r="B135" s="17"/>
      <c r="C135" s="17"/>
      <c r="D135" s="17"/>
      <c r="E135" s="17"/>
      <c r="F135" s="17"/>
      <c r="G135" s="17"/>
      <c r="H135" s="17"/>
      <c r="I135" s="17"/>
      <c r="J135" s="31"/>
      <c r="K135" s="17"/>
      <c r="L135" s="17"/>
      <c r="M135" s="31"/>
    </row>
    <row r="136" spans="1:13">
      <c r="A136" s="16"/>
      <c r="B136" s="17"/>
      <c r="C136" s="17"/>
      <c r="D136" s="17"/>
      <c r="E136" s="17"/>
      <c r="F136" s="17"/>
      <c r="G136" s="17"/>
      <c r="H136" s="17"/>
      <c r="I136" s="17"/>
      <c r="J136" s="31"/>
      <c r="K136" s="17"/>
      <c r="L136" s="17"/>
      <c r="M136" s="31"/>
    </row>
    <row r="137" spans="1:13">
      <c r="A137" s="16"/>
      <c r="B137" s="17"/>
      <c r="C137" s="17"/>
      <c r="D137" s="17"/>
      <c r="E137" s="17"/>
      <c r="F137" s="17"/>
      <c r="G137" s="17"/>
      <c r="H137" s="17"/>
      <c r="I137" s="17"/>
      <c r="J137" s="31"/>
      <c r="K137" s="17"/>
      <c r="L137" s="17"/>
      <c r="M137" s="31"/>
    </row>
    <row r="138" spans="1:13">
      <c r="A138" s="16"/>
      <c r="B138" s="17"/>
      <c r="C138" s="17"/>
      <c r="D138" s="17"/>
      <c r="E138" s="17"/>
      <c r="F138" s="17"/>
      <c r="G138" s="17"/>
      <c r="H138" s="17"/>
      <c r="I138" s="17"/>
      <c r="J138" s="31"/>
      <c r="K138" s="17"/>
      <c r="L138" s="17"/>
      <c r="M138" s="31"/>
    </row>
    <row r="139" spans="1:13">
      <c r="A139" s="16"/>
      <c r="B139" s="17"/>
      <c r="C139" s="17"/>
      <c r="D139" s="17"/>
      <c r="E139" s="17"/>
      <c r="F139" s="17"/>
      <c r="G139" s="17"/>
      <c r="H139" s="17"/>
      <c r="I139" s="17"/>
      <c r="J139" s="31"/>
      <c r="K139" s="17"/>
      <c r="L139" s="17"/>
      <c r="M139" s="31"/>
    </row>
    <row r="140" spans="1:13">
      <c r="A140" s="16"/>
      <c r="B140" s="17"/>
      <c r="C140" s="17"/>
      <c r="D140" s="17"/>
      <c r="E140" s="17"/>
      <c r="F140" s="17"/>
      <c r="G140" s="17"/>
      <c r="H140" s="17"/>
      <c r="I140" s="17"/>
      <c r="J140" s="31"/>
      <c r="K140" s="17"/>
      <c r="L140" s="17"/>
      <c r="M140" s="31"/>
    </row>
    <row r="141" spans="1:13">
      <c r="A141" s="16"/>
      <c r="B141" s="17"/>
      <c r="C141" s="17"/>
      <c r="D141" s="17"/>
      <c r="E141" s="17"/>
      <c r="F141" s="17"/>
      <c r="G141" s="17"/>
      <c r="H141" s="17"/>
      <c r="I141" s="17"/>
      <c r="J141" s="31"/>
      <c r="K141" s="17"/>
      <c r="L141" s="17"/>
      <c r="M141" s="31"/>
    </row>
    <row r="142" spans="1:13">
      <c r="A142" s="16"/>
      <c r="B142" s="17"/>
      <c r="C142" s="17"/>
      <c r="D142" s="17"/>
      <c r="E142" s="17"/>
      <c r="F142" s="17"/>
      <c r="G142" s="17"/>
      <c r="H142" s="17"/>
      <c r="I142" s="17"/>
      <c r="J142" s="31"/>
      <c r="K142" s="17"/>
      <c r="L142" s="17"/>
      <c r="M142" s="31"/>
    </row>
    <row r="143" spans="1:13">
      <c r="A143" s="16"/>
      <c r="B143" s="17"/>
      <c r="C143" s="17"/>
      <c r="D143" s="17"/>
      <c r="E143" s="17"/>
      <c r="F143" s="17"/>
      <c r="G143" s="17"/>
      <c r="H143" s="17"/>
      <c r="I143" s="17"/>
      <c r="J143" s="31"/>
      <c r="K143" s="17"/>
      <c r="L143" s="17"/>
      <c r="M143" s="31"/>
    </row>
    <row r="144" spans="1:13">
      <c r="A144" s="16"/>
      <c r="B144" s="17"/>
      <c r="C144" s="17"/>
      <c r="D144" s="17"/>
      <c r="E144" s="17"/>
      <c r="F144" s="17"/>
      <c r="G144" s="17"/>
      <c r="H144" s="17"/>
      <c r="I144" s="17"/>
      <c r="J144" s="31"/>
      <c r="K144" s="17"/>
      <c r="L144" s="17"/>
      <c r="M144" s="31"/>
    </row>
    <row r="145" spans="1:13">
      <c r="A145" s="16"/>
      <c r="B145" s="17"/>
      <c r="C145" s="17"/>
      <c r="D145" s="17"/>
      <c r="E145" s="17"/>
      <c r="F145" s="17"/>
      <c r="G145" s="17"/>
      <c r="H145" s="17"/>
      <c r="I145" s="17"/>
      <c r="J145" s="31"/>
      <c r="K145" s="17"/>
      <c r="L145" s="17"/>
      <c r="M145" s="31"/>
    </row>
    <row r="146" spans="1:13">
      <c r="A146" s="16"/>
      <c r="B146" s="17"/>
      <c r="C146" s="17"/>
      <c r="D146" s="17"/>
      <c r="E146" s="17"/>
      <c r="F146" s="17"/>
      <c r="G146" s="17"/>
      <c r="H146" s="17"/>
      <c r="I146" s="17"/>
      <c r="J146" s="31"/>
      <c r="K146" s="17"/>
      <c r="L146" s="17"/>
      <c r="M146" s="31"/>
    </row>
    <row r="147" spans="1:13">
      <c r="A147" s="16"/>
      <c r="B147" s="17"/>
      <c r="C147" s="17"/>
      <c r="D147" s="17"/>
      <c r="E147" s="17"/>
      <c r="F147" s="17"/>
      <c r="G147" s="17"/>
      <c r="H147" s="17"/>
      <c r="I147" s="17"/>
      <c r="J147" s="31"/>
      <c r="K147" s="17"/>
      <c r="L147" s="17"/>
      <c r="M147" s="31"/>
    </row>
    <row r="148" spans="1:13">
      <c r="A148" s="16"/>
      <c r="B148" s="17"/>
      <c r="C148" s="17"/>
      <c r="D148" s="17"/>
      <c r="E148" s="17"/>
      <c r="F148" s="17"/>
      <c r="G148" s="17"/>
      <c r="H148" s="17"/>
      <c r="I148" s="17"/>
      <c r="J148" s="31"/>
      <c r="K148" s="17"/>
      <c r="L148" s="17"/>
      <c r="M148" s="31"/>
    </row>
    <row r="149" spans="1:13">
      <c r="A149" s="16"/>
      <c r="B149" s="17"/>
      <c r="C149" s="17"/>
      <c r="D149" s="17"/>
      <c r="E149" s="17"/>
      <c r="F149" s="17"/>
      <c r="G149" s="17"/>
      <c r="H149" s="17"/>
      <c r="I149" s="17"/>
      <c r="J149" s="31"/>
      <c r="K149" s="17"/>
      <c r="L149" s="17"/>
      <c r="M149" s="31"/>
    </row>
    <row r="150" spans="1:13">
      <c r="A150" s="16"/>
      <c r="B150" s="17"/>
      <c r="C150" s="17"/>
      <c r="D150" s="17"/>
      <c r="E150" s="17"/>
      <c r="F150" s="17"/>
      <c r="G150" s="17"/>
      <c r="H150" s="17"/>
      <c r="I150" s="17"/>
      <c r="J150" s="31"/>
      <c r="K150" s="17"/>
      <c r="L150" s="17"/>
      <c r="M150" s="31"/>
    </row>
    <row r="151" spans="1:13">
      <c r="A151" s="16"/>
      <c r="B151" s="17"/>
      <c r="C151" s="17"/>
      <c r="D151" s="17"/>
      <c r="E151" s="17"/>
      <c r="F151" s="17"/>
      <c r="G151" s="17"/>
      <c r="H151" s="17"/>
      <c r="I151" s="17"/>
      <c r="J151" s="31"/>
      <c r="K151" s="17"/>
      <c r="L151" s="17"/>
      <c r="M151" s="31"/>
    </row>
    <row r="152" spans="1:13">
      <c r="A152" s="16"/>
      <c r="B152" s="17"/>
      <c r="C152" s="17"/>
      <c r="D152" s="17"/>
      <c r="E152" s="17"/>
      <c r="F152" s="17"/>
      <c r="G152" s="17"/>
      <c r="H152" s="17"/>
      <c r="I152" s="17"/>
      <c r="J152" s="31"/>
      <c r="K152" s="17"/>
      <c r="L152" s="17"/>
      <c r="M152" s="31"/>
    </row>
    <row r="153" spans="1:13">
      <c r="A153" s="16"/>
      <c r="B153" s="17"/>
      <c r="C153" s="17"/>
      <c r="D153" s="17"/>
      <c r="E153" s="17"/>
      <c r="F153" s="17"/>
      <c r="G153" s="17"/>
      <c r="H153" s="17"/>
      <c r="I153" s="17"/>
      <c r="J153" s="31"/>
      <c r="K153" s="17"/>
      <c r="L153" s="17"/>
      <c r="M153" s="31"/>
    </row>
    <row r="154" spans="1:13">
      <c r="A154" s="16"/>
      <c r="B154" s="17"/>
      <c r="C154" s="17"/>
      <c r="D154" s="17"/>
      <c r="E154" s="17"/>
      <c r="F154" s="17"/>
      <c r="G154" s="17"/>
      <c r="H154" s="17"/>
      <c r="I154" s="17"/>
      <c r="J154" s="31"/>
      <c r="K154" s="17"/>
      <c r="L154" s="17"/>
      <c r="M154" s="31"/>
    </row>
    <row r="155" spans="1:13">
      <c r="A155" s="16"/>
      <c r="B155" s="17"/>
      <c r="C155" s="17"/>
      <c r="D155" s="17"/>
      <c r="E155" s="17"/>
      <c r="F155" s="17"/>
      <c r="G155" s="17"/>
      <c r="H155" s="17"/>
      <c r="I155" s="17"/>
      <c r="J155" s="31"/>
      <c r="K155" s="17"/>
      <c r="L155" s="17"/>
      <c r="M155" s="31"/>
    </row>
    <row r="156" spans="1:13">
      <c r="A156" s="16"/>
      <c r="B156" s="17"/>
      <c r="C156" s="17"/>
      <c r="D156" s="17"/>
      <c r="E156" s="17"/>
      <c r="F156" s="17"/>
      <c r="G156" s="17"/>
      <c r="H156" s="17"/>
      <c r="I156" s="17"/>
      <c r="J156" s="31"/>
      <c r="K156" s="17"/>
      <c r="L156" s="17"/>
      <c r="M156" s="31"/>
    </row>
    <row r="157" spans="1:13">
      <c r="A157" s="16"/>
      <c r="B157" s="17"/>
      <c r="C157" s="17"/>
      <c r="D157" s="17"/>
      <c r="E157" s="17"/>
      <c r="F157" s="17"/>
      <c r="G157" s="17"/>
      <c r="H157" s="17"/>
      <c r="I157" s="17"/>
      <c r="J157" s="31"/>
      <c r="K157" s="17"/>
      <c r="L157" s="17"/>
      <c r="M157" s="31"/>
    </row>
    <row r="158" spans="1:13">
      <c r="A158" s="16"/>
      <c r="B158" s="17"/>
      <c r="C158" s="17"/>
      <c r="D158" s="17"/>
      <c r="E158" s="17"/>
      <c r="F158" s="17"/>
      <c r="G158" s="17"/>
      <c r="H158" s="17"/>
      <c r="I158" s="17"/>
      <c r="J158" s="31"/>
      <c r="K158" s="17"/>
      <c r="L158" s="17"/>
      <c r="M158" s="31"/>
    </row>
    <row r="159" spans="1:13">
      <c r="A159" s="16"/>
      <c r="B159" s="17"/>
      <c r="C159" s="17"/>
      <c r="D159" s="17"/>
      <c r="E159" s="17"/>
      <c r="F159" s="17"/>
      <c r="G159" s="17"/>
      <c r="H159" s="17"/>
      <c r="I159" s="17"/>
      <c r="J159" s="31"/>
      <c r="K159" s="17"/>
      <c r="L159" s="17"/>
      <c r="M159" s="31"/>
    </row>
    <row r="160" spans="1:13">
      <c r="A160" s="16"/>
      <c r="B160" s="17"/>
      <c r="C160" s="17"/>
      <c r="D160" s="17"/>
      <c r="E160" s="17"/>
      <c r="F160" s="17"/>
      <c r="G160" s="17"/>
      <c r="H160" s="17"/>
      <c r="I160" s="17"/>
      <c r="J160" s="31"/>
      <c r="K160" s="17"/>
      <c r="L160" s="17"/>
      <c r="M160" s="31"/>
    </row>
    <row r="161" spans="1:13">
      <c r="A161" s="16"/>
      <c r="B161" s="17"/>
      <c r="C161" s="17"/>
      <c r="D161" s="17"/>
      <c r="E161" s="17"/>
      <c r="F161" s="17"/>
      <c r="G161" s="17"/>
      <c r="H161" s="17"/>
      <c r="I161" s="17"/>
      <c r="J161" s="31"/>
      <c r="K161" s="17"/>
      <c r="L161" s="17"/>
      <c r="M161" s="31"/>
    </row>
    <row r="162" spans="1:13">
      <c r="A162" s="16"/>
      <c r="B162" s="17"/>
      <c r="C162" s="17"/>
      <c r="D162" s="17"/>
      <c r="E162" s="17"/>
      <c r="F162" s="17"/>
      <c r="G162" s="17"/>
      <c r="H162" s="17"/>
      <c r="I162" s="17"/>
      <c r="J162" s="31"/>
      <c r="K162" s="17"/>
      <c r="L162" s="17"/>
      <c r="M162" s="31"/>
    </row>
    <row r="163" spans="1:13">
      <c r="A163" s="16"/>
      <c r="B163" s="17"/>
      <c r="C163" s="17"/>
      <c r="D163" s="17"/>
      <c r="E163" s="17"/>
      <c r="F163" s="17"/>
      <c r="G163" s="17"/>
      <c r="H163" s="17"/>
      <c r="I163" s="17"/>
      <c r="J163" s="31"/>
      <c r="K163" s="17"/>
      <c r="L163" s="17"/>
      <c r="M163" s="31"/>
    </row>
    <row r="164" spans="1:13">
      <c r="A164" s="16"/>
      <c r="B164" s="17"/>
      <c r="C164" s="17"/>
      <c r="D164" s="17"/>
      <c r="E164" s="17"/>
      <c r="F164" s="17"/>
      <c r="G164" s="17"/>
      <c r="H164" s="17"/>
      <c r="I164" s="17"/>
      <c r="J164" s="31"/>
      <c r="K164" s="17"/>
      <c r="L164" s="17"/>
      <c r="M164" s="31"/>
    </row>
    <row r="165" spans="1:13">
      <c r="A165" s="16"/>
      <c r="B165" s="17"/>
      <c r="C165" s="17"/>
      <c r="D165" s="17"/>
      <c r="E165" s="17"/>
      <c r="F165" s="17"/>
      <c r="G165" s="17"/>
      <c r="H165" s="17"/>
      <c r="I165" s="17"/>
      <c r="J165" s="31"/>
      <c r="K165" s="17"/>
      <c r="L165" s="17"/>
      <c r="M165" s="31"/>
    </row>
    <row r="166" spans="1:13">
      <c r="A166" s="16"/>
      <c r="B166" s="17"/>
      <c r="C166" s="17"/>
      <c r="D166" s="17"/>
      <c r="E166" s="17"/>
      <c r="F166" s="17"/>
      <c r="G166" s="17"/>
      <c r="H166" s="17"/>
      <c r="I166" s="17"/>
      <c r="J166" s="31"/>
      <c r="K166" s="17"/>
      <c r="L166" s="17"/>
      <c r="M166" s="31"/>
    </row>
    <row r="167" spans="1:13">
      <c r="A167" s="16"/>
      <c r="B167" s="17"/>
      <c r="C167" s="17"/>
      <c r="D167" s="17"/>
      <c r="E167" s="17"/>
      <c r="F167" s="17"/>
      <c r="G167" s="17"/>
      <c r="H167" s="17"/>
      <c r="I167" s="17"/>
      <c r="J167" s="31"/>
      <c r="K167" s="17"/>
      <c r="L167" s="17"/>
      <c r="M167" s="31"/>
    </row>
    <row r="168" spans="1:13">
      <c r="A168" s="16"/>
      <c r="B168" s="17"/>
      <c r="C168" s="17"/>
      <c r="D168" s="17"/>
      <c r="E168" s="17"/>
      <c r="F168" s="17"/>
      <c r="G168" s="17"/>
      <c r="H168" s="17"/>
      <c r="I168" s="17"/>
      <c r="J168" s="31"/>
      <c r="K168" s="17"/>
      <c r="L168" s="17"/>
      <c r="M168" s="31"/>
    </row>
    <row r="169" spans="1:13">
      <c r="A169" s="16"/>
      <c r="B169" s="17"/>
      <c r="C169" s="17"/>
      <c r="D169" s="17"/>
      <c r="E169" s="17"/>
      <c r="F169" s="17"/>
      <c r="G169" s="17"/>
      <c r="H169" s="17"/>
      <c r="I169" s="17"/>
      <c r="J169" s="31"/>
      <c r="K169" s="17"/>
      <c r="L169" s="17"/>
      <c r="M169" s="31"/>
    </row>
    <row r="170" spans="1:13">
      <c r="A170" s="16"/>
      <c r="B170" s="17"/>
      <c r="C170" s="17"/>
      <c r="D170" s="17"/>
      <c r="E170" s="17"/>
      <c r="F170" s="17"/>
      <c r="G170" s="17"/>
      <c r="H170" s="17"/>
      <c r="I170" s="17"/>
      <c r="J170" s="31"/>
      <c r="K170" s="17"/>
      <c r="L170" s="17"/>
      <c r="M170" s="31"/>
    </row>
    <row r="171" spans="1:13">
      <c r="A171" s="16"/>
      <c r="B171" s="17"/>
      <c r="C171" s="17"/>
      <c r="D171" s="17"/>
      <c r="E171" s="17"/>
      <c r="F171" s="17"/>
      <c r="G171" s="17"/>
      <c r="H171" s="17"/>
      <c r="I171" s="17"/>
      <c r="J171" s="31"/>
      <c r="K171" s="17"/>
      <c r="L171" s="17"/>
      <c r="M171" s="31"/>
    </row>
    <row r="172" spans="1:13">
      <c r="A172" s="16"/>
      <c r="B172" s="17"/>
      <c r="C172" s="17"/>
      <c r="D172" s="17"/>
      <c r="E172" s="17"/>
      <c r="F172" s="17"/>
      <c r="G172" s="17"/>
      <c r="H172" s="17"/>
      <c r="I172" s="17"/>
      <c r="J172" s="31"/>
      <c r="K172" s="17"/>
      <c r="L172" s="17"/>
      <c r="M172" s="31"/>
    </row>
    <row r="173" spans="1:13">
      <c r="A173" s="16"/>
      <c r="B173" s="17"/>
      <c r="C173" s="17"/>
      <c r="D173" s="17"/>
      <c r="E173" s="17"/>
      <c r="F173" s="17"/>
      <c r="G173" s="17"/>
      <c r="H173" s="17"/>
      <c r="I173" s="17"/>
      <c r="J173" s="31"/>
      <c r="K173" s="17"/>
      <c r="L173" s="17"/>
      <c r="M173" s="31"/>
    </row>
    <row r="174" spans="1:13">
      <c r="A174" s="16"/>
      <c r="B174" s="17"/>
      <c r="C174" s="17"/>
      <c r="D174" s="17"/>
      <c r="E174" s="17"/>
      <c r="F174" s="17"/>
      <c r="G174" s="17"/>
      <c r="H174" s="17"/>
      <c r="I174" s="17"/>
      <c r="J174" s="31"/>
      <c r="K174" s="17"/>
      <c r="L174" s="17"/>
      <c r="M174" s="31"/>
    </row>
    <row r="175" spans="1:13">
      <c r="A175" s="16"/>
      <c r="B175" s="17"/>
      <c r="C175" s="17"/>
      <c r="D175" s="17"/>
      <c r="E175" s="17"/>
      <c r="F175" s="17"/>
      <c r="G175" s="17"/>
      <c r="H175" s="17"/>
      <c r="I175" s="17"/>
      <c r="J175" s="31"/>
      <c r="K175" s="17"/>
      <c r="L175" s="17"/>
      <c r="M175" s="31"/>
    </row>
    <row r="176" spans="1:13">
      <c r="A176" s="16"/>
      <c r="B176" s="17"/>
      <c r="C176" s="17"/>
      <c r="D176" s="17"/>
      <c r="E176" s="17"/>
      <c r="F176" s="17"/>
      <c r="G176" s="17"/>
      <c r="H176" s="17"/>
      <c r="I176" s="17"/>
      <c r="J176" s="31"/>
      <c r="K176" s="17"/>
      <c r="L176" s="17"/>
      <c r="M176" s="31"/>
    </row>
    <row r="177" spans="1:13">
      <c r="A177" s="16"/>
      <c r="B177" s="17"/>
      <c r="C177" s="17"/>
      <c r="D177" s="17"/>
      <c r="E177" s="17"/>
      <c r="F177" s="17"/>
      <c r="G177" s="17"/>
      <c r="H177" s="17"/>
      <c r="I177" s="17"/>
      <c r="J177" s="31"/>
      <c r="K177" s="17"/>
      <c r="L177" s="17"/>
      <c r="M177" s="31"/>
    </row>
    <row r="178" spans="1:13">
      <c r="A178" s="16"/>
      <c r="B178" s="17"/>
      <c r="C178" s="17"/>
      <c r="D178" s="17"/>
      <c r="E178" s="17"/>
      <c r="F178" s="17"/>
      <c r="G178" s="17"/>
      <c r="H178" s="17"/>
      <c r="I178" s="17"/>
      <c r="J178" s="31"/>
      <c r="K178" s="17"/>
      <c r="L178" s="17"/>
      <c r="M178" s="31"/>
    </row>
    <row r="179" spans="1:13">
      <c r="A179" s="16"/>
      <c r="B179" s="17"/>
      <c r="C179" s="17"/>
      <c r="D179" s="17"/>
      <c r="E179" s="17"/>
      <c r="F179" s="17"/>
      <c r="G179" s="17"/>
      <c r="H179" s="17"/>
      <c r="I179" s="17"/>
      <c r="J179" s="31"/>
      <c r="K179" s="17"/>
      <c r="L179" s="17"/>
      <c r="M179" s="31"/>
    </row>
    <row r="180" spans="1:13">
      <c r="A180" s="16"/>
      <c r="B180" s="17"/>
      <c r="C180" s="17"/>
      <c r="D180" s="17"/>
      <c r="E180" s="17"/>
      <c r="F180" s="17"/>
      <c r="G180" s="17"/>
      <c r="H180" s="17"/>
      <c r="I180" s="17"/>
      <c r="J180" s="31"/>
      <c r="K180" s="17"/>
      <c r="L180" s="17"/>
      <c r="M180" s="31"/>
    </row>
    <row r="181" spans="1:13">
      <c r="A181" s="16"/>
      <c r="B181" s="17"/>
      <c r="C181" s="17"/>
      <c r="D181" s="17"/>
      <c r="E181" s="17"/>
      <c r="F181" s="17"/>
      <c r="G181" s="17"/>
      <c r="H181" s="17"/>
      <c r="I181" s="17"/>
      <c r="J181" s="31"/>
      <c r="K181" s="17"/>
      <c r="L181" s="17"/>
      <c r="M181" s="31"/>
    </row>
    <row r="182" spans="1:13">
      <c r="A182" s="16"/>
      <c r="B182" s="17"/>
      <c r="C182" s="17"/>
      <c r="D182" s="17"/>
      <c r="E182" s="17"/>
      <c r="F182" s="17"/>
      <c r="G182" s="17"/>
      <c r="H182" s="17"/>
      <c r="I182" s="17"/>
      <c r="J182" s="31"/>
      <c r="K182" s="17"/>
      <c r="L182" s="17"/>
      <c r="M182" s="31"/>
    </row>
    <row r="183" spans="1:13">
      <c r="A183" s="16"/>
      <c r="B183" s="17"/>
      <c r="C183" s="17"/>
      <c r="D183" s="17"/>
      <c r="E183" s="17"/>
      <c r="F183" s="17"/>
      <c r="G183" s="17"/>
      <c r="H183" s="17"/>
      <c r="I183" s="17"/>
      <c r="J183" s="31"/>
      <c r="K183" s="17"/>
      <c r="L183" s="17"/>
      <c r="M183" s="31"/>
    </row>
    <row r="184" spans="1:13">
      <c r="A184" s="16"/>
      <c r="B184" s="17"/>
      <c r="C184" s="17"/>
      <c r="D184" s="17"/>
      <c r="E184" s="17"/>
      <c r="F184" s="17"/>
      <c r="G184" s="17"/>
      <c r="H184" s="17"/>
      <c r="I184" s="17"/>
      <c r="J184" s="31"/>
      <c r="K184" s="17"/>
      <c r="L184" s="17"/>
      <c r="M184" s="31"/>
    </row>
    <row r="185" spans="1:13">
      <c r="A185" s="16"/>
      <c r="B185" s="17"/>
      <c r="C185" s="17"/>
      <c r="D185" s="17"/>
      <c r="E185" s="17"/>
      <c r="F185" s="17"/>
      <c r="G185" s="17"/>
      <c r="H185" s="17"/>
      <c r="I185" s="17"/>
      <c r="J185" s="31"/>
      <c r="K185" s="17"/>
      <c r="L185" s="17"/>
      <c r="M185" s="31"/>
    </row>
    <row r="186" spans="1:13">
      <c r="A186" s="16"/>
      <c r="B186" s="17"/>
      <c r="C186" s="17"/>
      <c r="D186" s="17"/>
      <c r="E186" s="17"/>
      <c r="F186" s="17"/>
      <c r="G186" s="17"/>
      <c r="H186" s="17"/>
      <c r="I186" s="17"/>
      <c r="J186" s="31"/>
      <c r="K186" s="17"/>
      <c r="L186" s="17"/>
      <c r="M186" s="31"/>
    </row>
    <row r="187" spans="1:13">
      <c r="A187" s="16"/>
      <c r="B187" s="17"/>
      <c r="C187" s="17"/>
      <c r="D187" s="17"/>
      <c r="E187" s="17"/>
      <c r="F187" s="17"/>
      <c r="G187" s="17"/>
      <c r="H187" s="17"/>
      <c r="I187" s="17"/>
      <c r="J187" s="31"/>
      <c r="K187" s="17"/>
      <c r="L187" s="17"/>
      <c r="M187" s="31"/>
    </row>
    <row r="188" spans="1:13">
      <c r="A188" s="16"/>
      <c r="B188" s="17"/>
      <c r="C188" s="17"/>
      <c r="D188" s="17"/>
      <c r="E188" s="17"/>
      <c r="F188" s="17"/>
      <c r="G188" s="17"/>
      <c r="H188" s="17"/>
      <c r="I188" s="17"/>
      <c r="J188" s="31"/>
      <c r="K188" s="17"/>
      <c r="L188" s="17"/>
      <c r="M188" s="31"/>
    </row>
    <row r="189" spans="1:13">
      <c r="A189" s="16"/>
      <c r="B189" s="17"/>
      <c r="C189" s="17"/>
      <c r="D189" s="17"/>
      <c r="E189" s="17"/>
      <c r="F189" s="17"/>
      <c r="G189" s="17"/>
      <c r="H189" s="17"/>
      <c r="I189" s="17"/>
      <c r="J189" s="31"/>
      <c r="K189" s="17"/>
      <c r="L189" s="17"/>
      <c r="M189" s="31"/>
    </row>
    <row r="190" spans="1:13">
      <c r="A190" s="16"/>
      <c r="B190" s="17"/>
      <c r="C190" s="17"/>
      <c r="D190" s="17"/>
      <c r="E190" s="17"/>
      <c r="F190" s="17"/>
      <c r="G190" s="17"/>
      <c r="H190" s="17"/>
      <c r="I190" s="17"/>
      <c r="J190" s="31"/>
      <c r="K190" s="17"/>
      <c r="L190" s="17"/>
      <c r="M190" s="31"/>
    </row>
    <row r="191" spans="1:13">
      <c r="A191" s="16"/>
      <c r="B191" s="17"/>
      <c r="C191" s="17"/>
      <c r="D191" s="17"/>
      <c r="E191" s="17"/>
      <c r="F191" s="17"/>
      <c r="G191" s="17"/>
      <c r="H191" s="17"/>
      <c r="I191" s="17"/>
      <c r="J191" s="31"/>
      <c r="K191" s="17"/>
      <c r="L191" s="17"/>
      <c r="M191" s="31"/>
    </row>
    <row r="192" spans="1:13">
      <c r="A192" s="16"/>
      <c r="B192" s="17"/>
      <c r="C192" s="17"/>
      <c r="D192" s="17"/>
      <c r="E192" s="17"/>
      <c r="F192" s="17"/>
      <c r="G192" s="17"/>
      <c r="H192" s="17"/>
      <c r="I192" s="17"/>
      <c r="J192" s="31"/>
      <c r="K192" s="17"/>
      <c r="L192" s="17"/>
      <c r="M192" s="31"/>
    </row>
    <row r="193" spans="1:13">
      <c r="A193" s="16"/>
      <c r="B193" s="17"/>
      <c r="C193" s="17"/>
      <c r="D193" s="17"/>
      <c r="E193" s="17"/>
      <c r="F193" s="17"/>
      <c r="G193" s="17"/>
      <c r="H193" s="17"/>
      <c r="I193" s="17"/>
      <c r="J193" s="31"/>
      <c r="K193" s="17"/>
      <c r="L193" s="17"/>
      <c r="M193" s="31"/>
    </row>
    <row r="194" spans="1:13">
      <c r="A194" s="16"/>
      <c r="B194" s="17"/>
      <c r="C194" s="17"/>
      <c r="D194" s="17"/>
      <c r="E194" s="17"/>
      <c r="F194" s="17"/>
      <c r="G194" s="17"/>
      <c r="H194" s="17"/>
      <c r="I194" s="17"/>
      <c r="J194" s="31"/>
      <c r="K194" s="17"/>
      <c r="L194" s="17"/>
      <c r="M194" s="31"/>
    </row>
    <row r="195" spans="1:13">
      <c r="A195" s="16"/>
      <c r="B195" s="17"/>
      <c r="C195" s="17"/>
      <c r="D195" s="17"/>
      <c r="E195" s="17"/>
      <c r="F195" s="17"/>
      <c r="G195" s="17"/>
      <c r="H195" s="17"/>
      <c r="I195" s="17"/>
      <c r="J195" s="31"/>
      <c r="K195" s="17"/>
      <c r="L195" s="17"/>
      <c r="M195" s="31"/>
    </row>
    <row r="196" spans="1:13">
      <c r="A196" s="16"/>
      <c r="B196" s="17"/>
      <c r="C196" s="17"/>
      <c r="D196" s="17"/>
      <c r="E196" s="17"/>
      <c r="F196" s="17"/>
      <c r="G196" s="17"/>
      <c r="H196" s="17"/>
      <c r="I196" s="17"/>
      <c r="J196" s="31"/>
      <c r="K196" s="17"/>
      <c r="L196" s="17"/>
      <c r="M196" s="31"/>
    </row>
    <row r="197" spans="1:13">
      <c r="A197" s="16"/>
      <c r="B197" s="17"/>
      <c r="C197" s="17"/>
      <c r="D197" s="17"/>
      <c r="E197" s="17"/>
      <c r="F197" s="17"/>
      <c r="G197" s="17"/>
      <c r="H197" s="17"/>
      <c r="I197" s="17"/>
      <c r="J197" s="31"/>
      <c r="K197" s="17"/>
      <c r="L197" s="17"/>
      <c r="M197" s="31"/>
    </row>
    <row r="198" spans="1:13">
      <c r="A198" s="16"/>
      <c r="B198" s="17"/>
      <c r="C198" s="17"/>
      <c r="D198" s="17"/>
      <c r="E198" s="17"/>
      <c r="F198" s="17"/>
      <c r="G198" s="17"/>
      <c r="H198" s="17"/>
      <c r="I198" s="17"/>
      <c r="J198" s="31"/>
      <c r="K198" s="17"/>
      <c r="L198" s="17"/>
      <c r="M198" s="31"/>
    </row>
    <row r="199" spans="1:13">
      <c r="A199" s="16"/>
      <c r="B199" s="17"/>
      <c r="C199" s="17"/>
      <c r="D199" s="17"/>
      <c r="E199" s="17"/>
      <c r="F199" s="17"/>
      <c r="G199" s="17"/>
      <c r="H199" s="17"/>
      <c r="I199" s="17"/>
      <c r="J199" s="31"/>
      <c r="K199" s="17"/>
      <c r="L199" s="17"/>
      <c r="M199" s="31"/>
    </row>
    <row r="200" spans="1:13">
      <c r="A200" s="16"/>
      <c r="B200" s="17"/>
      <c r="C200" s="17"/>
      <c r="D200" s="17"/>
      <c r="E200" s="17"/>
      <c r="F200" s="17"/>
      <c r="G200" s="17"/>
      <c r="H200" s="17"/>
      <c r="I200" s="17"/>
      <c r="J200" s="31"/>
      <c r="K200" s="17"/>
      <c r="L200" s="17"/>
      <c r="M200" s="31"/>
    </row>
    <row r="201" spans="1:13">
      <c r="A201" s="16"/>
      <c r="B201" s="17"/>
      <c r="C201" s="17"/>
      <c r="D201" s="17"/>
      <c r="E201" s="17"/>
      <c r="F201" s="17"/>
      <c r="G201" s="17"/>
      <c r="H201" s="17"/>
      <c r="I201" s="17"/>
      <c r="J201" s="31"/>
      <c r="K201" s="17"/>
      <c r="L201" s="17"/>
      <c r="M201" s="31"/>
    </row>
    <row r="202" spans="1:13">
      <c r="A202" s="16"/>
      <c r="B202" s="17"/>
      <c r="C202" s="17"/>
      <c r="D202" s="17"/>
      <c r="E202" s="17"/>
      <c r="F202" s="17"/>
      <c r="G202" s="17"/>
      <c r="H202" s="17"/>
      <c r="I202" s="17"/>
      <c r="J202" s="31"/>
      <c r="K202" s="17"/>
      <c r="L202" s="17"/>
      <c r="M202" s="31"/>
    </row>
    <row r="203" spans="1:13">
      <c r="A203" s="16"/>
      <c r="B203" s="17"/>
      <c r="C203" s="17"/>
      <c r="D203" s="17"/>
      <c r="E203" s="17"/>
      <c r="F203" s="17"/>
      <c r="G203" s="17"/>
      <c r="H203" s="17"/>
      <c r="I203" s="17"/>
      <c r="J203" s="31"/>
      <c r="K203" s="17"/>
      <c r="L203" s="17"/>
      <c r="M203" s="31"/>
    </row>
    <row r="204" spans="1:13">
      <c r="A204" s="16"/>
      <c r="B204" s="17"/>
      <c r="C204" s="17"/>
      <c r="D204" s="17"/>
      <c r="E204" s="17"/>
      <c r="F204" s="17"/>
      <c r="G204" s="17"/>
      <c r="H204" s="17"/>
      <c r="I204" s="17"/>
      <c r="J204" s="31"/>
      <c r="K204" s="17"/>
      <c r="L204" s="17"/>
      <c r="M204" s="31"/>
    </row>
    <row r="205" spans="1:13">
      <c r="A205" s="16"/>
      <c r="B205" s="17"/>
      <c r="C205" s="17"/>
      <c r="D205" s="17"/>
      <c r="E205" s="17"/>
      <c r="F205" s="17"/>
      <c r="G205" s="17"/>
      <c r="H205" s="17"/>
      <c r="I205" s="17"/>
      <c r="J205" s="31"/>
      <c r="K205" s="17"/>
      <c r="L205" s="17"/>
      <c r="M205" s="31"/>
    </row>
    <row r="206" spans="1:13">
      <c r="A206" s="16"/>
      <c r="B206" s="17"/>
      <c r="C206" s="17"/>
      <c r="D206" s="17"/>
      <c r="E206" s="17"/>
      <c r="F206" s="17"/>
      <c r="G206" s="17"/>
      <c r="H206" s="17"/>
      <c r="I206" s="17"/>
      <c r="J206" s="31"/>
      <c r="K206" s="17"/>
      <c r="L206" s="17"/>
      <c r="M206" s="31"/>
    </row>
    <row r="207" spans="1:13">
      <c r="A207" s="16"/>
      <c r="B207" s="17"/>
      <c r="C207" s="17"/>
      <c r="D207" s="17"/>
      <c r="E207" s="17"/>
      <c r="F207" s="17"/>
      <c r="G207" s="17"/>
      <c r="H207" s="17"/>
      <c r="I207" s="17"/>
      <c r="J207" s="31"/>
      <c r="K207" s="17"/>
      <c r="L207" s="17"/>
      <c r="M207" s="31"/>
    </row>
    <row r="208" spans="1:13">
      <c r="A208" s="16"/>
      <c r="B208" s="17"/>
      <c r="C208" s="17"/>
      <c r="D208" s="17"/>
      <c r="E208" s="17"/>
      <c r="F208" s="17"/>
      <c r="G208" s="17"/>
      <c r="H208" s="17"/>
      <c r="I208" s="17"/>
      <c r="J208" s="31"/>
      <c r="K208" s="17"/>
      <c r="L208" s="17"/>
      <c r="M208" s="31"/>
    </row>
    <row r="209" spans="1:13">
      <c r="A209" s="16"/>
      <c r="B209" s="17"/>
      <c r="C209" s="17"/>
      <c r="D209" s="17"/>
      <c r="E209" s="17"/>
      <c r="F209" s="17"/>
      <c r="G209" s="17"/>
      <c r="H209" s="17"/>
      <c r="I209" s="17"/>
      <c r="J209" s="31"/>
      <c r="K209" s="17"/>
      <c r="L209" s="17"/>
      <c r="M209" s="31"/>
    </row>
    <row r="210" spans="1:13">
      <c r="A210" s="16"/>
      <c r="B210" s="17"/>
      <c r="C210" s="17"/>
      <c r="D210" s="17"/>
      <c r="E210" s="17"/>
      <c r="F210" s="17"/>
      <c r="G210" s="17"/>
      <c r="H210" s="17"/>
      <c r="I210" s="17"/>
      <c r="J210" s="31"/>
      <c r="K210" s="17"/>
      <c r="L210" s="17"/>
      <c r="M210" s="31"/>
    </row>
    <row r="211" spans="1:13">
      <c r="A211" s="16"/>
      <c r="B211" s="17"/>
      <c r="C211" s="17"/>
      <c r="D211" s="17"/>
      <c r="E211" s="17"/>
      <c r="F211" s="17"/>
      <c r="G211" s="17"/>
      <c r="H211" s="17"/>
      <c r="I211" s="17"/>
      <c r="J211" s="31"/>
      <c r="K211" s="17"/>
      <c r="L211" s="17"/>
      <c r="M211" s="31"/>
    </row>
    <row r="212" spans="1:13">
      <c r="A212" s="16"/>
      <c r="B212" s="17"/>
      <c r="C212" s="17"/>
      <c r="D212" s="17"/>
      <c r="E212" s="17"/>
      <c r="F212" s="17"/>
      <c r="G212" s="17"/>
      <c r="H212" s="17"/>
      <c r="I212" s="17"/>
      <c r="J212" s="31"/>
      <c r="K212" s="17"/>
      <c r="L212" s="17"/>
      <c r="M212" s="31"/>
    </row>
    <row r="213" spans="1:13">
      <c r="A213" s="16"/>
      <c r="B213" s="17"/>
      <c r="C213" s="17"/>
      <c r="D213" s="17"/>
      <c r="E213" s="17"/>
      <c r="F213" s="17"/>
      <c r="G213" s="17"/>
      <c r="H213" s="17"/>
      <c r="I213" s="17"/>
      <c r="J213" s="31"/>
      <c r="K213" s="17"/>
      <c r="L213" s="17"/>
      <c r="M213" s="31"/>
    </row>
    <row r="214" spans="1:13">
      <c r="A214" s="16"/>
      <c r="B214" s="17"/>
      <c r="C214" s="17"/>
      <c r="D214" s="17"/>
      <c r="E214" s="17"/>
      <c r="F214" s="17"/>
      <c r="G214" s="17"/>
      <c r="H214" s="17"/>
      <c r="I214" s="17"/>
      <c r="J214" s="31"/>
      <c r="K214" s="17"/>
      <c r="L214" s="17"/>
      <c r="M214" s="31"/>
    </row>
    <row r="215" spans="1:13">
      <c r="A215" s="16"/>
      <c r="B215" s="17"/>
      <c r="C215" s="17"/>
      <c r="D215" s="17"/>
      <c r="E215" s="17"/>
      <c r="F215" s="17"/>
      <c r="G215" s="17"/>
      <c r="H215" s="17"/>
      <c r="I215" s="17"/>
      <c r="J215" s="31"/>
      <c r="K215" s="17"/>
      <c r="L215" s="17"/>
      <c r="M215" s="31"/>
    </row>
    <row r="216" spans="1:13">
      <c r="A216" s="16"/>
      <c r="B216" s="17"/>
      <c r="C216" s="17"/>
      <c r="D216" s="17"/>
      <c r="E216" s="17"/>
      <c r="F216" s="17"/>
      <c r="G216" s="17"/>
      <c r="H216" s="17"/>
      <c r="I216" s="17"/>
      <c r="J216" s="31"/>
      <c r="K216" s="17"/>
      <c r="L216" s="17"/>
      <c r="M216" s="31"/>
    </row>
    <row r="217" spans="1:13">
      <c r="A217" s="16"/>
      <c r="B217" s="17"/>
      <c r="C217" s="17"/>
      <c r="D217" s="17"/>
      <c r="E217" s="17"/>
      <c r="F217" s="17"/>
      <c r="G217" s="17"/>
      <c r="H217" s="17"/>
      <c r="I217" s="17"/>
      <c r="J217" s="31"/>
      <c r="K217" s="17"/>
      <c r="L217" s="17"/>
      <c r="M217" s="31"/>
    </row>
    <row r="218" spans="1:13">
      <c r="A218" s="16"/>
      <c r="B218" s="17"/>
      <c r="C218" s="17"/>
      <c r="D218" s="17"/>
      <c r="E218" s="17"/>
      <c r="F218" s="17"/>
      <c r="G218" s="17"/>
      <c r="H218" s="17"/>
      <c r="I218" s="17"/>
      <c r="J218" s="31"/>
      <c r="K218" s="17"/>
      <c r="L218" s="17"/>
      <c r="M218" s="31"/>
    </row>
    <row r="219" spans="1:13">
      <c r="A219" s="16"/>
      <c r="B219" s="17"/>
      <c r="C219" s="17"/>
      <c r="D219" s="17"/>
      <c r="E219" s="17"/>
      <c r="F219" s="17"/>
      <c r="G219" s="17"/>
      <c r="H219" s="17"/>
      <c r="I219" s="17"/>
      <c r="J219" s="31"/>
      <c r="K219" s="17"/>
      <c r="L219" s="17"/>
      <c r="M219" s="31"/>
    </row>
    <row r="220" spans="1:13">
      <c r="A220" s="16"/>
      <c r="B220" s="17"/>
      <c r="C220" s="17"/>
      <c r="D220" s="17"/>
      <c r="E220" s="17"/>
      <c r="F220" s="17"/>
      <c r="G220" s="17"/>
      <c r="H220" s="17"/>
      <c r="I220" s="17"/>
      <c r="J220" s="31"/>
      <c r="K220" s="17"/>
      <c r="L220" s="17"/>
      <c r="M220" s="31"/>
    </row>
    <row r="221" spans="1:13">
      <c r="A221" s="16"/>
      <c r="B221" s="17"/>
      <c r="C221" s="17"/>
      <c r="D221" s="17"/>
      <c r="E221" s="17"/>
      <c r="F221" s="17"/>
      <c r="G221" s="17"/>
      <c r="H221" s="17"/>
      <c r="I221" s="17"/>
      <c r="J221" s="31"/>
      <c r="K221" s="17"/>
      <c r="L221" s="17"/>
      <c r="M221" s="31"/>
    </row>
    <row r="222" spans="1:13">
      <c r="A222" s="16"/>
      <c r="B222" s="17"/>
      <c r="C222" s="17"/>
      <c r="D222" s="17"/>
      <c r="E222" s="17"/>
      <c r="F222" s="17"/>
      <c r="G222" s="17"/>
      <c r="H222" s="17"/>
      <c r="I222" s="17"/>
      <c r="J222" s="31"/>
      <c r="K222" s="17"/>
      <c r="L222" s="17"/>
      <c r="M222" s="31"/>
    </row>
    <row r="223" spans="1:13">
      <c r="A223" s="16"/>
      <c r="B223" s="17"/>
      <c r="C223" s="17"/>
      <c r="D223" s="17"/>
      <c r="E223" s="17"/>
      <c r="F223" s="17"/>
      <c r="G223" s="17"/>
      <c r="H223" s="17"/>
      <c r="I223" s="17"/>
      <c r="J223" s="31"/>
      <c r="K223" s="17"/>
      <c r="L223" s="17"/>
      <c r="M223" s="31"/>
    </row>
    <row r="224" spans="1:13">
      <c r="A224" s="16"/>
      <c r="B224" s="17"/>
      <c r="C224" s="17"/>
      <c r="D224" s="17"/>
      <c r="E224" s="17"/>
      <c r="F224" s="17"/>
      <c r="G224" s="17"/>
      <c r="H224" s="17"/>
      <c r="I224" s="17"/>
      <c r="J224" s="31"/>
      <c r="K224" s="17"/>
      <c r="L224" s="17"/>
      <c r="M224" s="31"/>
    </row>
    <row r="225" spans="1:13">
      <c r="A225" s="16"/>
      <c r="B225" s="17"/>
      <c r="C225" s="17"/>
      <c r="D225" s="17"/>
      <c r="E225" s="17"/>
      <c r="F225" s="17"/>
      <c r="G225" s="17"/>
      <c r="H225" s="17"/>
      <c r="I225" s="17"/>
      <c r="J225" s="31"/>
      <c r="K225" s="17"/>
      <c r="L225" s="17"/>
      <c r="M225" s="31"/>
    </row>
    <row r="226" spans="1:13">
      <c r="A226" s="16"/>
      <c r="B226" s="17"/>
      <c r="C226" s="17"/>
      <c r="D226" s="17"/>
      <c r="E226" s="17"/>
      <c r="F226" s="17"/>
      <c r="G226" s="17"/>
      <c r="H226" s="17"/>
      <c r="I226" s="17"/>
      <c r="J226" s="31"/>
      <c r="K226" s="17"/>
      <c r="L226" s="17"/>
      <c r="M226" s="31"/>
    </row>
    <row r="227" spans="1:13">
      <c r="A227" s="16"/>
      <c r="B227" s="17"/>
      <c r="C227" s="17"/>
      <c r="D227" s="17"/>
      <c r="E227" s="17"/>
      <c r="F227" s="17"/>
      <c r="G227" s="17"/>
      <c r="H227" s="17"/>
      <c r="I227" s="17"/>
      <c r="J227" s="31"/>
      <c r="K227" s="17"/>
      <c r="L227" s="17"/>
      <c r="M227" s="31"/>
    </row>
    <row r="228" spans="1:13">
      <c r="A228" s="16"/>
      <c r="B228" s="17"/>
      <c r="C228" s="17"/>
      <c r="D228" s="17"/>
      <c r="E228" s="17"/>
      <c r="F228" s="17"/>
      <c r="G228" s="17"/>
      <c r="H228" s="17"/>
      <c r="I228" s="17"/>
      <c r="J228" s="31"/>
      <c r="K228" s="17"/>
      <c r="L228" s="17"/>
      <c r="M228" s="31"/>
    </row>
    <row r="229" spans="1:13">
      <c r="A229" s="16"/>
      <c r="B229" s="17"/>
      <c r="C229" s="17"/>
      <c r="D229" s="17"/>
      <c r="E229" s="17"/>
      <c r="F229" s="17"/>
      <c r="G229" s="17"/>
      <c r="H229" s="17"/>
      <c r="I229" s="17"/>
      <c r="J229" s="31"/>
      <c r="K229" s="17"/>
      <c r="L229" s="17"/>
      <c r="M229" s="31"/>
    </row>
    <row r="230" spans="1:13">
      <c r="A230" s="16"/>
      <c r="B230" s="17"/>
      <c r="C230" s="17"/>
      <c r="D230" s="17"/>
      <c r="E230" s="17"/>
      <c r="F230" s="17"/>
      <c r="G230" s="17"/>
      <c r="H230" s="17"/>
      <c r="I230" s="17"/>
      <c r="J230" s="31"/>
      <c r="K230" s="17"/>
      <c r="L230" s="17"/>
      <c r="M230" s="31"/>
    </row>
    <row r="231" spans="1:13">
      <c r="A231" s="16"/>
      <c r="B231" s="17"/>
      <c r="C231" s="17"/>
      <c r="D231" s="17"/>
      <c r="E231" s="17"/>
      <c r="F231" s="17"/>
      <c r="G231" s="17"/>
      <c r="H231" s="17"/>
      <c r="I231" s="17"/>
      <c r="J231" s="31"/>
      <c r="K231" s="17"/>
      <c r="L231" s="17"/>
      <c r="M231" s="31"/>
    </row>
    <row r="232" spans="1:13">
      <c r="A232" s="16"/>
      <c r="B232" s="17"/>
      <c r="C232" s="17"/>
      <c r="D232" s="17"/>
      <c r="E232" s="17"/>
      <c r="F232" s="17"/>
      <c r="G232" s="17"/>
      <c r="H232" s="17"/>
      <c r="I232" s="17"/>
      <c r="J232" s="31"/>
      <c r="K232" s="17"/>
      <c r="L232" s="17"/>
      <c r="M232" s="31"/>
    </row>
    <row r="233" spans="1:13">
      <c r="A233" s="16"/>
      <c r="B233" s="17"/>
      <c r="C233" s="17"/>
      <c r="D233" s="17"/>
      <c r="E233" s="17"/>
      <c r="F233" s="17"/>
      <c r="G233" s="17"/>
      <c r="H233" s="17"/>
      <c r="I233" s="17"/>
      <c r="J233" s="31"/>
      <c r="K233" s="17"/>
      <c r="L233" s="17"/>
      <c r="M233" s="31"/>
    </row>
    <row r="234" spans="1:13">
      <c r="A234" s="16"/>
      <c r="B234" s="17"/>
      <c r="C234" s="17"/>
      <c r="D234" s="17"/>
      <c r="E234" s="17"/>
      <c r="F234" s="17"/>
      <c r="G234" s="17"/>
      <c r="H234" s="17"/>
      <c r="I234" s="17"/>
      <c r="J234" s="31"/>
      <c r="K234" s="17"/>
      <c r="L234" s="17"/>
      <c r="M234" s="31"/>
    </row>
    <row r="235" spans="1:13">
      <c r="A235" s="16"/>
      <c r="B235" s="17"/>
      <c r="C235" s="17"/>
      <c r="D235" s="17"/>
      <c r="E235" s="17"/>
      <c r="F235" s="17"/>
      <c r="G235" s="17"/>
      <c r="H235" s="17"/>
      <c r="I235" s="17"/>
      <c r="J235" s="31"/>
      <c r="K235" s="17"/>
      <c r="L235" s="17"/>
      <c r="M235" s="31"/>
    </row>
    <row r="236" spans="1:13">
      <c r="A236" s="16"/>
      <c r="B236" s="17"/>
      <c r="C236" s="17"/>
      <c r="D236" s="17"/>
      <c r="E236" s="17"/>
      <c r="F236" s="17"/>
      <c r="G236" s="17"/>
      <c r="H236" s="17"/>
      <c r="I236" s="17"/>
      <c r="J236" s="31"/>
      <c r="K236" s="17"/>
      <c r="L236" s="17"/>
      <c r="M236" s="31"/>
    </row>
    <row r="237" spans="1:13">
      <c r="A237" s="16"/>
      <c r="B237" s="17"/>
      <c r="C237" s="17"/>
      <c r="D237" s="17"/>
      <c r="E237" s="17"/>
      <c r="F237" s="17"/>
      <c r="G237" s="17"/>
      <c r="H237" s="17"/>
      <c r="I237" s="17"/>
      <c r="J237" s="31"/>
      <c r="K237" s="17"/>
      <c r="L237" s="17"/>
      <c r="M237" s="31"/>
    </row>
    <row r="238" spans="1:13">
      <c r="A238" s="16"/>
      <c r="B238" s="17"/>
      <c r="C238" s="17"/>
      <c r="D238" s="17"/>
      <c r="E238" s="17"/>
      <c r="F238" s="17"/>
      <c r="G238" s="17"/>
      <c r="H238" s="17"/>
      <c r="I238" s="17"/>
      <c r="J238" s="31"/>
      <c r="K238" s="17"/>
      <c r="L238" s="17"/>
      <c r="M238" s="31"/>
    </row>
    <row r="239" spans="1:13">
      <c r="A239" s="16"/>
      <c r="B239" s="17"/>
      <c r="C239" s="17"/>
      <c r="D239" s="17"/>
      <c r="E239" s="17"/>
      <c r="F239" s="17"/>
      <c r="G239" s="17"/>
      <c r="H239" s="17"/>
      <c r="I239" s="17"/>
      <c r="J239" s="31"/>
      <c r="K239" s="17"/>
      <c r="L239" s="17"/>
      <c r="M239" s="31"/>
    </row>
    <row r="240" spans="1:13">
      <c r="A240" s="16"/>
      <c r="B240" s="17"/>
      <c r="C240" s="17"/>
      <c r="D240" s="17"/>
      <c r="E240" s="17"/>
      <c r="F240" s="17"/>
      <c r="G240" s="17"/>
      <c r="H240" s="17"/>
      <c r="I240" s="17"/>
      <c r="J240" s="31"/>
      <c r="K240" s="17"/>
      <c r="L240" s="17"/>
      <c r="M240" s="31"/>
    </row>
    <row r="241" spans="1:13">
      <c r="A241" s="16"/>
      <c r="B241" s="17"/>
      <c r="C241" s="17"/>
      <c r="D241" s="17"/>
      <c r="E241" s="17"/>
      <c r="F241" s="17"/>
      <c r="G241" s="17"/>
      <c r="H241" s="17"/>
      <c r="I241" s="17"/>
      <c r="J241" s="31"/>
      <c r="K241" s="17"/>
      <c r="L241" s="17"/>
      <c r="M241" s="31"/>
    </row>
    <row r="242" spans="1:13">
      <c r="A242" s="16"/>
      <c r="B242" s="17"/>
      <c r="C242" s="17"/>
      <c r="D242" s="17"/>
      <c r="E242" s="17"/>
      <c r="F242" s="17"/>
      <c r="G242" s="17"/>
      <c r="H242" s="17"/>
      <c r="I242" s="17"/>
      <c r="J242" s="31"/>
      <c r="K242" s="17"/>
      <c r="L242" s="17"/>
      <c r="M242" s="31"/>
    </row>
    <row r="243" spans="1:13">
      <c r="A243" s="16"/>
      <c r="B243" s="17"/>
      <c r="C243" s="17"/>
      <c r="D243" s="17"/>
      <c r="E243" s="17"/>
      <c r="F243" s="17"/>
      <c r="G243" s="17"/>
      <c r="H243" s="17"/>
      <c r="I243" s="17"/>
      <c r="J243" s="31"/>
      <c r="K243" s="17"/>
      <c r="L243" s="17"/>
      <c r="M243" s="31"/>
    </row>
    <row r="244" spans="1:13">
      <c r="A244" s="16"/>
      <c r="B244" s="17"/>
      <c r="C244" s="17"/>
      <c r="D244" s="17"/>
      <c r="E244" s="17"/>
      <c r="F244" s="17"/>
      <c r="G244" s="17"/>
      <c r="H244" s="17"/>
      <c r="I244" s="17"/>
      <c r="J244" s="31"/>
      <c r="K244" s="17"/>
      <c r="L244" s="17"/>
      <c r="M244" s="31"/>
    </row>
    <row r="245" spans="1:13">
      <c r="A245" s="16"/>
      <c r="B245" s="17"/>
      <c r="C245" s="17"/>
      <c r="D245" s="17"/>
      <c r="E245" s="17"/>
      <c r="F245" s="17"/>
      <c r="G245" s="17"/>
      <c r="H245" s="17"/>
      <c r="I245" s="17"/>
      <c r="J245" s="31"/>
      <c r="K245" s="17"/>
      <c r="L245" s="17"/>
      <c r="M245" s="31"/>
    </row>
    <row r="246" spans="1:13">
      <c r="A246" s="16"/>
      <c r="B246" s="17"/>
      <c r="C246" s="17"/>
      <c r="D246" s="17"/>
      <c r="E246" s="17"/>
      <c r="F246" s="17"/>
      <c r="G246" s="17"/>
      <c r="H246" s="17"/>
      <c r="I246" s="17"/>
      <c r="J246" s="31"/>
      <c r="K246" s="17"/>
      <c r="L246" s="17"/>
      <c r="M246" s="31"/>
    </row>
    <row r="247" spans="1:13">
      <c r="A247" s="16"/>
      <c r="B247" s="17"/>
      <c r="C247" s="17"/>
      <c r="D247" s="17"/>
      <c r="E247" s="17"/>
      <c r="F247" s="17"/>
      <c r="G247" s="17"/>
      <c r="H247" s="17"/>
      <c r="I247" s="17"/>
      <c r="J247" s="31"/>
      <c r="K247" s="17"/>
      <c r="L247" s="17"/>
      <c r="M247" s="31"/>
    </row>
    <row r="248" spans="1:13">
      <c r="A248" s="16"/>
      <c r="B248" s="17"/>
      <c r="C248" s="17"/>
      <c r="D248" s="17"/>
      <c r="E248" s="17"/>
      <c r="F248" s="17"/>
      <c r="G248" s="17"/>
      <c r="H248" s="17"/>
      <c r="I248" s="17"/>
      <c r="J248" s="31"/>
      <c r="K248" s="17"/>
      <c r="L248" s="17"/>
      <c r="M248" s="31"/>
    </row>
    <row r="249" spans="1:13">
      <c r="A249" s="16"/>
      <c r="B249" s="17"/>
      <c r="C249" s="17"/>
      <c r="D249" s="17"/>
      <c r="E249" s="17"/>
      <c r="F249" s="17"/>
      <c r="G249" s="17"/>
      <c r="H249" s="17"/>
      <c r="I249" s="17"/>
      <c r="J249" s="31"/>
      <c r="K249" s="17"/>
      <c r="L249" s="17"/>
      <c r="M249" s="31"/>
    </row>
    <row r="250" spans="1:13">
      <c r="A250" s="16"/>
      <c r="B250" s="17"/>
      <c r="C250" s="17"/>
      <c r="D250" s="17"/>
      <c r="E250" s="17"/>
      <c r="F250" s="17"/>
      <c r="G250" s="17"/>
      <c r="H250" s="17"/>
      <c r="I250" s="17"/>
      <c r="J250" s="31"/>
      <c r="K250" s="17"/>
      <c r="L250" s="17"/>
      <c r="M250" s="31"/>
    </row>
    <row r="251" spans="1:13">
      <c r="A251" s="16"/>
      <c r="B251" s="17"/>
      <c r="C251" s="17"/>
      <c r="D251" s="17"/>
      <c r="E251" s="17"/>
      <c r="F251" s="17"/>
      <c r="G251" s="17"/>
      <c r="H251" s="17"/>
      <c r="I251" s="17"/>
      <c r="J251" s="31"/>
      <c r="K251" s="17"/>
      <c r="L251" s="17"/>
      <c r="M251" s="31"/>
    </row>
    <row r="252" spans="1:13">
      <c r="A252" s="16"/>
      <c r="B252" s="17"/>
      <c r="C252" s="17"/>
      <c r="D252" s="17"/>
      <c r="E252" s="17"/>
      <c r="F252" s="17"/>
      <c r="G252" s="17"/>
      <c r="H252" s="17"/>
      <c r="I252" s="17"/>
      <c r="J252" s="31"/>
      <c r="K252" s="17"/>
      <c r="L252" s="17"/>
      <c r="M252" s="31"/>
    </row>
    <row r="253" spans="1:13">
      <c r="A253" s="16"/>
      <c r="B253" s="17"/>
      <c r="C253" s="17"/>
      <c r="D253" s="17"/>
      <c r="E253" s="17"/>
      <c r="F253" s="17"/>
      <c r="G253" s="17"/>
      <c r="H253" s="17"/>
      <c r="I253" s="17"/>
      <c r="J253" s="31"/>
      <c r="K253" s="17"/>
      <c r="L253" s="17"/>
      <c r="M253" s="31"/>
    </row>
    <row r="254" spans="1:13">
      <c r="A254" s="16"/>
      <c r="B254" s="17"/>
      <c r="C254" s="17"/>
      <c r="D254" s="17"/>
      <c r="E254" s="17"/>
      <c r="F254" s="17"/>
      <c r="G254" s="17"/>
      <c r="H254" s="17"/>
      <c r="I254" s="17"/>
      <c r="J254" s="31"/>
      <c r="K254" s="17"/>
      <c r="L254" s="17"/>
      <c r="M254" s="31"/>
    </row>
    <row r="255" spans="1:13">
      <c r="A255" s="16"/>
      <c r="B255" s="17"/>
      <c r="C255" s="17"/>
      <c r="D255" s="17"/>
      <c r="E255" s="17"/>
      <c r="F255" s="17"/>
      <c r="G255" s="17"/>
      <c r="H255" s="17"/>
      <c r="I255" s="17"/>
      <c r="J255" s="31"/>
      <c r="K255" s="17"/>
      <c r="L255" s="17"/>
      <c r="M255" s="31"/>
    </row>
    <row r="256" spans="1:13">
      <c r="A256" s="16"/>
      <c r="B256" s="17"/>
      <c r="C256" s="17"/>
      <c r="D256" s="17"/>
      <c r="E256" s="17"/>
      <c r="F256" s="17"/>
      <c r="G256" s="17"/>
      <c r="H256" s="17"/>
      <c r="I256" s="17"/>
      <c r="J256" s="31"/>
      <c r="K256" s="17"/>
      <c r="L256" s="17"/>
      <c r="M256" s="31"/>
    </row>
    <row r="257" spans="1:13">
      <c r="A257" s="16"/>
      <c r="B257" s="17"/>
      <c r="C257" s="17"/>
      <c r="D257" s="17"/>
      <c r="E257" s="17"/>
      <c r="F257" s="17"/>
      <c r="G257" s="17"/>
      <c r="H257" s="17"/>
      <c r="I257" s="17"/>
      <c r="J257" s="31"/>
      <c r="K257" s="17"/>
      <c r="L257" s="17"/>
      <c r="M257" s="31"/>
    </row>
    <row r="258" spans="1:13">
      <c r="A258" s="16"/>
      <c r="B258" s="17"/>
      <c r="C258" s="17"/>
      <c r="D258" s="17"/>
      <c r="E258" s="17"/>
      <c r="F258" s="17"/>
      <c r="G258" s="17"/>
      <c r="H258" s="17"/>
      <c r="I258" s="17"/>
      <c r="J258" s="31"/>
      <c r="K258" s="17"/>
      <c r="L258" s="17"/>
      <c r="M258" s="31"/>
    </row>
    <row r="259" spans="1:13">
      <c r="A259" s="16"/>
      <c r="B259" s="17"/>
      <c r="C259" s="17"/>
      <c r="D259" s="17"/>
      <c r="E259" s="17"/>
      <c r="F259" s="17"/>
      <c r="G259" s="17"/>
      <c r="H259" s="17"/>
      <c r="I259" s="17"/>
      <c r="J259" s="31"/>
      <c r="K259" s="17"/>
      <c r="L259" s="17"/>
      <c r="M259" s="31"/>
    </row>
    <row r="260" spans="1:13">
      <c r="A260" s="16"/>
      <c r="B260" s="17"/>
      <c r="C260" s="17"/>
      <c r="D260" s="17"/>
      <c r="E260" s="17"/>
      <c r="F260" s="17"/>
      <c r="G260" s="17"/>
      <c r="H260" s="17"/>
      <c r="I260" s="17"/>
      <c r="J260" s="31"/>
      <c r="K260" s="17"/>
      <c r="L260" s="17"/>
      <c r="M260" s="31"/>
    </row>
    <row r="261" spans="1:13">
      <c r="A261" s="16"/>
      <c r="B261" s="17"/>
      <c r="C261" s="17"/>
      <c r="D261" s="17"/>
      <c r="E261" s="17"/>
      <c r="F261" s="17"/>
      <c r="G261" s="17"/>
      <c r="H261" s="17"/>
      <c r="I261" s="17"/>
      <c r="J261" s="31"/>
      <c r="K261" s="17"/>
      <c r="L261" s="17"/>
      <c r="M261" s="31"/>
    </row>
    <row r="262" spans="1:13">
      <c r="A262" s="16"/>
      <c r="B262" s="17"/>
      <c r="C262" s="17"/>
      <c r="D262" s="17"/>
      <c r="E262" s="17"/>
      <c r="F262" s="17"/>
      <c r="G262" s="17"/>
      <c r="H262" s="17"/>
      <c r="I262" s="17"/>
      <c r="J262" s="31"/>
      <c r="K262" s="17"/>
      <c r="L262" s="17"/>
      <c r="M262" s="31"/>
    </row>
    <row r="263" spans="1:13">
      <c r="A263" s="16"/>
      <c r="B263" s="17"/>
      <c r="C263" s="17"/>
      <c r="D263" s="17"/>
      <c r="E263" s="17"/>
      <c r="F263" s="17"/>
      <c r="G263" s="17"/>
      <c r="H263" s="17"/>
      <c r="I263" s="17"/>
      <c r="J263" s="31"/>
      <c r="K263" s="17"/>
      <c r="L263" s="17"/>
      <c r="M263" s="31"/>
    </row>
    <row r="264" spans="1:13">
      <c r="A264" s="16"/>
      <c r="B264" s="17"/>
      <c r="C264" s="17"/>
      <c r="D264" s="17"/>
      <c r="E264" s="17"/>
      <c r="F264" s="17"/>
      <c r="G264" s="17"/>
      <c r="H264" s="17"/>
      <c r="I264" s="17"/>
      <c r="J264" s="31"/>
      <c r="K264" s="17"/>
      <c r="L264" s="17"/>
      <c r="M264" s="31"/>
    </row>
    <row r="265" spans="1:13">
      <c r="A265" s="16"/>
      <c r="B265" s="17"/>
      <c r="C265" s="17"/>
      <c r="D265" s="17"/>
      <c r="E265" s="17"/>
      <c r="F265" s="17"/>
      <c r="G265" s="17"/>
      <c r="H265" s="17"/>
      <c r="I265" s="17"/>
      <c r="J265" s="31"/>
      <c r="K265" s="17"/>
      <c r="L265" s="17"/>
      <c r="M265" s="31"/>
    </row>
    <row r="266" spans="1:13">
      <c r="A266" s="16"/>
      <c r="B266" s="17"/>
      <c r="C266" s="17"/>
      <c r="D266" s="17"/>
      <c r="E266" s="17"/>
      <c r="F266" s="17"/>
      <c r="G266" s="17"/>
      <c r="H266" s="17"/>
      <c r="I266" s="17"/>
      <c r="J266" s="31"/>
      <c r="K266" s="17"/>
      <c r="L266" s="17"/>
      <c r="M266" s="31"/>
    </row>
    <row r="267" spans="1:13">
      <c r="A267" s="16"/>
      <c r="B267" s="17"/>
      <c r="C267" s="17"/>
      <c r="D267" s="17"/>
      <c r="E267" s="17"/>
      <c r="F267" s="17"/>
      <c r="G267" s="17"/>
      <c r="H267" s="17"/>
      <c r="I267" s="17"/>
      <c r="J267" s="31"/>
      <c r="K267" s="17"/>
      <c r="L267" s="17"/>
      <c r="M267" s="31"/>
    </row>
    <row r="268" spans="1:13">
      <c r="A268" s="16"/>
      <c r="B268" s="17"/>
      <c r="C268" s="17"/>
      <c r="D268" s="17"/>
      <c r="E268" s="17"/>
      <c r="F268" s="17"/>
      <c r="G268" s="17"/>
      <c r="H268" s="17"/>
      <c r="I268" s="17"/>
      <c r="J268" s="31"/>
      <c r="K268" s="17"/>
      <c r="L268" s="17"/>
      <c r="M268" s="31"/>
    </row>
    <row r="269" spans="1:13">
      <c r="A269" s="16"/>
      <c r="B269" s="17"/>
      <c r="C269" s="17"/>
      <c r="D269" s="17"/>
      <c r="E269" s="17"/>
      <c r="F269" s="17"/>
      <c r="G269" s="17"/>
      <c r="H269" s="17"/>
      <c r="I269" s="17"/>
      <c r="J269" s="31"/>
      <c r="K269" s="17"/>
      <c r="L269" s="17"/>
      <c r="M269" s="31"/>
    </row>
    <row r="270" spans="1:13">
      <c r="A270" s="16"/>
      <c r="B270" s="17"/>
      <c r="C270" s="17"/>
      <c r="D270" s="17"/>
      <c r="E270" s="17"/>
      <c r="F270" s="17"/>
      <c r="G270" s="17"/>
      <c r="H270" s="17"/>
      <c r="I270" s="17"/>
      <c r="J270" s="31"/>
      <c r="K270" s="17"/>
      <c r="L270" s="17"/>
      <c r="M270" s="31"/>
    </row>
    <row r="271" spans="1:13">
      <c r="A271" s="16"/>
      <c r="B271" s="17"/>
      <c r="C271" s="17"/>
      <c r="D271" s="17"/>
      <c r="E271" s="17"/>
      <c r="F271" s="17"/>
      <c r="G271" s="17"/>
      <c r="H271" s="17"/>
      <c r="I271" s="17"/>
      <c r="J271" s="31"/>
      <c r="K271" s="17"/>
      <c r="L271" s="17"/>
      <c r="M271" s="31"/>
    </row>
    <row r="272" spans="1:13">
      <c r="A272" s="16"/>
      <c r="B272" s="17"/>
      <c r="C272" s="17"/>
      <c r="D272" s="17"/>
      <c r="E272" s="17"/>
      <c r="F272" s="17"/>
      <c r="G272" s="17"/>
      <c r="H272" s="17"/>
      <c r="I272" s="17"/>
      <c r="J272" s="31"/>
      <c r="M272" s="31"/>
    </row>
    <row r="273" spans="1:10">
      <c r="A273" s="16"/>
      <c r="B273" s="17"/>
      <c r="C273" s="17"/>
      <c r="D273" s="17"/>
      <c r="E273" s="17"/>
      <c r="F273" s="17"/>
      <c r="G273" s="17"/>
      <c r="H273" s="17"/>
      <c r="I273" s="17"/>
      <c r="J273" s="31"/>
    </row>
    <row r="274" spans="1:10">
      <c r="A274" s="16"/>
      <c r="B274" s="17"/>
      <c r="C274" s="17"/>
      <c r="D274" s="17"/>
      <c r="E274" s="17"/>
      <c r="F274" s="17"/>
      <c r="G274" s="17"/>
      <c r="H274" s="17"/>
      <c r="I274" s="17"/>
      <c r="J274" s="31"/>
    </row>
    <row r="275" spans="1:10">
      <c r="A275" s="16"/>
      <c r="B275" s="17"/>
      <c r="C275" s="17"/>
      <c r="D275" s="17"/>
      <c r="E275" s="17"/>
      <c r="F275" s="17"/>
      <c r="G275" s="17"/>
      <c r="H275" s="17"/>
      <c r="I275" s="17"/>
      <c r="J275" s="31"/>
    </row>
    <row r="276" spans="1:10">
      <c r="A276" s="16"/>
      <c r="B276" s="17"/>
      <c r="C276" s="17"/>
      <c r="D276" s="17"/>
      <c r="E276" s="17"/>
      <c r="F276" s="17"/>
      <c r="G276" s="17"/>
      <c r="H276" s="17"/>
      <c r="I276" s="17"/>
      <c r="J276" s="31"/>
    </row>
    <row r="277" spans="1:10">
      <c r="A277" s="16"/>
      <c r="B277" s="17"/>
      <c r="C277" s="17"/>
      <c r="D277" s="17"/>
      <c r="E277" s="17"/>
      <c r="F277" s="17"/>
      <c r="G277" s="17"/>
      <c r="H277" s="17"/>
      <c r="I277" s="17"/>
    </row>
    <row r="278" spans="1:10">
      <c r="A278" s="16"/>
      <c r="B278" s="17"/>
      <c r="C278" s="17"/>
      <c r="D278" s="17"/>
      <c r="E278" s="17"/>
      <c r="F278" s="17"/>
      <c r="G278" s="17"/>
      <c r="H278" s="17"/>
      <c r="I278" s="17"/>
    </row>
    <row r="279" spans="1:10">
      <c r="A279" s="16"/>
      <c r="B279" s="17"/>
      <c r="C279" s="17"/>
      <c r="D279" s="17"/>
      <c r="E279" s="17"/>
      <c r="F279" s="17"/>
      <c r="G279" s="17"/>
      <c r="H279" s="17"/>
      <c r="I279" s="17"/>
    </row>
    <row r="280" spans="1:10">
      <c r="A280" s="16"/>
      <c r="B280" s="17"/>
      <c r="C280" s="17"/>
      <c r="D280" s="17"/>
      <c r="E280" s="17"/>
      <c r="F280" s="17"/>
      <c r="G280" s="17"/>
      <c r="H280" s="17"/>
      <c r="I280" s="17"/>
    </row>
    <row r="281" spans="1:10">
      <c r="A281" s="16"/>
      <c r="B281" s="17"/>
      <c r="C281" s="17"/>
      <c r="D281" s="17"/>
      <c r="E281" s="17"/>
      <c r="F281" s="17"/>
      <c r="G281" s="17"/>
      <c r="H281" s="17"/>
      <c r="I281" s="17"/>
    </row>
    <row r="282" spans="1:10">
      <c r="A282" s="16"/>
      <c r="B282" s="17"/>
      <c r="C282" s="17"/>
      <c r="D282" s="17"/>
      <c r="E282" s="17"/>
      <c r="F282" s="17"/>
      <c r="G282" s="17"/>
      <c r="H282" s="17"/>
      <c r="I282" s="17"/>
    </row>
    <row r="283" spans="1:10">
      <c r="A283" s="16"/>
      <c r="B283" s="17"/>
      <c r="C283" s="17"/>
      <c r="D283" s="17"/>
      <c r="E283" s="17"/>
      <c r="F283" s="17"/>
      <c r="G283" s="17"/>
      <c r="H283" s="17"/>
      <c r="I283" s="17"/>
    </row>
    <row r="284" spans="1:10">
      <c r="A284" s="16"/>
      <c r="B284" s="17"/>
      <c r="C284" s="17"/>
      <c r="D284" s="17"/>
      <c r="E284" s="17"/>
      <c r="F284" s="17"/>
      <c r="G284" s="17"/>
      <c r="H284" s="17"/>
      <c r="I284" s="17"/>
    </row>
    <row r="285" spans="1:10">
      <c r="A285" s="16"/>
      <c r="B285" s="17"/>
      <c r="C285" s="17"/>
      <c r="D285" s="17"/>
      <c r="E285" s="17"/>
      <c r="F285" s="17"/>
      <c r="G285" s="17"/>
      <c r="H285" s="17"/>
      <c r="I285" s="17"/>
    </row>
    <row r="286" spans="1:10">
      <c r="A286" s="16"/>
      <c r="B286" s="17"/>
      <c r="C286" s="17"/>
      <c r="D286" s="17"/>
      <c r="E286" s="17"/>
      <c r="F286" s="17"/>
      <c r="G286" s="17"/>
      <c r="H286" s="17"/>
      <c r="I286" s="17"/>
    </row>
    <row r="287" spans="1:10">
      <c r="A287" s="16"/>
      <c r="B287" s="17"/>
      <c r="C287" s="17"/>
      <c r="D287" s="17"/>
      <c r="E287" s="17"/>
      <c r="F287" s="17"/>
      <c r="G287" s="17"/>
      <c r="H287" s="17"/>
      <c r="I287" s="17"/>
    </row>
    <row r="288" spans="1:10">
      <c r="A288" s="16"/>
      <c r="B288" s="17"/>
      <c r="C288" s="17"/>
      <c r="D288" s="17"/>
      <c r="E288" s="17"/>
      <c r="F288" s="17"/>
      <c r="G288" s="17"/>
      <c r="H288" s="17"/>
      <c r="I288" s="17"/>
    </row>
    <row r="289" spans="1:9">
      <c r="A289" s="16"/>
      <c r="B289" s="17"/>
      <c r="C289" s="17"/>
      <c r="D289" s="17"/>
      <c r="E289" s="17"/>
      <c r="F289" s="17"/>
      <c r="G289" s="17"/>
      <c r="H289" s="17"/>
      <c r="I289" s="17"/>
    </row>
    <row r="290" spans="1:9">
      <c r="A290" s="16"/>
      <c r="B290" s="17"/>
      <c r="C290" s="17"/>
      <c r="D290" s="17"/>
      <c r="E290" s="17"/>
      <c r="F290" s="17"/>
      <c r="G290" s="17"/>
      <c r="H290" s="17"/>
      <c r="I290" s="17"/>
    </row>
    <row r="291" spans="1:9">
      <c r="A291" s="16"/>
      <c r="B291" s="17"/>
      <c r="C291" s="17"/>
      <c r="D291" s="17"/>
      <c r="E291" s="17"/>
      <c r="F291" s="17"/>
      <c r="G291" s="17"/>
      <c r="H291" s="17"/>
      <c r="I291" s="17"/>
    </row>
    <row r="292" spans="1:9">
      <c r="A292" s="16"/>
      <c r="B292" s="17"/>
      <c r="C292" s="17"/>
      <c r="D292" s="17"/>
      <c r="E292" s="17"/>
      <c r="F292" s="17"/>
      <c r="G292" s="17"/>
      <c r="H292" s="17"/>
      <c r="I292" s="17"/>
    </row>
    <row r="293" spans="1:9">
      <c r="A293" s="16"/>
      <c r="B293" s="17"/>
      <c r="C293" s="17"/>
      <c r="D293" s="17"/>
      <c r="E293" s="17"/>
      <c r="F293" s="17"/>
      <c r="G293" s="17"/>
      <c r="H293" s="17"/>
      <c r="I293" s="17"/>
    </row>
    <row r="294" spans="1:9">
      <c r="A294" s="16"/>
      <c r="B294" s="17"/>
      <c r="C294" s="17"/>
      <c r="D294" s="17"/>
      <c r="E294" s="17"/>
      <c r="F294" s="17"/>
      <c r="G294" s="17"/>
      <c r="H294" s="17"/>
      <c r="I294" s="17"/>
    </row>
    <row r="295" spans="1:9">
      <c r="A295" s="16"/>
      <c r="B295" s="17"/>
      <c r="C295" s="17"/>
      <c r="D295" s="17"/>
      <c r="E295" s="17"/>
      <c r="F295" s="17"/>
      <c r="G295" s="17"/>
      <c r="H295" s="17"/>
      <c r="I295" s="17"/>
    </row>
    <row r="296" spans="1:9">
      <c r="A296" s="16"/>
      <c r="B296" s="17"/>
      <c r="C296" s="17"/>
      <c r="D296" s="17"/>
      <c r="E296" s="17"/>
      <c r="F296" s="17"/>
      <c r="G296" s="17"/>
      <c r="H296" s="17"/>
      <c r="I296" s="17"/>
    </row>
    <row r="297" spans="1:9">
      <c r="A297" s="16"/>
      <c r="B297" s="17"/>
      <c r="C297" s="17"/>
      <c r="D297" s="17"/>
      <c r="E297" s="17"/>
      <c r="F297" s="17"/>
      <c r="G297" s="17"/>
      <c r="H297" s="17"/>
      <c r="I297" s="17"/>
    </row>
    <row r="298" spans="1:9">
      <c r="A298" s="16"/>
      <c r="B298" s="17"/>
      <c r="C298" s="17"/>
      <c r="D298" s="17"/>
      <c r="E298" s="17"/>
      <c r="F298" s="17"/>
      <c r="G298" s="17"/>
      <c r="H298" s="17"/>
      <c r="I298" s="17"/>
    </row>
    <row r="299" spans="1:9">
      <c r="A299" s="16"/>
      <c r="B299" s="17"/>
      <c r="C299" s="17"/>
      <c r="D299" s="17"/>
      <c r="E299" s="17"/>
      <c r="F299" s="17"/>
      <c r="G299" s="17"/>
      <c r="H299" s="17"/>
      <c r="I299" s="17"/>
    </row>
    <row r="300" spans="1:9">
      <c r="A300" s="16"/>
      <c r="B300" s="17"/>
      <c r="C300" s="17"/>
      <c r="D300" s="17"/>
      <c r="E300" s="17"/>
      <c r="F300" s="17"/>
      <c r="G300" s="17"/>
      <c r="H300" s="17"/>
      <c r="I300" s="17"/>
    </row>
    <row r="301" spans="1:9">
      <c r="A301" s="16"/>
      <c r="B301" s="17"/>
      <c r="C301" s="17"/>
      <c r="D301" s="17"/>
      <c r="E301" s="17"/>
      <c r="F301" s="17"/>
      <c r="G301" s="17"/>
      <c r="H301" s="17"/>
      <c r="I301" s="17"/>
    </row>
    <row r="302" spans="1:9">
      <c r="A302" s="16"/>
      <c r="B302" s="17"/>
      <c r="C302" s="17"/>
      <c r="D302" s="17"/>
      <c r="E302" s="17"/>
      <c r="F302" s="17"/>
      <c r="G302" s="17"/>
      <c r="H302" s="17"/>
      <c r="I302" s="17"/>
    </row>
    <row r="303" spans="1:9">
      <c r="A303" s="16"/>
      <c r="B303" s="17"/>
      <c r="C303" s="17"/>
      <c r="D303" s="17"/>
      <c r="E303" s="17"/>
      <c r="F303" s="17"/>
      <c r="G303" s="17"/>
      <c r="H303" s="17"/>
      <c r="I303" s="17"/>
    </row>
    <row r="304" spans="1:9">
      <c r="A304" s="16"/>
      <c r="B304" s="17"/>
      <c r="C304" s="17"/>
      <c r="D304" s="17"/>
      <c r="E304" s="17"/>
      <c r="F304" s="17"/>
      <c r="G304" s="17"/>
      <c r="H304" s="17"/>
      <c r="I304" s="17"/>
    </row>
    <row r="305" spans="1:9">
      <c r="A305" s="16"/>
      <c r="B305" s="17"/>
      <c r="C305" s="17"/>
      <c r="D305" s="17"/>
      <c r="E305" s="17"/>
      <c r="F305" s="17"/>
      <c r="G305" s="17"/>
      <c r="H305" s="17"/>
      <c r="I305" s="17"/>
    </row>
    <row r="306" spans="1:9">
      <c r="A306" s="16"/>
      <c r="B306" s="17"/>
      <c r="C306" s="17"/>
      <c r="D306" s="17"/>
      <c r="E306" s="17"/>
      <c r="F306" s="17"/>
      <c r="G306" s="17"/>
      <c r="H306" s="17"/>
      <c r="I306" s="17"/>
    </row>
    <row r="307" spans="1:9">
      <c r="A307" s="16"/>
      <c r="B307" s="17"/>
      <c r="C307" s="17"/>
      <c r="D307" s="17"/>
      <c r="E307" s="17"/>
      <c r="F307" s="17"/>
      <c r="G307" s="17"/>
      <c r="H307" s="17"/>
      <c r="I307" s="17"/>
    </row>
    <row r="308" spans="1:9">
      <c r="A308" s="16"/>
      <c r="B308" s="17"/>
      <c r="C308" s="17"/>
      <c r="D308" s="17"/>
      <c r="E308" s="17"/>
      <c r="F308" s="17"/>
      <c r="G308" s="17"/>
      <c r="H308" s="17"/>
      <c r="I308" s="17"/>
    </row>
    <row r="309" spans="1:9">
      <c r="A309" s="16"/>
      <c r="B309" s="17"/>
      <c r="C309" s="17"/>
      <c r="D309" s="17"/>
      <c r="E309" s="17"/>
      <c r="F309" s="17"/>
      <c r="G309" s="17"/>
      <c r="H309" s="17"/>
      <c r="I309" s="17"/>
    </row>
    <row r="310" spans="1:9">
      <c r="A310" s="16"/>
      <c r="B310" s="17"/>
      <c r="C310" s="17"/>
      <c r="D310" s="17"/>
      <c r="E310" s="17"/>
      <c r="F310" s="17"/>
      <c r="G310" s="17"/>
      <c r="H310" s="17"/>
      <c r="I310" s="17"/>
    </row>
    <row r="311" spans="1:9">
      <c r="A311" s="16"/>
      <c r="B311" s="17"/>
      <c r="C311" s="17"/>
      <c r="D311" s="17"/>
      <c r="E311" s="17"/>
      <c r="F311" s="17"/>
      <c r="G311" s="17"/>
      <c r="H311" s="17"/>
      <c r="I311" s="17"/>
    </row>
    <row r="312" spans="1:9">
      <c r="A312" s="16"/>
      <c r="B312" s="17"/>
      <c r="C312" s="17"/>
      <c r="D312" s="17"/>
      <c r="E312" s="17"/>
      <c r="F312" s="17"/>
      <c r="G312" s="17"/>
      <c r="H312" s="17"/>
      <c r="I312" s="17"/>
    </row>
    <row r="313" spans="1:9">
      <c r="A313" s="16"/>
      <c r="B313" s="17"/>
      <c r="C313" s="17"/>
      <c r="D313" s="17"/>
      <c r="E313" s="17"/>
      <c r="F313" s="17"/>
      <c r="G313" s="17"/>
      <c r="H313" s="17"/>
      <c r="I313" s="17"/>
    </row>
    <row r="314" spans="1:9">
      <c r="A314" s="16"/>
      <c r="B314" s="17"/>
      <c r="C314" s="17"/>
      <c r="D314" s="17"/>
      <c r="E314" s="17"/>
      <c r="F314" s="17"/>
      <c r="G314" s="17"/>
      <c r="H314" s="17"/>
      <c r="I314" s="17"/>
    </row>
    <row r="315" spans="1:9">
      <c r="A315" s="16"/>
      <c r="B315" s="17"/>
      <c r="C315" s="17"/>
      <c r="D315" s="17"/>
      <c r="E315" s="17"/>
      <c r="F315" s="17"/>
      <c r="G315" s="17"/>
      <c r="H315" s="17"/>
      <c r="I315" s="17"/>
    </row>
    <row r="316" spans="1:9">
      <c r="A316" s="16"/>
      <c r="B316" s="17"/>
      <c r="C316" s="17"/>
      <c r="D316" s="17"/>
      <c r="E316" s="17"/>
      <c r="F316" s="17"/>
      <c r="G316" s="17"/>
      <c r="H316" s="17"/>
      <c r="I316" s="17"/>
    </row>
    <row r="317" spans="1:9">
      <c r="A317" s="16"/>
      <c r="B317" s="17"/>
      <c r="C317" s="17"/>
      <c r="D317" s="17"/>
      <c r="E317" s="17"/>
      <c r="F317" s="17"/>
      <c r="G317" s="17"/>
      <c r="H317" s="17"/>
      <c r="I317" s="17"/>
    </row>
    <row r="318" spans="1:9">
      <c r="A318" s="16"/>
      <c r="B318" s="17"/>
      <c r="C318" s="17"/>
      <c r="D318" s="17"/>
      <c r="E318" s="17"/>
      <c r="F318" s="17"/>
      <c r="G318" s="17"/>
      <c r="H318" s="17"/>
      <c r="I318" s="17"/>
    </row>
    <row r="319" spans="1:9">
      <c r="A319" s="16"/>
      <c r="B319" s="17"/>
      <c r="C319" s="17"/>
      <c r="D319" s="17"/>
      <c r="E319" s="17"/>
      <c r="F319" s="17"/>
      <c r="G319" s="17"/>
      <c r="H319" s="17"/>
      <c r="I319" s="17"/>
    </row>
    <row r="320" spans="1:9">
      <c r="A320" s="16"/>
      <c r="B320" s="17"/>
      <c r="C320" s="17"/>
      <c r="D320" s="17"/>
      <c r="E320" s="17"/>
      <c r="F320" s="17"/>
      <c r="G320" s="17"/>
      <c r="H320" s="17"/>
      <c r="I320" s="17"/>
    </row>
    <row r="321" spans="1:9">
      <c r="A321" s="16"/>
      <c r="B321" s="17"/>
      <c r="C321" s="17"/>
      <c r="D321" s="17"/>
      <c r="E321" s="17"/>
      <c r="F321" s="17"/>
      <c r="G321" s="17"/>
      <c r="H321" s="17"/>
      <c r="I321" s="17"/>
    </row>
    <row r="322" spans="1:9">
      <c r="A322" s="16"/>
      <c r="B322" s="17"/>
      <c r="C322" s="17"/>
      <c r="D322" s="17"/>
      <c r="E322" s="17"/>
      <c r="F322" s="17"/>
      <c r="G322" s="17"/>
      <c r="H322" s="17"/>
      <c r="I322" s="17"/>
    </row>
    <row r="323" spans="1:9">
      <c r="A323" s="16"/>
      <c r="B323" s="17"/>
      <c r="C323" s="17"/>
      <c r="D323" s="17"/>
      <c r="E323" s="17"/>
      <c r="F323" s="17"/>
      <c r="G323" s="17"/>
      <c r="H323" s="17"/>
      <c r="I323" s="17"/>
    </row>
    <row r="324" spans="1:9">
      <c r="A324" s="16"/>
      <c r="B324" s="17"/>
      <c r="C324" s="17"/>
      <c r="D324" s="17"/>
      <c r="E324" s="17"/>
      <c r="F324" s="17"/>
      <c r="G324" s="17"/>
      <c r="H324" s="17"/>
      <c r="I324" s="17"/>
    </row>
    <row r="325" spans="1:9">
      <c r="A325" s="16"/>
      <c r="B325" s="17"/>
      <c r="C325" s="17"/>
      <c r="D325" s="17"/>
      <c r="E325" s="17"/>
      <c r="F325" s="17"/>
      <c r="G325" s="17"/>
      <c r="H325" s="17"/>
      <c r="I325" s="17"/>
    </row>
    <row r="326" spans="1:9">
      <c r="A326" s="16"/>
      <c r="B326" s="17"/>
      <c r="C326" s="17"/>
      <c r="D326" s="17"/>
      <c r="E326" s="17"/>
      <c r="F326" s="17"/>
      <c r="G326" s="17"/>
      <c r="H326" s="17"/>
      <c r="I326" s="17"/>
    </row>
    <row r="327" spans="1:9">
      <c r="A327" s="16"/>
      <c r="B327" s="17"/>
      <c r="C327" s="17"/>
      <c r="D327" s="17"/>
      <c r="E327" s="17"/>
      <c r="F327" s="17"/>
      <c r="G327" s="17"/>
      <c r="H327" s="17"/>
      <c r="I327" s="17"/>
    </row>
    <row r="328" spans="1:9">
      <c r="A328" s="16"/>
      <c r="B328" s="17"/>
      <c r="C328" s="17"/>
      <c r="D328" s="17"/>
      <c r="E328" s="17"/>
      <c r="F328" s="17"/>
      <c r="G328" s="17"/>
      <c r="H328" s="17"/>
      <c r="I328" s="17"/>
    </row>
    <row r="329" spans="1:9">
      <c r="A329" s="16"/>
      <c r="B329" s="17"/>
      <c r="C329" s="17"/>
      <c r="D329" s="17"/>
      <c r="E329" s="17"/>
      <c r="F329" s="17"/>
      <c r="G329" s="17"/>
      <c r="H329" s="17"/>
      <c r="I329" s="17"/>
    </row>
    <row r="330" spans="1:9">
      <c r="A330" s="16"/>
      <c r="B330" s="17"/>
      <c r="C330" s="17"/>
      <c r="D330" s="17"/>
      <c r="E330" s="17"/>
      <c r="F330" s="17"/>
      <c r="G330" s="17"/>
      <c r="H330" s="17"/>
      <c r="I330" s="17"/>
    </row>
    <row r="331" spans="1:9">
      <c r="A331" s="16"/>
      <c r="B331" s="17"/>
      <c r="C331" s="17"/>
      <c r="D331" s="17"/>
      <c r="E331" s="17"/>
      <c r="F331" s="17"/>
      <c r="G331" s="17"/>
      <c r="H331" s="17"/>
      <c r="I331" s="17"/>
    </row>
    <row r="332" spans="1:9">
      <c r="A332" s="16"/>
      <c r="B332" s="17"/>
      <c r="C332" s="17"/>
      <c r="D332" s="17"/>
      <c r="E332" s="17"/>
      <c r="F332" s="17"/>
      <c r="G332" s="17"/>
      <c r="H332" s="17"/>
      <c r="I332" s="17"/>
    </row>
    <row r="333" spans="1:9">
      <c r="A333" s="16"/>
      <c r="B333" s="17"/>
      <c r="C333" s="17"/>
      <c r="D333" s="17"/>
      <c r="E333" s="17"/>
      <c r="F333" s="17"/>
      <c r="G333" s="17"/>
      <c r="H333" s="17"/>
      <c r="I333" s="17"/>
    </row>
    <row r="334" spans="1:9">
      <c r="A334" s="16"/>
      <c r="B334" s="17"/>
      <c r="C334" s="17"/>
      <c r="D334" s="17"/>
      <c r="E334" s="17"/>
      <c r="F334" s="17"/>
      <c r="G334" s="17"/>
      <c r="H334" s="17"/>
      <c r="I334" s="17"/>
    </row>
    <row r="335" spans="1:9">
      <c r="A335" s="16"/>
      <c r="B335" s="17"/>
      <c r="C335" s="17"/>
      <c r="D335" s="17"/>
      <c r="E335" s="17"/>
      <c r="F335" s="17"/>
      <c r="G335" s="17"/>
      <c r="H335" s="17"/>
      <c r="I335" s="17"/>
    </row>
    <row r="336" spans="1:9">
      <c r="A336" s="16"/>
      <c r="B336" s="17"/>
      <c r="C336" s="17"/>
      <c r="D336" s="17"/>
      <c r="E336" s="17"/>
      <c r="F336" s="17"/>
      <c r="G336" s="17"/>
      <c r="H336" s="17"/>
      <c r="I336" s="17"/>
    </row>
    <row r="337" spans="1:9">
      <c r="A337" s="16"/>
      <c r="B337" s="17"/>
      <c r="C337" s="17"/>
      <c r="D337" s="17"/>
      <c r="E337" s="17"/>
      <c r="F337" s="17"/>
      <c r="G337" s="17"/>
      <c r="H337" s="17"/>
      <c r="I337" s="17"/>
    </row>
    <row r="338" spans="1:9">
      <c r="A338" s="16"/>
      <c r="B338" s="17"/>
      <c r="C338" s="17"/>
      <c r="D338" s="17"/>
      <c r="E338" s="17"/>
      <c r="F338" s="17"/>
      <c r="G338" s="17"/>
      <c r="H338" s="17"/>
      <c r="I338" s="17"/>
    </row>
    <row r="339" spans="1:9">
      <c r="A339" s="16"/>
      <c r="B339" s="17"/>
      <c r="C339" s="17"/>
      <c r="D339" s="17"/>
      <c r="E339" s="17"/>
      <c r="F339" s="17"/>
      <c r="G339" s="17"/>
      <c r="H339" s="17"/>
      <c r="I339" s="17"/>
    </row>
    <row r="340" spans="1:9">
      <c r="A340" s="16"/>
      <c r="B340" s="17"/>
      <c r="C340" s="17"/>
      <c r="D340" s="17"/>
      <c r="E340" s="17"/>
      <c r="F340" s="17"/>
      <c r="G340" s="17"/>
      <c r="H340" s="17"/>
      <c r="I340" s="17"/>
    </row>
    <row r="341" spans="1:9">
      <c r="A341" s="16"/>
      <c r="B341" s="17"/>
      <c r="C341" s="17"/>
      <c r="D341" s="17"/>
      <c r="E341" s="17"/>
      <c r="F341" s="17"/>
      <c r="G341" s="17"/>
      <c r="H341" s="17"/>
      <c r="I341" s="17"/>
    </row>
    <row r="342" spans="1:9">
      <c r="A342" s="16"/>
      <c r="B342" s="17"/>
      <c r="C342" s="17"/>
      <c r="D342" s="17"/>
      <c r="E342" s="17"/>
      <c r="F342" s="17"/>
      <c r="G342" s="17"/>
      <c r="H342" s="17"/>
      <c r="I342" s="17"/>
    </row>
    <row r="343" spans="1:9">
      <c r="A343" s="16"/>
      <c r="B343" s="17"/>
      <c r="C343" s="17"/>
      <c r="D343" s="17"/>
      <c r="E343" s="17"/>
      <c r="F343" s="17"/>
      <c r="G343" s="17"/>
      <c r="H343" s="17"/>
      <c r="I343" s="17"/>
    </row>
    <row r="344" spans="1:9">
      <c r="A344" s="16"/>
      <c r="B344" s="17"/>
      <c r="C344" s="17"/>
      <c r="D344" s="17"/>
      <c r="E344" s="17"/>
      <c r="F344" s="17"/>
      <c r="G344" s="17"/>
      <c r="H344" s="17"/>
      <c r="I344" s="17"/>
    </row>
    <row r="345" spans="1:9">
      <c r="A345" s="16"/>
      <c r="B345" s="17"/>
      <c r="C345" s="17"/>
      <c r="D345" s="17"/>
      <c r="E345" s="17"/>
      <c r="F345" s="17"/>
      <c r="G345" s="17"/>
      <c r="H345" s="17"/>
      <c r="I345" s="17"/>
    </row>
    <row r="346" spans="1:9">
      <c r="A346" s="16"/>
      <c r="B346" s="17"/>
      <c r="C346" s="17"/>
      <c r="D346" s="17"/>
      <c r="E346" s="17"/>
      <c r="F346" s="17"/>
      <c r="G346" s="17"/>
      <c r="H346" s="17"/>
      <c r="I346" s="17"/>
    </row>
    <row r="347" spans="1:9">
      <c r="A347" s="16"/>
      <c r="B347" s="17"/>
      <c r="C347" s="17"/>
      <c r="D347" s="17"/>
      <c r="E347" s="17"/>
      <c r="F347" s="17"/>
      <c r="G347" s="17"/>
      <c r="H347" s="17"/>
      <c r="I347" s="17"/>
    </row>
    <row r="348" spans="1:9">
      <c r="A348" s="16"/>
      <c r="B348" s="17"/>
      <c r="C348" s="17"/>
      <c r="D348" s="17"/>
      <c r="E348" s="17"/>
      <c r="F348" s="17"/>
      <c r="G348" s="17"/>
      <c r="H348" s="17"/>
      <c r="I348" s="17"/>
    </row>
    <row r="349" spans="1:9">
      <c r="A349" s="16"/>
      <c r="B349" s="17"/>
      <c r="C349" s="17"/>
      <c r="D349" s="17"/>
      <c r="E349" s="17"/>
      <c r="F349" s="17"/>
      <c r="G349" s="17"/>
      <c r="H349" s="17"/>
      <c r="I349" s="17"/>
    </row>
    <row r="350" spans="1:9">
      <c r="A350" s="16"/>
      <c r="B350" s="17"/>
      <c r="C350" s="17"/>
      <c r="D350" s="17"/>
      <c r="E350" s="17"/>
      <c r="F350" s="17"/>
      <c r="G350" s="17"/>
      <c r="H350" s="17"/>
      <c r="I350" s="17"/>
    </row>
    <row r="351" spans="1:9">
      <c r="A351" s="16"/>
      <c r="B351" s="17"/>
      <c r="C351" s="17"/>
      <c r="D351" s="17"/>
      <c r="E351" s="17"/>
      <c r="F351" s="17"/>
      <c r="G351" s="17"/>
      <c r="H351" s="17"/>
      <c r="I351" s="17"/>
    </row>
    <row r="352" spans="1:9">
      <c r="A352" s="16"/>
      <c r="B352" s="17"/>
      <c r="C352" s="17"/>
      <c r="D352" s="17"/>
      <c r="E352" s="17"/>
      <c r="F352" s="17"/>
      <c r="G352" s="17"/>
      <c r="H352" s="17"/>
      <c r="I352" s="17"/>
    </row>
    <row r="353" spans="1:9">
      <c r="A353" s="16"/>
      <c r="B353" s="17"/>
      <c r="C353" s="17"/>
      <c r="D353" s="17"/>
      <c r="E353" s="17"/>
      <c r="F353" s="17"/>
      <c r="G353" s="17"/>
      <c r="H353" s="17"/>
      <c r="I353" s="17"/>
    </row>
    <row r="354" spans="1:9">
      <c r="A354" s="16"/>
      <c r="B354" s="17"/>
      <c r="C354" s="17"/>
      <c r="D354" s="17"/>
      <c r="E354" s="17"/>
      <c r="F354" s="17"/>
      <c r="G354" s="17"/>
      <c r="H354" s="17"/>
      <c r="I354" s="17"/>
    </row>
    <row r="355" spans="1:9">
      <c r="A355" s="16"/>
      <c r="B355" s="17"/>
      <c r="C355" s="17"/>
      <c r="D355" s="17"/>
      <c r="E355" s="17"/>
      <c r="F355" s="17"/>
      <c r="G355" s="17"/>
      <c r="H355" s="17"/>
      <c r="I355" s="17"/>
    </row>
    <row r="356" spans="1:9">
      <c r="A356" s="16"/>
      <c r="B356" s="17"/>
      <c r="C356" s="17"/>
      <c r="D356" s="17"/>
      <c r="E356" s="17"/>
      <c r="F356" s="17"/>
      <c r="G356" s="17"/>
      <c r="H356" s="17"/>
      <c r="I356" s="17"/>
    </row>
    <row r="357" spans="1:9">
      <c r="A357" s="16"/>
      <c r="B357" s="17"/>
      <c r="C357" s="17"/>
      <c r="D357" s="17"/>
      <c r="E357" s="17"/>
      <c r="F357" s="17"/>
      <c r="G357" s="17"/>
      <c r="H357" s="17"/>
      <c r="I357" s="17"/>
    </row>
    <row r="358" spans="1:9">
      <c r="A358" s="16"/>
      <c r="B358" s="17"/>
      <c r="C358" s="17"/>
      <c r="D358" s="17"/>
      <c r="E358" s="17"/>
      <c r="F358" s="17"/>
      <c r="G358" s="17"/>
      <c r="H358" s="17"/>
      <c r="I358" s="17"/>
    </row>
    <row r="359" spans="1:9">
      <c r="A359" s="16"/>
      <c r="B359" s="17"/>
      <c r="C359" s="17"/>
      <c r="D359" s="17"/>
      <c r="E359" s="17"/>
      <c r="F359" s="17"/>
      <c r="G359" s="17"/>
      <c r="H359" s="17"/>
      <c r="I359" s="17"/>
    </row>
    <row r="360" spans="1:9">
      <c r="A360" s="16"/>
      <c r="B360" s="17"/>
      <c r="C360" s="17"/>
      <c r="D360" s="17"/>
      <c r="E360" s="17"/>
      <c r="F360" s="17"/>
      <c r="G360" s="17"/>
      <c r="H360" s="17"/>
      <c r="I360" s="17"/>
    </row>
    <row r="361" spans="1:9">
      <c r="A361" s="16"/>
      <c r="B361" s="17"/>
      <c r="C361" s="17"/>
      <c r="D361" s="17"/>
      <c r="E361" s="17"/>
      <c r="F361" s="17"/>
      <c r="G361" s="17"/>
      <c r="H361" s="17"/>
      <c r="I361" s="17"/>
    </row>
    <row r="362" spans="1:9">
      <c r="A362" s="16"/>
      <c r="B362" s="17"/>
      <c r="C362" s="17"/>
      <c r="D362" s="17"/>
      <c r="E362" s="17"/>
      <c r="F362" s="17"/>
      <c r="G362" s="17"/>
      <c r="H362" s="17"/>
      <c r="I362" s="17"/>
    </row>
    <row r="363" spans="1:9">
      <c r="A363" s="16"/>
      <c r="B363" s="17"/>
      <c r="C363" s="17"/>
      <c r="D363" s="17"/>
      <c r="E363" s="17"/>
      <c r="F363" s="17"/>
      <c r="G363" s="17"/>
      <c r="H363" s="17"/>
      <c r="I363" s="17"/>
    </row>
    <row r="364" spans="1:9">
      <c r="A364" s="16"/>
      <c r="B364" s="17"/>
      <c r="C364" s="17"/>
      <c r="D364" s="17"/>
      <c r="E364" s="17"/>
      <c r="F364" s="17"/>
      <c r="G364" s="17"/>
      <c r="H364" s="17"/>
      <c r="I364" s="17"/>
    </row>
    <row r="365" spans="1:9">
      <c r="A365" s="16"/>
      <c r="B365" s="17"/>
      <c r="C365" s="17"/>
      <c r="D365" s="17"/>
      <c r="E365" s="17"/>
      <c r="F365" s="17"/>
      <c r="G365" s="17"/>
      <c r="H365" s="17"/>
      <c r="I365" s="17"/>
    </row>
    <row r="366" spans="1:9">
      <c r="A366" s="16"/>
      <c r="B366" s="17"/>
      <c r="C366" s="17"/>
      <c r="D366" s="17"/>
      <c r="E366" s="17"/>
      <c r="F366" s="17"/>
      <c r="G366" s="17"/>
      <c r="H366" s="17"/>
      <c r="I366" s="17"/>
    </row>
    <row r="367" spans="1:9">
      <c r="A367" s="16"/>
      <c r="B367" s="17"/>
      <c r="C367" s="17"/>
      <c r="D367" s="17"/>
      <c r="E367" s="17"/>
      <c r="F367" s="17"/>
      <c r="G367" s="17"/>
      <c r="H367" s="17"/>
      <c r="I367" s="17"/>
    </row>
    <row r="368" spans="1:9">
      <c r="A368" s="16"/>
      <c r="B368" s="17"/>
      <c r="C368" s="17"/>
      <c r="D368" s="17"/>
      <c r="E368" s="17"/>
      <c r="F368" s="17"/>
      <c r="G368" s="17"/>
      <c r="H368" s="17"/>
      <c r="I368" s="17"/>
    </row>
    <row r="369" spans="1:9">
      <c r="A369" s="16"/>
      <c r="B369" s="17"/>
      <c r="C369" s="17"/>
      <c r="D369" s="17"/>
      <c r="E369" s="17"/>
      <c r="F369" s="17"/>
      <c r="G369" s="17"/>
      <c r="H369" s="17"/>
      <c r="I369" s="17"/>
    </row>
    <row r="370" spans="1:9">
      <c r="A370" s="16"/>
      <c r="B370" s="17"/>
      <c r="C370" s="17"/>
      <c r="D370" s="17"/>
      <c r="E370" s="17"/>
      <c r="F370" s="17"/>
      <c r="G370" s="17"/>
      <c r="H370" s="17"/>
      <c r="I370" s="17"/>
    </row>
    <row r="371" spans="1:9">
      <c r="A371" s="16"/>
      <c r="B371" s="17"/>
      <c r="C371" s="17"/>
      <c r="D371" s="17"/>
      <c r="E371" s="17"/>
      <c r="F371" s="17"/>
      <c r="G371" s="17"/>
      <c r="H371" s="17"/>
      <c r="I371" s="17"/>
    </row>
    <row r="372" spans="1:9">
      <c r="A372" s="16"/>
      <c r="B372" s="17"/>
      <c r="C372" s="17"/>
      <c r="D372" s="17"/>
      <c r="E372" s="17"/>
      <c r="F372" s="17"/>
      <c r="G372" s="17"/>
      <c r="H372" s="17"/>
      <c r="I372" s="17"/>
    </row>
    <row r="373" spans="1:9">
      <c r="A373" s="16"/>
      <c r="B373" s="17"/>
      <c r="C373" s="17"/>
      <c r="D373" s="17"/>
      <c r="E373" s="17"/>
      <c r="F373" s="17"/>
      <c r="G373" s="17"/>
      <c r="H373" s="17"/>
      <c r="I373" s="17"/>
    </row>
    <row r="374" spans="1:9">
      <c r="A374" s="16"/>
      <c r="B374" s="17"/>
      <c r="C374" s="17"/>
      <c r="D374" s="17"/>
      <c r="E374" s="17"/>
      <c r="F374" s="17"/>
      <c r="G374" s="17"/>
      <c r="H374" s="17"/>
      <c r="I374" s="17"/>
    </row>
    <row r="375" spans="1:9">
      <c r="A375" s="16"/>
      <c r="B375" s="17"/>
      <c r="C375" s="17"/>
      <c r="D375" s="17"/>
      <c r="E375" s="17"/>
      <c r="F375" s="17"/>
      <c r="G375" s="17"/>
      <c r="H375" s="17"/>
      <c r="I375" s="17"/>
    </row>
    <row r="376" spans="1:9">
      <c r="A376" s="16"/>
      <c r="B376" s="17"/>
      <c r="C376" s="17"/>
      <c r="D376" s="17"/>
      <c r="E376" s="17"/>
      <c r="F376" s="17"/>
      <c r="G376" s="17"/>
      <c r="H376" s="17"/>
      <c r="I376" s="17"/>
    </row>
    <row r="377" spans="1:9">
      <c r="A377" s="16"/>
      <c r="B377" s="17"/>
      <c r="C377" s="17"/>
      <c r="D377" s="17"/>
      <c r="E377" s="17"/>
      <c r="F377" s="17"/>
      <c r="G377" s="17"/>
      <c r="H377" s="17"/>
      <c r="I377" s="17"/>
    </row>
    <row r="378" spans="1:9">
      <c r="A378" s="16"/>
      <c r="B378" s="17"/>
      <c r="C378" s="17"/>
      <c r="D378" s="17"/>
      <c r="E378" s="17"/>
      <c r="F378" s="17"/>
      <c r="G378" s="17"/>
      <c r="H378" s="17"/>
      <c r="I378" s="17"/>
    </row>
    <row r="379" spans="1:9">
      <c r="A379" s="16"/>
      <c r="B379" s="17"/>
      <c r="C379" s="17"/>
      <c r="D379" s="17"/>
      <c r="E379" s="17"/>
      <c r="F379" s="17"/>
      <c r="G379" s="17"/>
      <c r="H379" s="17"/>
      <c r="I379" s="17"/>
    </row>
    <row r="380" spans="1:9">
      <c r="A380" s="16"/>
      <c r="B380" s="17"/>
      <c r="C380" s="17"/>
      <c r="D380" s="17"/>
      <c r="E380" s="17"/>
      <c r="F380" s="17"/>
      <c r="G380" s="17"/>
      <c r="H380" s="17"/>
      <c r="I380" s="17"/>
    </row>
    <row r="381" spans="1:9">
      <c r="A381" s="16"/>
      <c r="B381" s="17"/>
      <c r="C381" s="17"/>
      <c r="D381" s="17"/>
      <c r="E381" s="17"/>
      <c r="F381" s="17"/>
      <c r="G381" s="17"/>
      <c r="H381" s="17"/>
      <c r="I381" s="17"/>
    </row>
    <row r="382" spans="1:9">
      <c r="A382" s="16"/>
      <c r="B382" s="17"/>
      <c r="C382" s="17"/>
      <c r="D382" s="17"/>
      <c r="E382" s="17"/>
      <c r="F382" s="17"/>
      <c r="G382" s="17"/>
      <c r="H382" s="17"/>
      <c r="I382" s="17"/>
    </row>
    <row r="383" spans="1:9">
      <c r="A383" s="16"/>
      <c r="B383" s="17"/>
      <c r="C383" s="17"/>
      <c r="D383" s="17"/>
      <c r="E383" s="17"/>
      <c r="F383" s="17"/>
      <c r="G383" s="17"/>
      <c r="H383" s="17"/>
      <c r="I383" s="17"/>
    </row>
    <row r="384" spans="1:9">
      <c r="A384" s="16"/>
      <c r="B384" s="17"/>
      <c r="C384" s="17"/>
      <c r="D384" s="17"/>
      <c r="E384" s="17"/>
      <c r="F384" s="17"/>
      <c r="G384" s="17"/>
      <c r="H384" s="17"/>
      <c r="I384" s="17"/>
    </row>
    <row r="385" spans="1:9">
      <c r="A385" s="16"/>
      <c r="B385" s="17"/>
      <c r="C385" s="17"/>
      <c r="D385" s="17"/>
      <c r="E385" s="17"/>
      <c r="F385" s="17"/>
      <c r="G385" s="17"/>
      <c r="H385" s="17"/>
      <c r="I385" s="17"/>
    </row>
    <row r="386" spans="1:9">
      <c r="A386" s="16"/>
      <c r="B386" s="17"/>
      <c r="C386" s="17"/>
      <c r="D386" s="17"/>
      <c r="E386" s="17"/>
      <c r="F386" s="17"/>
      <c r="G386" s="17"/>
      <c r="H386" s="17"/>
      <c r="I386" s="17"/>
    </row>
    <row r="387" spans="1:9">
      <c r="A387" s="16"/>
      <c r="B387" s="17"/>
      <c r="C387" s="17"/>
      <c r="D387" s="17"/>
      <c r="E387" s="17"/>
      <c r="F387" s="17"/>
      <c r="G387" s="17"/>
      <c r="H387" s="17"/>
      <c r="I387" s="17"/>
    </row>
    <row r="388" spans="1:9">
      <c r="A388" s="16"/>
      <c r="B388" s="17"/>
      <c r="C388" s="17"/>
      <c r="D388" s="17"/>
      <c r="E388" s="17"/>
      <c r="F388" s="17"/>
      <c r="G388" s="17"/>
      <c r="H388" s="17"/>
      <c r="I388" s="17"/>
    </row>
    <row r="389" spans="1:9">
      <c r="A389" s="16"/>
      <c r="B389" s="17"/>
      <c r="C389" s="17"/>
      <c r="D389" s="17"/>
      <c r="E389" s="17"/>
      <c r="F389" s="17"/>
      <c r="G389" s="17"/>
      <c r="H389" s="17"/>
      <c r="I389" s="17"/>
    </row>
    <row r="390" spans="1:9">
      <c r="A390" s="16"/>
      <c r="B390" s="17"/>
      <c r="C390" s="17"/>
      <c r="D390" s="17"/>
      <c r="E390" s="17"/>
      <c r="F390" s="17"/>
      <c r="G390" s="17"/>
      <c r="H390" s="17"/>
      <c r="I390" s="17"/>
    </row>
    <row r="391" spans="1:9">
      <c r="A391" s="16"/>
      <c r="B391" s="17"/>
      <c r="C391" s="17"/>
      <c r="D391" s="17"/>
      <c r="E391" s="17"/>
      <c r="F391" s="17"/>
      <c r="G391" s="17"/>
      <c r="H391" s="17"/>
      <c r="I391" s="17"/>
    </row>
    <row r="392" spans="1:9">
      <c r="A392" s="16"/>
      <c r="B392" s="17"/>
      <c r="C392" s="17"/>
      <c r="D392" s="17"/>
      <c r="E392" s="17"/>
      <c r="F392" s="17"/>
      <c r="G392" s="17"/>
      <c r="H392" s="17"/>
      <c r="I392" s="17"/>
    </row>
    <row r="393" spans="1:9">
      <c r="A393" s="16"/>
      <c r="B393" s="17"/>
      <c r="C393" s="17"/>
      <c r="D393" s="17"/>
      <c r="E393" s="17"/>
      <c r="F393" s="17"/>
      <c r="G393" s="17"/>
      <c r="H393" s="17"/>
      <c r="I393" s="17"/>
    </row>
    <row r="394" spans="1:9">
      <c r="A394" s="16"/>
      <c r="B394" s="17"/>
      <c r="C394" s="17"/>
      <c r="D394" s="17"/>
      <c r="E394" s="17"/>
      <c r="F394" s="17"/>
      <c r="G394" s="17"/>
      <c r="H394" s="17"/>
      <c r="I394" s="17"/>
    </row>
    <row r="395" spans="1:9">
      <c r="A395" s="16"/>
      <c r="B395" s="17"/>
      <c r="C395" s="17"/>
      <c r="D395" s="17"/>
      <c r="E395" s="17"/>
      <c r="F395" s="17"/>
      <c r="G395" s="17"/>
      <c r="H395" s="17"/>
      <c r="I395" s="17"/>
    </row>
    <row r="396" spans="1:9">
      <c r="A396" s="16"/>
      <c r="B396" s="17"/>
      <c r="C396" s="17"/>
      <c r="D396" s="17"/>
      <c r="E396" s="17"/>
      <c r="F396" s="17"/>
      <c r="G396" s="17"/>
      <c r="H396" s="17"/>
      <c r="I396" s="17"/>
    </row>
    <row r="397" spans="1:9">
      <c r="A397" s="16"/>
      <c r="B397" s="17"/>
      <c r="C397" s="17"/>
      <c r="D397" s="17"/>
      <c r="E397" s="17"/>
      <c r="F397" s="17"/>
      <c r="G397" s="17"/>
      <c r="H397" s="17"/>
      <c r="I397" s="17"/>
    </row>
    <row r="398" spans="1:9">
      <c r="A398" s="16"/>
      <c r="B398" s="17"/>
      <c r="C398" s="17"/>
      <c r="D398" s="17"/>
      <c r="E398" s="17"/>
      <c r="F398" s="17"/>
      <c r="G398" s="17"/>
      <c r="H398" s="17"/>
      <c r="I398" s="17"/>
    </row>
    <row r="399" spans="1:9">
      <c r="A399" s="16"/>
      <c r="B399" s="17"/>
      <c r="C399" s="17"/>
      <c r="D399" s="17"/>
      <c r="E399" s="17"/>
      <c r="F399" s="17"/>
      <c r="G399" s="17"/>
      <c r="H399" s="17"/>
      <c r="I399" s="17"/>
    </row>
    <row r="400" spans="1:9">
      <c r="A400" s="16"/>
      <c r="B400" s="17"/>
      <c r="C400" s="17"/>
      <c r="D400" s="17"/>
      <c r="E400" s="17"/>
      <c r="F400" s="17"/>
      <c r="G400" s="17"/>
      <c r="H400" s="17"/>
      <c r="I400" s="17"/>
    </row>
    <row r="401" spans="1:9">
      <c r="A401" s="16"/>
      <c r="B401" s="17"/>
      <c r="C401" s="17"/>
      <c r="D401" s="17"/>
      <c r="E401" s="17"/>
      <c r="F401" s="17"/>
      <c r="G401" s="17"/>
      <c r="H401" s="17"/>
      <c r="I401" s="17"/>
    </row>
    <row r="402" spans="1:9">
      <c r="A402" s="16"/>
      <c r="B402" s="17"/>
      <c r="C402" s="17"/>
      <c r="D402" s="17"/>
      <c r="E402" s="17"/>
      <c r="F402" s="17"/>
      <c r="G402" s="17"/>
      <c r="H402" s="17"/>
      <c r="I402" s="17"/>
    </row>
    <row r="403" spans="1:9">
      <c r="A403" s="16"/>
      <c r="B403" s="17"/>
      <c r="C403" s="17"/>
      <c r="D403" s="17"/>
      <c r="E403" s="17"/>
      <c r="F403" s="17"/>
      <c r="G403" s="17"/>
      <c r="H403" s="17"/>
      <c r="I403" s="17"/>
    </row>
    <row r="404" spans="1:9">
      <c r="A404" s="16"/>
      <c r="B404" s="17"/>
      <c r="C404" s="17"/>
      <c r="D404" s="17"/>
      <c r="E404" s="17"/>
      <c r="F404" s="17"/>
      <c r="G404" s="17"/>
      <c r="H404" s="17"/>
      <c r="I404" s="17"/>
    </row>
    <row r="405" spans="1:9">
      <c r="A405" s="16"/>
      <c r="B405" s="17"/>
      <c r="C405" s="17"/>
      <c r="D405" s="17"/>
      <c r="E405" s="17"/>
      <c r="F405" s="17"/>
      <c r="G405" s="17"/>
      <c r="H405" s="17"/>
      <c r="I405" s="17"/>
    </row>
    <row r="406" spans="1:9">
      <c r="A406" s="16"/>
      <c r="B406" s="17"/>
      <c r="C406" s="17"/>
      <c r="D406" s="17"/>
      <c r="E406" s="17"/>
      <c r="F406" s="17"/>
      <c r="G406" s="17"/>
      <c r="H406" s="17"/>
      <c r="I406" s="17"/>
    </row>
    <row r="407" spans="1:9">
      <c r="A407" s="16"/>
      <c r="B407" s="17"/>
      <c r="C407" s="17"/>
      <c r="D407" s="17"/>
      <c r="E407" s="17"/>
      <c r="F407" s="17"/>
      <c r="G407" s="17"/>
      <c r="H407" s="17"/>
      <c r="I407" s="17"/>
    </row>
    <row r="408" spans="1:9">
      <c r="A408" s="16"/>
      <c r="B408" s="17"/>
      <c r="C408" s="17"/>
      <c r="D408" s="17"/>
      <c r="E408" s="17"/>
      <c r="F408" s="17"/>
      <c r="G408" s="17"/>
      <c r="H408" s="17"/>
      <c r="I408" s="17"/>
    </row>
    <row r="409" spans="1:9">
      <c r="A409" s="16"/>
      <c r="B409" s="17"/>
      <c r="C409" s="17"/>
      <c r="D409" s="17"/>
      <c r="E409" s="17"/>
      <c r="F409" s="17"/>
      <c r="G409" s="17"/>
      <c r="H409" s="17"/>
      <c r="I409" s="17"/>
    </row>
    <row r="410" spans="1:9">
      <c r="A410" s="16"/>
      <c r="B410" s="17"/>
      <c r="C410" s="17"/>
      <c r="D410" s="17"/>
      <c r="E410" s="17"/>
      <c r="F410" s="17"/>
      <c r="G410" s="17"/>
      <c r="H410" s="17"/>
      <c r="I410" s="17"/>
    </row>
    <row r="411" spans="1:9">
      <c r="A411" s="16"/>
      <c r="B411" s="17"/>
      <c r="C411" s="17"/>
      <c r="D411" s="17"/>
      <c r="E411" s="17"/>
      <c r="F411" s="17"/>
      <c r="G411" s="17"/>
      <c r="H411" s="17"/>
      <c r="I411" s="17"/>
    </row>
    <row r="412" spans="1:9">
      <c r="A412" s="16"/>
      <c r="B412" s="17"/>
      <c r="C412" s="17"/>
      <c r="D412" s="17"/>
      <c r="E412" s="17"/>
      <c r="F412" s="17"/>
      <c r="G412" s="17"/>
      <c r="H412" s="17"/>
      <c r="I412" s="17"/>
    </row>
    <row r="413" spans="1:9">
      <c r="A413" s="16"/>
      <c r="B413" s="17"/>
      <c r="C413" s="17"/>
      <c r="D413" s="17"/>
      <c r="E413" s="17"/>
      <c r="F413" s="17"/>
      <c r="G413" s="17"/>
      <c r="H413" s="17"/>
      <c r="I413" s="17"/>
    </row>
    <row r="414" spans="1:9">
      <c r="A414" s="16"/>
      <c r="B414" s="17"/>
      <c r="C414" s="17"/>
      <c r="D414" s="17"/>
      <c r="E414" s="17"/>
      <c r="F414" s="17"/>
      <c r="G414" s="17"/>
      <c r="H414" s="17"/>
      <c r="I414" s="17"/>
    </row>
    <row r="415" spans="1:9">
      <c r="A415" s="16"/>
      <c r="B415" s="17"/>
      <c r="C415" s="17"/>
      <c r="D415" s="17"/>
      <c r="E415" s="17"/>
      <c r="F415" s="17"/>
      <c r="G415" s="17"/>
      <c r="H415" s="17"/>
      <c r="I415" s="17"/>
    </row>
    <row r="416" spans="1:9">
      <c r="A416" s="16"/>
      <c r="B416" s="17"/>
      <c r="C416" s="17"/>
      <c r="D416" s="17"/>
      <c r="E416" s="17"/>
      <c r="F416" s="17"/>
      <c r="G416" s="17"/>
      <c r="H416" s="17"/>
      <c r="I416" s="17"/>
    </row>
    <row r="417" spans="1:9">
      <c r="A417" s="16"/>
      <c r="B417" s="17"/>
      <c r="C417" s="17"/>
      <c r="D417" s="17"/>
      <c r="E417" s="17"/>
      <c r="F417" s="17"/>
      <c r="G417" s="17"/>
      <c r="H417" s="17"/>
      <c r="I417" s="17"/>
    </row>
    <row r="418" spans="1:9">
      <c r="A418" s="16"/>
      <c r="B418" s="17"/>
      <c r="C418" s="17"/>
      <c r="D418" s="17"/>
      <c r="E418" s="17"/>
      <c r="F418" s="17"/>
      <c r="G418" s="17"/>
      <c r="H418" s="17"/>
      <c r="I418" s="17"/>
    </row>
    <row r="419" spans="1:9">
      <c r="A419" s="16"/>
      <c r="B419" s="17"/>
      <c r="C419" s="17"/>
      <c r="D419" s="17"/>
      <c r="E419" s="17"/>
      <c r="F419" s="17"/>
      <c r="G419" s="17"/>
      <c r="H419" s="17"/>
      <c r="I419" s="17"/>
    </row>
    <row r="420" spans="1:9">
      <c r="A420" s="16"/>
      <c r="B420" s="17"/>
      <c r="C420" s="17"/>
      <c r="D420" s="17"/>
      <c r="E420" s="17"/>
      <c r="F420" s="17"/>
      <c r="G420" s="17"/>
      <c r="H420" s="17"/>
      <c r="I420" s="17"/>
    </row>
    <row r="421" spans="1:9">
      <c r="A421" s="16"/>
      <c r="B421" s="17"/>
      <c r="C421" s="17"/>
      <c r="D421" s="17"/>
      <c r="E421" s="17"/>
      <c r="F421" s="17"/>
      <c r="G421" s="17"/>
      <c r="H421" s="17"/>
      <c r="I421" s="17"/>
    </row>
    <row r="422" spans="1:9">
      <c r="A422" s="16"/>
      <c r="B422" s="17"/>
      <c r="C422" s="17"/>
      <c r="D422" s="17"/>
      <c r="E422" s="17"/>
      <c r="F422" s="17"/>
      <c r="G422" s="17"/>
      <c r="H422" s="17"/>
      <c r="I422" s="17"/>
    </row>
    <row r="423" spans="1:9">
      <c r="A423" s="16"/>
      <c r="B423" s="17"/>
      <c r="C423" s="17"/>
      <c r="D423" s="17"/>
      <c r="E423" s="17"/>
      <c r="F423" s="17"/>
      <c r="G423" s="17"/>
      <c r="H423" s="17"/>
      <c r="I423" s="17"/>
    </row>
    <row r="424" spans="1:9">
      <c r="A424" s="16"/>
      <c r="B424" s="17"/>
      <c r="C424" s="17"/>
      <c r="D424" s="17"/>
      <c r="E424" s="17"/>
      <c r="F424" s="17"/>
      <c r="G424" s="17"/>
      <c r="H424" s="17"/>
      <c r="I424" s="17"/>
    </row>
    <row r="425" spans="1:9">
      <c r="A425" s="16"/>
      <c r="B425" s="17"/>
      <c r="C425" s="17"/>
      <c r="D425" s="17"/>
      <c r="E425" s="17"/>
      <c r="F425" s="17"/>
      <c r="G425" s="17"/>
      <c r="H425" s="17"/>
      <c r="I425" s="17"/>
    </row>
    <row r="426" spans="1:9">
      <c r="A426" s="16"/>
      <c r="B426" s="17"/>
      <c r="C426" s="17"/>
      <c r="D426" s="17"/>
      <c r="E426" s="17"/>
      <c r="F426" s="17"/>
      <c r="G426" s="17"/>
      <c r="H426" s="17"/>
      <c r="I426" s="17"/>
    </row>
    <row r="427" spans="1:9">
      <c r="A427" s="16"/>
      <c r="B427" s="17"/>
      <c r="C427" s="17"/>
      <c r="D427" s="17"/>
      <c r="E427" s="17"/>
      <c r="F427" s="17"/>
      <c r="G427" s="17"/>
      <c r="H427" s="17"/>
      <c r="I427" s="17"/>
    </row>
    <row r="428" spans="1:9">
      <c r="A428" s="16"/>
      <c r="B428" s="17"/>
      <c r="C428" s="17"/>
      <c r="D428" s="17"/>
      <c r="E428" s="17"/>
      <c r="F428" s="17"/>
      <c r="G428" s="17"/>
      <c r="H428" s="17"/>
      <c r="I428" s="17"/>
    </row>
    <row r="429" spans="1:9">
      <c r="A429" s="16"/>
      <c r="B429" s="17"/>
      <c r="C429" s="17"/>
      <c r="D429" s="17"/>
      <c r="E429" s="17"/>
      <c r="F429" s="17"/>
      <c r="G429" s="17"/>
      <c r="H429" s="17"/>
      <c r="I429" s="17"/>
    </row>
    <row r="430" spans="1:9">
      <c r="A430" s="16"/>
      <c r="B430" s="17"/>
      <c r="C430" s="17"/>
      <c r="D430" s="17"/>
      <c r="E430" s="17"/>
      <c r="F430" s="17"/>
      <c r="G430" s="17"/>
      <c r="H430" s="17"/>
      <c r="I430" s="17"/>
    </row>
    <row r="431" spans="1:9">
      <c r="A431" s="16"/>
      <c r="B431" s="17"/>
      <c r="C431" s="17"/>
      <c r="D431" s="17"/>
      <c r="E431" s="17"/>
      <c r="F431" s="17"/>
      <c r="G431" s="17"/>
      <c r="H431" s="17"/>
      <c r="I431" s="17"/>
    </row>
    <row r="432" spans="1:9">
      <c r="A432" s="16"/>
      <c r="B432" s="17"/>
      <c r="C432" s="17"/>
      <c r="D432" s="17"/>
      <c r="E432" s="17"/>
      <c r="F432" s="17"/>
      <c r="G432" s="17"/>
      <c r="H432" s="17"/>
      <c r="I432" s="17"/>
    </row>
    <row r="433" spans="1:9">
      <c r="A433" s="16"/>
      <c r="B433" s="17"/>
      <c r="C433" s="17"/>
      <c r="D433" s="17"/>
      <c r="E433" s="17"/>
      <c r="F433" s="17"/>
      <c r="G433" s="17"/>
      <c r="H433" s="17"/>
      <c r="I433" s="17"/>
    </row>
    <row r="434" spans="1:9">
      <c r="A434" s="16"/>
      <c r="B434" s="17"/>
      <c r="C434" s="17"/>
      <c r="D434" s="17"/>
      <c r="E434" s="17"/>
      <c r="F434" s="17"/>
      <c r="G434" s="17"/>
      <c r="H434" s="17"/>
      <c r="I434" s="17"/>
    </row>
    <row r="435" spans="1:9">
      <c r="A435" s="16"/>
      <c r="B435" s="17"/>
      <c r="C435" s="17"/>
      <c r="D435" s="17"/>
      <c r="E435" s="17"/>
      <c r="F435" s="17"/>
      <c r="G435" s="17"/>
      <c r="H435" s="17"/>
      <c r="I435" s="17"/>
    </row>
    <row r="436" spans="1:9">
      <c r="A436" s="16"/>
      <c r="B436" s="17"/>
      <c r="C436" s="17"/>
      <c r="D436" s="17"/>
      <c r="E436" s="17"/>
      <c r="F436" s="17"/>
      <c r="G436" s="17"/>
      <c r="H436" s="17"/>
      <c r="I436" s="17"/>
    </row>
    <row r="437" spans="1:9">
      <c r="A437" s="16"/>
      <c r="B437" s="17"/>
      <c r="C437" s="17"/>
      <c r="D437" s="17"/>
      <c r="E437" s="17"/>
      <c r="F437" s="17"/>
      <c r="G437" s="17"/>
      <c r="H437" s="17"/>
      <c r="I437" s="17"/>
    </row>
    <row r="438" spans="1:9">
      <c r="A438" s="16"/>
      <c r="B438" s="17"/>
      <c r="C438" s="17"/>
      <c r="D438" s="17"/>
      <c r="E438" s="17"/>
      <c r="F438" s="17"/>
      <c r="G438" s="17"/>
      <c r="H438" s="17"/>
      <c r="I438" s="17"/>
    </row>
    <row r="439" spans="1:9">
      <c r="A439" s="16"/>
      <c r="B439" s="17"/>
      <c r="C439" s="17"/>
      <c r="D439" s="17"/>
      <c r="E439" s="17"/>
      <c r="F439" s="17"/>
      <c r="G439" s="17"/>
      <c r="H439" s="17"/>
      <c r="I439" s="17"/>
    </row>
    <row r="440" spans="1:9">
      <c r="A440" s="16"/>
      <c r="B440" s="17"/>
      <c r="C440" s="17"/>
      <c r="D440" s="17"/>
      <c r="E440" s="17"/>
      <c r="F440" s="17"/>
      <c r="G440" s="17"/>
      <c r="H440" s="17"/>
      <c r="I440" s="17"/>
    </row>
    <row r="441" spans="1:9">
      <c r="A441" s="16"/>
      <c r="B441" s="17"/>
      <c r="C441" s="17"/>
      <c r="D441" s="17"/>
      <c r="E441" s="17"/>
      <c r="F441" s="17"/>
      <c r="G441" s="17"/>
      <c r="H441" s="17"/>
      <c r="I441" s="17"/>
    </row>
    <row r="442" spans="1:9">
      <c r="A442" s="16"/>
      <c r="B442" s="17"/>
      <c r="C442" s="17"/>
      <c r="D442" s="17"/>
      <c r="E442" s="17"/>
      <c r="F442" s="17"/>
      <c r="G442" s="17"/>
      <c r="H442" s="17"/>
      <c r="I442" s="17"/>
    </row>
    <row r="443" spans="1:9">
      <c r="A443" s="16"/>
      <c r="B443" s="17"/>
      <c r="C443" s="17"/>
      <c r="D443" s="17"/>
      <c r="E443" s="17"/>
      <c r="F443" s="17"/>
      <c r="G443" s="17"/>
      <c r="H443" s="17"/>
      <c r="I443" s="17"/>
    </row>
    <row r="444" spans="1:9">
      <c r="A444" s="16"/>
      <c r="B444" s="17"/>
      <c r="C444" s="17"/>
      <c r="D444" s="17"/>
      <c r="E444" s="17"/>
      <c r="F444" s="17"/>
      <c r="G444" s="17"/>
      <c r="H444" s="17"/>
      <c r="I444" s="17"/>
    </row>
    <row r="445" spans="1:9">
      <c r="A445" s="16"/>
      <c r="B445" s="17"/>
      <c r="C445" s="17"/>
      <c r="D445" s="17"/>
      <c r="E445" s="17"/>
      <c r="F445" s="17"/>
      <c r="G445" s="17"/>
      <c r="H445" s="17"/>
      <c r="I445" s="17"/>
    </row>
    <row r="446" spans="1:9">
      <c r="A446" s="16"/>
      <c r="B446" s="17"/>
      <c r="C446" s="17"/>
      <c r="D446" s="17"/>
      <c r="E446" s="17"/>
      <c r="F446" s="17"/>
      <c r="G446" s="17"/>
      <c r="H446" s="17"/>
      <c r="I446" s="17"/>
    </row>
    <row r="447" spans="1:9">
      <c r="A447" s="16"/>
      <c r="B447" s="17"/>
      <c r="C447" s="17"/>
      <c r="D447" s="17"/>
      <c r="E447" s="17"/>
      <c r="F447" s="17"/>
      <c r="G447" s="17"/>
      <c r="H447" s="17"/>
      <c r="I447" s="17"/>
    </row>
    <row r="448" spans="1:9">
      <c r="A448" s="16"/>
      <c r="B448" s="17"/>
      <c r="C448" s="17"/>
      <c r="D448" s="17"/>
      <c r="E448" s="17"/>
      <c r="F448" s="17"/>
      <c r="G448" s="17"/>
      <c r="H448" s="17"/>
      <c r="I448" s="17"/>
    </row>
    <row r="449" spans="1:9">
      <c r="A449" s="16"/>
      <c r="B449" s="17"/>
      <c r="C449" s="17"/>
      <c r="D449" s="17"/>
      <c r="E449" s="17"/>
      <c r="F449" s="17"/>
      <c r="G449" s="17"/>
      <c r="H449" s="17"/>
      <c r="I449" s="17"/>
    </row>
    <row r="450" spans="1:9">
      <c r="A450" s="16"/>
      <c r="B450" s="17"/>
      <c r="C450" s="17"/>
      <c r="D450" s="17"/>
      <c r="E450" s="17"/>
      <c r="F450" s="17"/>
      <c r="G450" s="17"/>
      <c r="H450" s="17"/>
      <c r="I450" s="17"/>
    </row>
    <row r="451" spans="1:9">
      <c r="A451" s="16"/>
      <c r="B451" s="17"/>
      <c r="C451" s="17"/>
      <c r="D451" s="17"/>
      <c r="E451" s="17"/>
      <c r="F451" s="17"/>
      <c r="G451" s="17"/>
      <c r="H451" s="17"/>
      <c r="I451" s="17"/>
    </row>
    <row r="452" spans="1:9">
      <c r="A452" s="16"/>
      <c r="B452" s="17"/>
      <c r="C452" s="17"/>
      <c r="D452" s="17"/>
      <c r="E452" s="17"/>
      <c r="F452" s="17"/>
      <c r="G452" s="17"/>
      <c r="H452" s="17"/>
      <c r="I452" s="17"/>
    </row>
    <row r="453" spans="1:9">
      <c r="A453" s="16"/>
      <c r="B453" s="17"/>
      <c r="C453" s="17"/>
      <c r="D453" s="17"/>
      <c r="E453" s="17"/>
      <c r="F453" s="17"/>
      <c r="G453" s="17"/>
      <c r="H453" s="17"/>
      <c r="I453" s="17"/>
    </row>
    <row r="454" spans="1:9">
      <c r="A454" s="16"/>
      <c r="B454" s="17"/>
      <c r="C454" s="17"/>
      <c r="D454" s="17"/>
      <c r="E454" s="17"/>
      <c r="F454" s="17"/>
      <c r="G454" s="17"/>
      <c r="H454" s="17"/>
      <c r="I454" s="17"/>
    </row>
    <row r="455" spans="1:9">
      <c r="A455" s="16"/>
      <c r="B455" s="17"/>
      <c r="C455" s="17"/>
      <c r="D455" s="17"/>
      <c r="E455" s="17"/>
      <c r="F455" s="17"/>
      <c r="G455" s="17"/>
      <c r="H455" s="17"/>
      <c r="I455" s="17"/>
    </row>
    <row r="456" spans="1:9">
      <c r="A456" s="16"/>
      <c r="B456" s="17"/>
      <c r="C456" s="17"/>
      <c r="D456" s="17"/>
      <c r="E456" s="17"/>
      <c r="F456" s="17"/>
      <c r="G456" s="17"/>
      <c r="H456" s="17"/>
      <c r="I456" s="17"/>
    </row>
    <row r="457" spans="1:9">
      <c r="A457" s="16"/>
      <c r="B457" s="17"/>
      <c r="C457" s="17"/>
      <c r="D457" s="17"/>
      <c r="E457" s="17"/>
      <c r="F457" s="17"/>
      <c r="G457" s="17"/>
      <c r="H457" s="17"/>
      <c r="I457" s="17"/>
    </row>
    <row r="458" spans="1:9">
      <c r="A458" s="16"/>
      <c r="B458" s="17"/>
      <c r="C458" s="17"/>
      <c r="D458" s="17"/>
      <c r="E458" s="17"/>
      <c r="F458" s="17"/>
      <c r="G458" s="17"/>
      <c r="H458" s="17"/>
      <c r="I458" s="17"/>
    </row>
    <row r="459" spans="1:9">
      <c r="A459" s="16"/>
      <c r="B459" s="17"/>
      <c r="C459" s="17"/>
      <c r="D459" s="17"/>
      <c r="E459" s="17"/>
      <c r="F459" s="17"/>
      <c r="G459" s="17"/>
      <c r="H459" s="17"/>
      <c r="I459" s="17"/>
    </row>
    <row r="460" spans="1:9">
      <c r="A460" s="16"/>
      <c r="B460" s="17"/>
      <c r="C460" s="17"/>
      <c r="D460" s="17"/>
      <c r="E460" s="17"/>
      <c r="F460" s="17"/>
      <c r="G460" s="17"/>
      <c r="H460" s="17"/>
      <c r="I460" s="17"/>
    </row>
    <row r="461" spans="1:9">
      <c r="A461" s="16"/>
      <c r="B461" s="17"/>
      <c r="C461" s="17"/>
      <c r="D461" s="17"/>
      <c r="E461" s="17"/>
      <c r="F461" s="17"/>
      <c r="G461" s="17"/>
      <c r="H461" s="17"/>
      <c r="I461" s="17"/>
    </row>
    <row r="462" spans="1:9">
      <c r="A462" s="16"/>
      <c r="B462" s="17"/>
      <c r="C462" s="17"/>
      <c r="D462" s="17"/>
      <c r="E462" s="17"/>
      <c r="F462" s="17"/>
      <c r="G462" s="17"/>
      <c r="H462" s="17"/>
      <c r="I462" s="17"/>
    </row>
    <row r="463" spans="1:9">
      <c r="A463" s="16"/>
      <c r="B463" s="17"/>
      <c r="C463" s="17"/>
      <c r="D463" s="17"/>
      <c r="E463" s="17"/>
      <c r="F463" s="17"/>
      <c r="G463" s="17"/>
      <c r="H463" s="17"/>
      <c r="I463" s="17"/>
    </row>
    <row r="464" spans="1:9">
      <c r="A464" s="16"/>
      <c r="B464" s="17"/>
      <c r="C464" s="17"/>
      <c r="D464" s="17"/>
      <c r="E464" s="17"/>
      <c r="F464" s="17"/>
      <c r="G464" s="17"/>
      <c r="H464" s="17"/>
      <c r="I464" s="17"/>
    </row>
    <row r="465" spans="1:9">
      <c r="A465" s="16"/>
      <c r="B465" s="17"/>
      <c r="C465" s="17"/>
      <c r="D465" s="17"/>
      <c r="E465" s="17"/>
      <c r="F465" s="17"/>
      <c r="G465" s="17"/>
      <c r="H465" s="17"/>
      <c r="I465" s="17"/>
    </row>
    <row r="466" spans="1:9">
      <c r="A466" s="16"/>
      <c r="B466" s="17"/>
      <c r="C466" s="17"/>
      <c r="D466" s="17"/>
      <c r="E466" s="17"/>
      <c r="F466" s="17"/>
      <c r="G466" s="17"/>
      <c r="H466" s="17"/>
      <c r="I466" s="17"/>
    </row>
    <row r="467" spans="1:9">
      <c r="A467" s="16"/>
      <c r="B467" s="17"/>
      <c r="C467" s="17"/>
      <c r="D467" s="17"/>
      <c r="E467" s="17"/>
      <c r="F467" s="17"/>
      <c r="G467" s="17"/>
      <c r="H467" s="17"/>
      <c r="I467" s="17"/>
    </row>
    <row r="468" spans="1:9">
      <c r="A468" s="16"/>
      <c r="B468" s="17"/>
      <c r="C468" s="17"/>
      <c r="D468" s="17"/>
      <c r="E468" s="17"/>
      <c r="F468" s="17"/>
      <c r="G468" s="17"/>
      <c r="H468" s="17"/>
      <c r="I468" s="17"/>
    </row>
    <row r="469" spans="1:9">
      <c r="A469" s="16"/>
      <c r="B469" s="17"/>
      <c r="C469" s="17"/>
      <c r="D469" s="17"/>
      <c r="E469" s="17"/>
      <c r="F469" s="17"/>
      <c r="G469" s="17"/>
      <c r="H469" s="17"/>
      <c r="I469" s="17"/>
    </row>
    <row r="470" spans="1:9">
      <c r="A470" s="16"/>
      <c r="B470" s="17"/>
      <c r="C470" s="17"/>
      <c r="D470" s="17"/>
      <c r="E470" s="17"/>
      <c r="F470" s="17"/>
      <c r="G470" s="17"/>
      <c r="H470" s="17"/>
      <c r="I470" s="17"/>
    </row>
    <row r="471" spans="1:9">
      <c r="A471" s="16"/>
      <c r="B471" s="17"/>
      <c r="C471" s="17"/>
      <c r="D471" s="17"/>
      <c r="E471" s="17"/>
      <c r="F471" s="17"/>
      <c r="G471" s="17"/>
      <c r="H471" s="17"/>
      <c r="I471" s="17"/>
    </row>
    <row r="472" spans="1:9">
      <c r="A472" s="16"/>
      <c r="B472" s="17"/>
      <c r="C472" s="17"/>
      <c r="D472" s="17"/>
      <c r="E472" s="17"/>
      <c r="F472" s="17"/>
      <c r="G472" s="17"/>
      <c r="H472" s="17"/>
      <c r="I472" s="17"/>
    </row>
    <row r="473" spans="1:9">
      <c r="A473" s="16"/>
      <c r="B473" s="17"/>
      <c r="C473" s="17"/>
      <c r="D473" s="17"/>
      <c r="E473" s="17"/>
      <c r="F473" s="17"/>
      <c r="G473" s="17"/>
      <c r="H473" s="17"/>
      <c r="I473" s="17"/>
    </row>
    <row r="474" spans="1:9">
      <c r="A474" s="16"/>
      <c r="B474" s="17"/>
      <c r="C474" s="17"/>
      <c r="D474" s="17"/>
      <c r="E474" s="17"/>
      <c r="F474" s="17"/>
      <c r="G474" s="17"/>
      <c r="H474" s="17"/>
      <c r="I474" s="17"/>
    </row>
    <row r="475" spans="1:9">
      <c r="A475" s="16"/>
      <c r="B475" s="17"/>
      <c r="C475" s="17"/>
      <c r="D475" s="17"/>
      <c r="E475" s="17"/>
      <c r="F475" s="17"/>
      <c r="G475" s="17"/>
      <c r="H475" s="17"/>
      <c r="I475" s="17"/>
    </row>
    <row r="476" spans="1:9">
      <c r="A476" s="16"/>
      <c r="B476" s="17"/>
      <c r="C476" s="17"/>
      <c r="D476" s="17"/>
      <c r="E476" s="17"/>
      <c r="F476" s="17"/>
      <c r="G476" s="17"/>
      <c r="H476" s="17"/>
      <c r="I476" s="17"/>
    </row>
    <row r="477" spans="1:9">
      <c r="A477" s="16"/>
      <c r="B477" s="17"/>
      <c r="C477" s="17"/>
      <c r="D477" s="17"/>
      <c r="E477" s="17"/>
      <c r="F477" s="17"/>
      <c r="G477" s="17"/>
      <c r="H477" s="17"/>
      <c r="I477" s="17"/>
    </row>
    <row r="478" spans="1:9">
      <c r="A478" s="16"/>
      <c r="B478" s="17"/>
      <c r="C478" s="17"/>
      <c r="D478" s="17"/>
      <c r="E478" s="17"/>
      <c r="F478" s="17"/>
      <c r="G478" s="17"/>
      <c r="H478" s="17"/>
      <c r="I478" s="17"/>
    </row>
    <row r="479" spans="1:9">
      <c r="A479" s="16"/>
      <c r="B479" s="17"/>
      <c r="C479" s="17"/>
      <c r="D479" s="17"/>
      <c r="E479" s="17"/>
      <c r="F479" s="17"/>
      <c r="G479" s="17"/>
      <c r="H479" s="17"/>
      <c r="I479" s="17"/>
    </row>
    <row r="480" spans="1:9">
      <c r="A480" s="16"/>
      <c r="B480" s="17"/>
      <c r="C480" s="17"/>
      <c r="D480" s="17"/>
      <c r="E480" s="17"/>
      <c r="F480" s="17"/>
      <c r="G480" s="17"/>
      <c r="H480" s="17"/>
      <c r="I480" s="17"/>
    </row>
    <row r="481" spans="1:9">
      <c r="A481" s="16"/>
      <c r="B481" s="17"/>
      <c r="C481" s="17"/>
      <c r="D481" s="17"/>
      <c r="E481" s="17"/>
      <c r="F481" s="17"/>
      <c r="G481" s="17"/>
      <c r="H481" s="17"/>
      <c r="I481" s="17"/>
    </row>
    <row r="482" spans="1:9">
      <c r="A482" s="16"/>
      <c r="B482" s="17"/>
      <c r="C482" s="17"/>
      <c r="D482" s="17"/>
      <c r="E482" s="17"/>
      <c r="F482" s="17"/>
      <c r="G482" s="17"/>
      <c r="H482" s="17"/>
      <c r="I482" s="17"/>
    </row>
    <row r="483" spans="1:9">
      <c r="A483" s="16"/>
      <c r="B483" s="17"/>
      <c r="C483" s="17"/>
      <c r="D483" s="17"/>
      <c r="E483" s="17"/>
      <c r="F483" s="17"/>
      <c r="G483" s="17"/>
      <c r="H483" s="17"/>
      <c r="I483" s="17"/>
    </row>
    <row r="484" spans="1:9">
      <c r="A484" s="16"/>
      <c r="B484" s="17"/>
      <c r="C484" s="17"/>
      <c r="D484" s="17"/>
      <c r="E484" s="17"/>
      <c r="F484" s="17"/>
      <c r="G484" s="17"/>
      <c r="H484" s="17"/>
      <c r="I484" s="17"/>
    </row>
    <row r="485" spans="1:9">
      <c r="A485" s="16"/>
      <c r="B485" s="17"/>
      <c r="C485" s="17"/>
      <c r="D485" s="17"/>
      <c r="E485" s="17"/>
      <c r="F485" s="17"/>
      <c r="G485" s="17"/>
      <c r="H485" s="17"/>
      <c r="I485" s="17"/>
    </row>
    <row r="486" spans="1:9">
      <c r="A486" s="16"/>
      <c r="B486" s="17"/>
      <c r="C486" s="17"/>
      <c r="D486" s="17"/>
      <c r="E486" s="17"/>
      <c r="F486" s="17"/>
      <c r="G486" s="17"/>
      <c r="H486" s="17"/>
      <c r="I486" s="17"/>
    </row>
    <row r="487" spans="1:9">
      <c r="A487" s="16"/>
      <c r="B487" s="17"/>
      <c r="C487" s="17"/>
      <c r="D487" s="17"/>
      <c r="E487" s="17"/>
      <c r="F487" s="17"/>
      <c r="G487" s="17"/>
      <c r="H487" s="17"/>
      <c r="I487" s="17"/>
    </row>
    <row r="488" spans="1:9">
      <c r="A488" s="16"/>
      <c r="B488" s="17"/>
      <c r="C488" s="17"/>
      <c r="D488" s="17"/>
      <c r="E488" s="17"/>
      <c r="F488" s="17"/>
      <c r="G488" s="17"/>
      <c r="H488" s="17"/>
      <c r="I488" s="17"/>
    </row>
    <row r="489" spans="1:9">
      <c r="A489" s="16"/>
      <c r="B489" s="17"/>
      <c r="C489" s="17"/>
      <c r="D489" s="17"/>
      <c r="E489" s="17"/>
      <c r="F489" s="17"/>
      <c r="G489" s="17"/>
      <c r="H489" s="17"/>
      <c r="I489" s="17"/>
    </row>
    <row r="490" spans="1:9">
      <c r="A490" s="16"/>
      <c r="B490" s="17"/>
      <c r="C490" s="17"/>
      <c r="D490" s="17"/>
      <c r="E490" s="17"/>
      <c r="F490" s="17"/>
      <c r="G490" s="17"/>
      <c r="H490" s="17"/>
      <c r="I490" s="17"/>
    </row>
    <row r="491" spans="1:9">
      <c r="A491" s="16"/>
      <c r="B491" s="17"/>
      <c r="C491" s="17"/>
      <c r="D491" s="17"/>
      <c r="E491" s="17"/>
      <c r="F491" s="17"/>
      <c r="G491" s="17"/>
      <c r="H491" s="17"/>
      <c r="I491" s="17"/>
    </row>
    <row r="492" spans="1:9">
      <c r="A492" s="16"/>
      <c r="B492" s="17"/>
      <c r="C492" s="17"/>
      <c r="D492" s="17"/>
      <c r="E492" s="17"/>
      <c r="F492" s="17"/>
      <c r="G492" s="17"/>
      <c r="H492" s="17"/>
      <c r="I492" s="17"/>
    </row>
    <row r="493" spans="1:9">
      <c r="A493" s="16"/>
      <c r="B493" s="17"/>
      <c r="C493" s="17"/>
      <c r="D493" s="17"/>
      <c r="E493" s="17"/>
      <c r="F493" s="17"/>
      <c r="G493" s="17"/>
      <c r="H493" s="17"/>
      <c r="I493" s="17"/>
    </row>
    <row r="494" spans="1:9">
      <c r="A494" s="16"/>
      <c r="B494" s="17"/>
      <c r="C494" s="17"/>
      <c r="D494" s="17"/>
      <c r="E494" s="17"/>
      <c r="F494" s="17"/>
      <c r="G494" s="17"/>
      <c r="H494" s="17"/>
      <c r="I494" s="17"/>
    </row>
    <row r="495" spans="1:9">
      <c r="A495" s="16"/>
      <c r="B495" s="17"/>
      <c r="C495" s="17"/>
      <c r="D495" s="17"/>
      <c r="E495" s="17"/>
      <c r="F495" s="17"/>
      <c r="G495" s="17"/>
      <c r="H495" s="17"/>
      <c r="I495" s="17"/>
    </row>
    <row r="496" spans="1:9">
      <c r="A496" s="16"/>
      <c r="B496" s="17"/>
      <c r="C496" s="17"/>
      <c r="D496" s="17"/>
      <c r="E496" s="17"/>
      <c r="F496" s="17"/>
      <c r="G496" s="17"/>
      <c r="H496" s="17"/>
      <c r="I496" s="17"/>
    </row>
    <row r="497" spans="1:9">
      <c r="A497" s="16"/>
      <c r="B497" s="17"/>
      <c r="C497" s="17"/>
      <c r="D497" s="17"/>
      <c r="E497" s="17"/>
      <c r="F497" s="17"/>
      <c r="G497" s="17"/>
      <c r="H497" s="17"/>
      <c r="I497" s="17"/>
    </row>
    <row r="498" spans="1:9">
      <c r="A498" s="16"/>
      <c r="B498" s="17"/>
      <c r="C498" s="17"/>
      <c r="D498" s="17"/>
      <c r="E498" s="17"/>
      <c r="F498" s="17"/>
      <c r="G498" s="17"/>
      <c r="H498" s="17"/>
      <c r="I498" s="17"/>
    </row>
    <row r="499" spans="1:9">
      <c r="A499" s="16"/>
      <c r="B499" s="17"/>
      <c r="C499" s="17"/>
      <c r="D499" s="17"/>
      <c r="E499" s="17"/>
      <c r="F499" s="17"/>
      <c r="G499" s="17"/>
      <c r="H499" s="17"/>
      <c r="I499" s="17"/>
    </row>
    <row r="500" spans="1:9">
      <c r="A500" s="16"/>
      <c r="B500" s="17"/>
      <c r="C500" s="17"/>
      <c r="D500" s="17"/>
      <c r="E500" s="17"/>
      <c r="F500" s="17"/>
      <c r="G500" s="17"/>
      <c r="H500" s="17"/>
      <c r="I500" s="17"/>
    </row>
    <row r="501" spans="1:9">
      <c r="A501" s="16"/>
      <c r="B501" s="17"/>
      <c r="C501" s="17"/>
      <c r="D501" s="17"/>
      <c r="E501" s="17"/>
      <c r="F501" s="17"/>
      <c r="G501" s="17"/>
      <c r="H501" s="17"/>
      <c r="I501" s="17"/>
    </row>
    <row r="502" spans="1:9">
      <c r="A502" s="16"/>
      <c r="B502" s="17"/>
      <c r="C502" s="17"/>
      <c r="D502" s="17"/>
      <c r="E502" s="17"/>
      <c r="F502" s="17"/>
      <c r="G502" s="17"/>
      <c r="H502" s="17"/>
      <c r="I502" s="17"/>
    </row>
    <row r="503" spans="1:9">
      <c r="A503" s="16"/>
      <c r="B503" s="17"/>
      <c r="C503" s="17"/>
      <c r="D503" s="17"/>
      <c r="E503" s="17"/>
      <c r="F503" s="17"/>
      <c r="G503" s="17"/>
      <c r="H503" s="17"/>
      <c r="I503" s="17"/>
    </row>
    <row r="504" spans="1:9">
      <c r="A504" s="16"/>
      <c r="B504" s="17"/>
      <c r="C504" s="17"/>
      <c r="D504" s="17"/>
      <c r="E504" s="17"/>
      <c r="F504" s="17"/>
      <c r="G504" s="17"/>
      <c r="H504" s="17"/>
      <c r="I504" s="17"/>
    </row>
    <row r="505" spans="1:9">
      <c r="A505" s="16"/>
      <c r="B505" s="17"/>
      <c r="C505" s="17"/>
      <c r="D505" s="17"/>
      <c r="E505" s="17"/>
      <c r="F505" s="17"/>
      <c r="G505" s="17"/>
      <c r="H505" s="17"/>
      <c r="I505" s="17"/>
    </row>
    <row r="506" spans="1:9">
      <c r="A506" s="16"/>
      <c r="B506" s="17"/>
      <c r="C506" s="17"/>
      <c r="D506" s="17"/>
      <c r="E506" s="17"/>
      <c r="F506" s="17"/>
      <c r="G506" s="17"/>
      <c r="H506" s="17"/>
      <c r="I506" s="17"/>
    </row>
    <row r="507" spans="1:9">
      <c r="A507" s="16"/>
      <c r="B507" s="17"/>
      <c r="C507" s="17"/>
      <c r="D507" s="17"/>
      <c r="E507" s="17"/>
      <c r="F507" s="17"/>
      <c r="G507" s="17"/>
      <c r="H507" s="17"/>
      <c r="I507" s="17"/>
    </row>
    <row r="508" spans="1:9">
      <c r="A508" s="16"/>
      <c r="B508" s="17"/>
      <c r="C508" s="17"/>
      <c r="D508" s="17"/>
      <c r="E508" s="17"/>
      <c r="F508" s="17"/>
      <c r="G508" s="17"/>
      <c r="H508" s="17"/>
      <c r="I508" s="17"/>
    </row>
    <row r="509" spans="1:9">
      <c r="A509" s="16"/>
      <c r="B509" s="17"/>
      <c r="C509" s="17"/>
      <c r="D509" s="17"/>
      <c r="E509" s="17"/>
      <c r="F509" s="17"/>
      <c r="G509" s="17"/>
      <c r="H509" s="17"/>
      <c r="I509" s="17"/>
    </row>
    <row r="510" spans="1:9">
      <c r="A510" s="16"/>
      <c r="B510" s="17"/>
      <c r="C510" s="17"/>
      <c r="D510" s="17"/>
      <c r="E510" s="17"/>
      <c r="F510" s="17"/>
      <c r="G510" s="17"/>
      <c r="H510" s="17"/>
      <c r="I510" s="17"/>
    </row>
    <row r="511" spans="1:9">
      <c r="A511" s="16"/>
      <c r="B511" s="17"/>
      <c r="C511" s="17"/>
      <c r="D511" s="17"/>
      <c r="E511" s="17"/>
      <c r="F511" s="17"/>
      <c r="G511" s="17"/>
      <c r="H511" s="17"/>
      <c r="I511" s="17"/>
    </row>
    <row r="512" spans="1:9">
      <c r="A512" s="16"/>
      <c r="B512" s="17"/>
      <c r="C512" s="17"/>
      <c r="D512" s="17"/>
      <c r="E512" s="17"/>
      <c r="F512" s="17"/>
      <c r="G512" s="17"/>
      <c r="H512" s="17"/>
      <c r="I512" s="17"/>
    </row>
    <row r="513" spans="1:9">
      <c r="A513" s="16"/>
      <c r="B513" s="17"/>
      <c r="C513" s="17"/>
      <c r="D513" s="17"/>
      <c r="E513" s="17"/>
      <c r="F513" s="17"/>
      <c r="G513" s="17"/>
      <c r="H513" s="17"/>
      <c r="I513" s="17"/>
    </row>
    <row r="514" spans="1:9">
      <c r="A514" s="16"/>
      <c r="B514" s="17"/>
      <c r="C514" s="17"/>
      <c r="D514" s="17"/>
      <c r="E514" s="17"/>
      <c r="F514" s="17"/>
      <c r="G514" s="17"/>
      <c r="H514" s="17"/>
      <c r="I514" s="17"/>
    </row>
    <row r="515" spans="1:9">
      <c r="A515" s="16"/>
      <c r="B515" s="17"/>
      <c r="C515" s="17"/>
      <c r="D515" s="17"/>
      <c r="E515" s="17"/>
      <c r="F515" s="17"/>
      <c r="G515" s="17"/>
      <c r="H515" s="17"/>
      <c r="I515" s="17"/>
    </row>
    <row r="516" spans="1:9">
      <c r="A516" s="16"/>
      <c r="B516" s="17"/>
      <c r="C516" s="17"/>
      <c r="D516" s="17"/>
      <c r="E516" s="17"/>
      <c r="F516" s="17"/>
      <c r="G516" s="17"/>
      <c r="H516" s="17"/>
      <c r="I516" s="17"/>
    </row>
    <row r="517" spans="1:9">
      <c r="A517" s="16"/>
      <c r="B517" s="17"/>
      <c r="C517" s="17"/>
      <c r="D517" s="17"/>
      <c r="E517" s="17"/>
      <c r="F517" s="17"/>
      <c r="G517" s="17"/>
      <c r="H517" s="17"/>
      <c r="I517" s="17"/>
    </row>
    <row r="518" spans="1:9">
      <c r="A518" s="16"/>
      <c r="B518" s="17"/>
      <c r="C518" s="17"/>
      <c r="D518" s="17"/>
      <c r="E518" s="17"/>
      <c r="F518" s="17"/>
      <c r="G518" s="17"/>
      <c r="H518" s="17"/>
      <c r="I518" s="17"/>
    </row>
    <row r="519" spans="1:9">
      <c r="A519" s="16"/>
      <c r="B519" s="17"/>
      <c r="C519" s="17"/>
      <c r="D519" s="17"/>
      <c r="E519" s="17"/>
      <c r="F519" s="17"/>
      <c r="G519" s="17"/>
      <c r="H519" s="17"/>
      <c r="I519" s="17"/>
    </row>
    <row r="520" spans="1:9">
      <c r="A520" s="16"/>
      <c r="B520" s="17"/>
      <c r="C520" s="17"/>
      <c r="D520" s="17"/>
      <c r="E520" s="17"/>
      <c r="F520" s="17"/>
      <c r="G520" s="17"/>
      <c r="H520" s="17"/>
      <c r="I520" s="17"/>
    </row>
    <row r="521" spans="1:9">
      <c r="A521" s="16"/>
      <c r="B521" s="17"/>
      <c r="C521" s="17"/>
      <c r="D521" s="17"/>
      <c r="E521" s="17"/>
      <c r="F521" s="17"/>
      <c r="G521" s="17"/>
      <c r="H521" s="17"/>
      <c r="I521" s="17"/>
    </row>
    <row r="522" spans="1:9">
      <c r="A522" s="16"/>
      <c r="B522" s="17"/>
      <c r="C522" s="17"/>
      <c r="D522" s="17"/>
      <c r="E522" s="17"/>
      <c r="F522" s="17"/>
      <c r="G522" s="17"/>
      <c r="H522" s="17"/>
      <c r="I522" s="17"/>
    </row>
    <row r="523" spans="1:9">
      <c r="A523" s="16"/>
      <c r="B523" s="17"/>
      <c r="C523" s="17"/>
      <c r="D523" s="17"/>
      <c r="E523" s="17"/>
      <c r="F523" s="17"/>
      <c r="G523" s="17"/>
      <c r="H523" s="17"/>
      <c r="I523" s="17"/>
    </row>
    <row r="524" spans="1:9">
      <c r="A524" s="16"/>
      <c r="B524" s="17"/>
      <c r="C524" s="17"/>
      <c r="D524" s="17"/>
      <c r="E524" s="17"/>
      <c r="F524" s="17"/>
      <c r="G524" s="17"/>
      <c r="H524" s="17"/>
      <c r="I524" s="17"/>
    </row>
    <row r="525" spans="1:9">
      <c r="A525" s="16"/>
      <c r="B525" s="17"/>
      <c r="C525" s="17"/>
      <c r="D525" s="17"/>
      <c r="E525" s="17"/>
      <c r="F525" s="17"/>
      <c r="G525" s="17"/>
      <c r="H525" s="17"/>
      <c r="I525" s="17"/>
    </row>
    <row r="526" spans="1:9">
      <c r="A526" s="16"/>
      <c r="B526" s="17"/>
      <c r="C526" s="17"/>
      <c r="D526" s="17"/>
      <c r="E526" s="17"/>
      <c r="F526" s="17"/>
      <c r="G526" s="17"/>
      <c r="H526" s="17"/>
      <c r="I526" s="17"/>
    </row>
    <row r="527" spans="1:9">
      <c r="A527" s="16"/>
      <c r="B527" s="17"/>
      <c r="C527" s="17"/>
      <c r="D527" s="17"/>
      <c r="E527" s="17"/>
      <c r="F527" s="17"/>
      <c r="G527" s="17"/>
      <c r="H527" s="17"/>
      <c r="I527" s="17"/>
    </row>
    <row r="528" spans="1:9">
      <c r="A528" s="16"/>
      <c r="B528" s="17"/>
      <c r="C528" s="17"/>
      <c r="D528" s="17"/>
      <c r="E528" s="17"/>
      <c r="F528" s="17"/>
      <c r="G528" s="17"/>
      <c r="H528" s="17"/>
      <c r="I528" s="17"/>
    </row>
    <row r="529" spans="1:9">
      <c r="A529" s="16"/>
      <c r="B529" s="17"/>
      <c r="C529" s="17"/>
      <c r="D529" s="17"/>
      <c r="E529" s="17"/>
      <c r="F529" s="17"/>
      <c r="G529" s="17"/>
      <c r="H529" s="17"/>
      <c r="I529" s="17"/>
    </row>
    <row r="530" spans="1:9">
      <c r="A530" s="16"/>
      <c r="B530" s="17"/>
      <c r="C530" s="17"/>
      <c r="D530" s="17"/>
      <c r="E530" s="17"/>
      <c r="F530" s="17"/>
      <c r="G530" s="17"/>
      <c r="H530" s="17"/>
      <c r="I530" s="17"/>
    </row>
    <row r="531" spans="1:9">
      <c r="A531" s="16"/>
      <c r="B531" s="17"/>
      <c r="C531" s="17"/>
      <c r="D531" s="17"/>
      <c r="E531" s="17"/>
      <c r="F531" s="17"/>
      <c r="G531" s="17"/>
      <c r="H531" s="17"/>
      <c r="I531" s="17"/>
    </row>
    <row r="532" spans="1:9">
      <c r="A532" s="16"/>
      <c r="B532" s="17"/>
      <c r="C532" s="17"/>
      <c r="D532" s="17"/>
      <c r="E532" s="17"/>
      <c r="F532" s="17"/>
      <c r="G532" s="17"/>
      <c r="H532" s="17"/>
      <c r="I532" s="17"/>
    </row>
    <row r="533" spans="1:9">
      <c r="A533" s="16"/>
      <c r="B533" s="17"/>
      <c r="C533" s="17"/>
      <c r="D533" s="17"/>
      <c r="E533" s="17"/>
      <c r="F533" s="17"/>
      <c r="G533" s="17"/>
      <c r="H533" s="17"/>
      <c r="I533" s="17"/>
    </row>
    <row r="534" spans="1:9">
      <c r="A534" s="16"/>
      <c r="B534" s="17"/>
      <c r="C534" s="17"/>
      <c r="D534" s="17"/>
      <c r="E534" s="17"/>
      <c r="F534" s="17"/>
      <c r="G534" s="17"/>
      <c r="H534" s="17"/>
      <c r="I534" s="17"/>
    </row>
    <row r="535" spans="1:9">
      <c r="A535" s="16"/>
      <c r="B535" s="17"/>
      <c r="C535" s="17"/>
      <c r="D535" s="17"/>
      <c r="E535" s="17"/>
      <c r="F535" s="17"/>
      <c r="G535" s="17"/>
      <c r="H535" s="17"/>
      <c r="I535" s="17"/>
    </row>
    <row r="536" spans="1:9">
      <c r="A536" s="16"/>
      <c r="B536" s="17"/>
      <c r="C536" s="17"/>
      <c r="D536" s="17"/>
      <c r="E536" s="17"/>
      <c r="F536" s="17"/>
      <c r="G536" s="17"/>
      <c r="H536" s="17"/>
      <c r="I536" s="17"/>
    </row>
    <row r="537" spans="1:9">
      <c r="A537" s="16"/>
      <c r="B537" s="17"/>
      <c r="C537" s="17"/>
      <c r="D537" s="17"/>
      <c r="E537" s="17"/>
      <c r="F537" s="17"/>
      <c r="G537" s="17"/>
      <c r="H537" s="17"/>
      <c r="I537" s="17"/>
    </row>
    <row r="538" spans="1:9">
      <c r="A538" s="16"/>
      <c r="B538" s="17"/>
      <c r="C538" s="17"/>
      <c r="D538" s="17"/>
      <c r="E538" s="17"/>
      <c r="F538" s="17"/>
      <c r="G538" s="17"/>
      <c r="H538" s="17"/>
      <c r="I538" s="17"/>
    </row>
    <row r="539" spans="1:9">
      <c r="A539" s="16"/>
      <c r="B539" s="17"/>
      <c r="C539" s="17"/>
      <c r="D539" s="17"/>
      <c r="E539" s="17"/>
      <c r="F539" s="17"/>
      <c r="G539" s="17"/>
      <c r="H539" s="17"/>
      <c r="I539" s="17"/>
    </row>
    <row r="540" spans="1:9">
      <c r="A540" s="16"/>
      <c r="B540" s="17"/>
      <c r="C540" s="17"/>
      <c r="D540" s="17"/>
      <c r="E540" s="17"/>
      <c r="F540" s="17"/>
      <c r="G540" s="17"/>
      <c r="H540" s="17"/>
      <c r="I540" s="17"/>
    </row>
    <row r="541" spans="1:9">
      <c r="A541" s="16"/>
      <c r="B541" s="17"/>
      <c r="C541" s="17"/>
      <c r="D541" s="17"/>
      <c r="E541" s="17"/>
      <c r="F541" s="17"/>
      <c r="G541" s="17"/>
      <c r="H541" s="17"/>
      <c r="I541" s="17"/>
    </row>
    <row r="542" spans="1:9">
      <c r="A542" s="16"/>
      <c r="B542" s="17"/>
      <c r="C542" s="17"/>
      <c r="D542" s="17"/>
      <c r="E542" s="17"/>
      <c r="F542" s="17"/>
      <c r="G542" s="17"/>
      <c r="H542" s="17"/>
      <c r="I542" s="17"/>
    </row>
    <row r="543" spans="1:9">
      <c r="A543" s="16"/>
      <c r="B543" s="17"/>
      <c r="C543" s="17"/>
      <c r="D543" s="17"/>
      <c r="E543" s="17"/>
      <c r="F543" s="17"/>
      <c r="G543" s="17"/>
      <c r="H543" s="17"/>
      <c r="I543" s="17"/>
    </row>
    <row r="544" spans="1:9">
      <c r="A544" s="16"/>
      <c r="B544" s="17"/>
      <c r="C544" s="17"/>
      <c r="D544" s="17"/>
      <c r="E544" s="17"/>
      <c r="F544" s="17"/>
      <c r="G544" s="17"/>
      <c r="H544" s="17"/>
      <c r="I544" s="17"/>
    </row>
    <row r="545" spans="1:9">
      <c r="A545" s="16"/>
      <c r="B545" s="17"/>
      <c r="C545" s="17"/>
      <c r="D545" s="17"/>
      <c r="E545" s="17"/>
      <c r="F545" s="17"/>
      <c r="G545" s="17"/>
      <c r="H545" s="17"/>
      <c r="I545" s="17"/>
    </row>
    <row r="546" spans="1:9">
      <c r="A546" s="16"/>
      <c r="B546" s="17"/>
      <c r="C546" s="17"/>
      <c r="D546" s="17"/>
      <c r="E546" s="17"/>
      <c r="F546" s="17"/>
      <c r="G546" s="17"/>
      <c r="H546" s="17"/>
      <c r="I546" s="17"/>
    </row>
    <row r="547" spans="1:9">
      <c r="A547" s="16"/>
      <c r="B547" s="17"/>
      <c r="C547" s="17"/>
      <c r="D547" s="17"/>
      <c r="E547" s="17"/>
      <c r="F547" s="17"/>
      <c r="G547" s="17"/>
      <c r="H547" s="17"/>
      <c r="I547" s="17"/>
    </row>
    <row r="548" spans="1:9">
      <c r="A548" s="16"/>
      <c r="B548" s="17"/>
      <c r="C548" s="17"/>
      <c r="D548" s="17"/>
      <c r="E548" s="17"/>
      <c r="F548" s="17"/>
      <c r="G548" s="17"/>
      <c r="H548" s="17"/>
      <c r="I548" s="17"/>
    </row>
    <row r="549" spans="1:9">
      <c r="A549" s="16"/>
      <c r="B549" s="17"/>
      <c r="C549" s="17"/>
      <c r="D549" s="17"/>
      <c r="E549" s="17"/>
      <c r="F549" s="17"/>
      <c r="G549" s="17"/>
      <c r="H549" s="17"/>
      <c r="I549" s="17"/>
    </row>
    <row r="550" spans="1:9">
      <c r="A550" s="16"/>
      <c r="B550" s="17"/>
      <c r="C550" s="17"/>
      <c r="D550" s="17"/>
      <c r="E550" s="17"/>
      <c r="F550" s="17"/>
      <c r="G550" s="17"/>
      <c r="H550" s="17"/>
      <c r="I550" s="17"/>
    </row>
    <row r="551" spans="1:9">
      <c r="A551" s="16"/>
      <c r="B551" s="17"/>
      <c r="C551" s="17"/>
      <c r="D551" s="17"/>
      <c r="E551" s="17"/>
      <c r="F551" s="17"/>
      <c r="G551" s="17"/>
      <c r="H551" s="17"/>
      <c r="I551" s="17"/>
    </row>
    <row r="552" spans="1:9">
      <c r="A552" s="16"/>
      <c r="B552" s="17"/>
      <c r="C552" s="17"/>
      <c r="D552" s="17"/>
      <c r="E552" s="17"/>
      <c r="F552" s="17"/>
      <c r="G552" s="17"/>
      <c r="H552" s="17"/>
      <c r="I552" s="17"/>
    </row>
    <row r="553" spans="1:9">
      <c r="A553" s="16"/>
      <c r="B553" s="17"/>
      <c r="C553" s="17"/>
      <c r="D553" s="17"/>
      <c r="E553" s="17"/>
      <c r="F553" s="17"/>
      <c r="G553" s="17"/>
      <c r="H553" s="17"/>
      <c r="I553" s="17"/>
    </row>
    <row r="554" spans="1:9">
      <c r="A554" s="16"/>
      <c r="B554" s="17"/>
      <c r="C554" s="17"/>
      <c r="D554" s="17"/>
      <c r="E554" s="17"/>
      <c r="F554" s="17"/>
      <c r="G554" s="17"/>
      <c r="H554" s="17"/>
      <c r="I554" s="17"/>
    </row>
    <row r="555" spans="1:9">
      <c r="A555" s="16"/>
      <c r="B555" s="17"/>
      <c r="C555" s="17"/>
      <c r="D555" s="17"/>
      <c r="E555" s="17"/>
      <c r="F555" s="17"/>
      <c r="G555" s="17"/>
      <c r="H555" s="17"/>
      <c r="I555" s="17"/>
    </row>
    <row r="556" spans="1:9">
      <c r="A556" s="16"/>
      <c r="B556" s="17"/>
      <c r="C556" s="17"/>
      <c r="D556" s="17"/>
      <c r="E556" s="17"/>
      <c r="F556" s="17"/>
      <c r="G556" s="17"/>
      <c r="H556" s="17"/>
      <c r="I556" s="17"/>
    </row>
    <row r="557" spans="1:9">
      <c r="A557" s="16"/>
      <c r="B557" s="17"/>
      <c r="C557" s="17"/>
      <c r="D557" s="17"/>
      <c r="E557" s="17"/>
      <c r="F557" s="17"/>
      <c r="G557" s="17"/>
      <c r="H557" s="17"/>
      <c r="I557" s="17"/>
    </row>
    <row r="558" spans="1:9">
      <c r="A558" s="16"/>
      <c r="B558" s="17"/>
      <c r="C558" s="17"/>
      <c r="D558" s="17"/>
      <c r="E558" s="17"/>
      <c r="F558" s="17"/>
      <c r="G558" s="17"/>
    </row>
  </sheetData>
  <mergeCells count="15">
    <mergeCell ref="C6:F6"/>
    <mergeCell ref="C7:F7"/>
    <mergeCell ref="C8:F8"/>
    <mergeCell ref="G8:G10"/>
    <mergeCell ref="C9:F9"/>
    <mergeCell ref="C10:F10"/>
    <mergeCell ref="I24:L24"/>
    <mergeCell ref="C30:F30"/>
    <mergeCell ref="C34:F34"/>
    <mergeCell ref="C11:F11"/>
    <mergeCell ref="C12:F12"/>
    <mergeCell ref="C15:F15"/>
    <mergeCell ref="C16:F16"/>
    <mergeCell ref="C17:F17"/>
    <mergeCell ref="H24:H2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DA6D-D612-4B49-BC1C-3419E5546DF7}">
  <sheetPr>
    <tabColor theme="9" tint="0.79998168889431442"/>
  </sheetPr>
  <dimension ref="A1:S26"/>
  <sheetViews>
    <sheetView workbookViewId="0">
      <selection activeCell="C6" sqref="C6"/>
    </sheetView>
  </sheetViews>
  <sheetFormatPr baseColWidth="10" defaultColWidth="8.83203125" defaultRowHeight="18"/>
  <cols>
    <col min="1" max="1" width="15.6640625" bestFit="1" customWidth="1"/>
    <col min="4" max="5" width="13" customWidth="1"/>
    <col min="9" max="9" width="11.83203125" customWidth="1"/>
    <col min="13" max="13" width="12.6640625" bestFit="1" customWidth="1"/>
    <col min="14" max="14" width="6" bestFit="1" customWidth="1"/>
    <col min="15" max="15" width="12.6640625" customWidth="1"/>
    <col min="16" max="16" width="10.1640625" customWidth="1"/>
    <col min="17" max="17" width="12.1640625" bestFit="1" customWidth="1"/>
    <col min="18" max="18" width="14" customWidth="1"/>
    <col min="19" max="19" width="14.6640625" customWidth="1"/>
  </cols>
  <sheetData>
    <row r="1" spans="1:10">
      <c r="A1" t="s">
        <v>303</v>
      </c>
    </row>
    <row r="2" spans="1:10" ht="19" thickBot="1">
      <c r="A2" t="s">
        <v>240</v>
      </c>
      <c r="H2" s="140" t="s">
        <v>242</v>
      </c>
      <c r="I2" s="140"/>
      <c r="J2" s="140"/>
    </row>
    <row r="3" spans="1:10">
      <c r="A3" s="256" t="s">
        <v>205</v>
      </c>
      <c r="B3" s="262" t="s">
        <v>92</v>
      </c>
      <c r="C3" s="262"/>
      <c r="D3" s="262"/>
      <c r="E3" s="263"/>
      <c r="H3" s="259" t="s">
        <v>205</v>
      </c>
      <c r="I3" s="255" t="s">
        <v>92</v>
      </c>
      <c r="J3" s="255"/>
    </row>
    <row r="4" spans="1:10">
      <c r="A4" s="257"/>
      <c r="B4" s="188" t="s">
        <v>195</v>
      </c>
      <c r="C4" s="188"/>
      <c r="D4" s="188" t="s">
        <v>239</v>
      </c>
      <c r="E4" s="264"/>
      <c r="H4" s="260"/>
      <c r="I4" s="142" t="s">
        <v>195</v>
      </c>
      <c r="J4" s="142" t="s">
        <v>239</v>
      </c>
    </row>
    <row r="5" spans="1:10" ht="19" thickBot="1">
      <c r="A5" s="258"/>
      <c r="B5" s="67" t="s">
        <v>206</v>
      </c>
      <c r="C5" s="67" t="s">
        <v>207</v>
      </c>
      <c r="D5" s="67" t="s">
        <v>206</v>
      </c>
      <c r="E5" s="68" t="s">
        <v>207</v>
      </c>
      <c r="H5" s="261"/>
      <c r="I5" s="143" t="s">
        <v>206</v>
      </c>
      <c r="J5" s="143" t="s">
        <v>206</v>
      </c>
    </row>
    <row r="6" spans="1:10" ht="19" thickTop="1">
      <c r="A6" s="115">
        <v>115</v>
      </c>
      <c r="B6" s="116">
        <v>202.87160333784729</v>
      </c>
      <c r="C6" s="116">
        <v>444.24553797374506</v>
      </c>
      <c r="D6" s="116">
        <v>184.18398585462359</v>
      </c>
      <c r="E6" s="117">
        <v>557.75027292603704</v>
      </c>
      <c r="H6" s="144"/>
      <c r="I6" s="145"/>
      <c r="J6" s="145"/>
    </row>
    <row r="7" spans="1:10">
      <c r="A7" s="64">
        <v>120</v>
      </c>
      <c r="B7" s="65">
        <v>304.81877810419445</v>
      </c>
      <c r="C7" s="65">
        <v>468.4636262497292</v>
      </c>
      <c r="D7" s="65">
        <v>360.51397533950251</v>
      </c>
      <c r="E7" s="66">
        <v>614.58680054954471</v>
      </c>
      <c r="H7" s="146">
        <v>120</v>
      </c>
      <c r="I7" s="147">
        <v>68.428787406054184</v>
      </c>
      <c r="J7" s="147">
        <v>81.808628518863287</v>
      </c>
    </row>
    <row r="8" spans="1:10">
      <c r="A8" s="59">
        <v>125</v>
      </c>
      <c r="B8" s="58">
        <v>312.38774356252395</v>
      </c>
      <c r="C8" s="58">
        <v>435.85001197359696</v>
      </c>
      <c r="D8" s="58">
        <v>395.91029367529688</v>
      </c>
      <c r="E8" s="60">
        <v>574.01743747385422</v>
      </c>
      <c r="H8" s="141">
        <v>125</v>
      </c>
      <c r="I8" s="148">
        <v>68.059385337457698</v>
      </c>
      <c r="J8" s="148">
        <v>76.408375942435683</v>
      </c>
    </row>
    <row r="9" spans="1:10">
      <c r="A9" s="59">
        <v>130</v>
      </c>
      <c r="B9" s="58">
        <v>264.72077806902837</v>
      </c>
      <c r="C9" s="58">
        <v>355.1892407557196</v>
      </c>
      <c r="D9" s="58">
        <v>343.21346542197699</v>
      </c>
      <c r="E9" s="60">
        <v>447.8831383653947</v>
      </c>
      <c r="H9" s="141">
        <v>130</v>
      </c>
      <c r="I9" s="148">
        <v>56.682933533678543</v>
      </c>
      <c r="J9" s="148">
        <v>59.618438361569432</v>
      </c>
    </row>
    <row r="10" spans="1:10">
      <c r="A10" s="59">
        <v>135</v>
      </c>
      <c r="B10" s="58">
        <v>279.58143041168847</v>
      </c>
      <c r="C10" s="58">
        <v>343.19274658157178</v>
      </c>
      <c r="D10" s="58">
        <v>356.67629250946874</v>
      </c>
      <c r="E10" s="60">
        <v>433.6542689525387</v>
      </c>
      <c r="H10" s="141">
        <v>135</v>
      </c>
      <c r="I10" s="148">
        <v>55.999223191508214</v>
      </c>
      <c r="J10" s="148">
        <v>57.724410876763542</v>
      </c>
    </row>
    <row r="11" spans="1:10">
      <c r="A11" s="59">
        <v>140</v>
      </c>
      <c r="B11" s="58">
        <v>212.79316284436212</v>
      </c>
      <c r="C11" s="58">
        <v>243.18141299481508</v>
      </c>
      <c r="D11" s="58">
        <v>272.77185840856833</v>
      </c>
      <c r="E11" s="60">
        <v>308.307219255424</v>
      </c>
      <c r="H11" s="141">
        <v>140</v>
      </c>
      <c r="I11" s="148">
        <v>40.592428446712098</v>
      </c>
      <c r="J11" s="148">
        <v>41.039265319720165</v>
      </c>
    </row>
    <row r="12" spans="1:10">
      <c r="A12" s="59">
        <v>145</v>
      </c>
      <c r="B12" s="58">
        <v>154.5856255274432</v>
      </c>
      <c r="C12" s="58">
        <v>179.8720146815412</v>
      </c>
      <c r="D12" s="58">
        <v>187.84602086929584</v>
      </c>
      <c r="E12" s="60">
        <v>234.5587873136144</v>
      </c>
      <c r="H12" s="141">
        <v>145</v>
      </c>
      <c r="I12" s="148">
        <v>30.373794944290836</v>
      </c>
      <c r="J12" s="148">
        <v>31.222494007382494</v>
      </c>
    </row>
    <row r="13" spans="1:10">
      <c r="A13" s="59">
        <v>150</v>
      </c>
      <c r="B13" s="58">
        <v>124.89709453325189</v>
      </c>
      <c r="C13" s="58">
        <v>155.15525474105348</v>
      </c>
      <c r="D13" s="58">
        <v>145.37629146667322</v>
      </c>
      <c r="E13" s="60">
        <v>213.56776025651035</v>
      </c>
      <c r="H13" s="141">
        <v>150</v>
      </c>
      <c r="I13" s="148">
        <v>26.200039513526328</v>
      </c>
      <c r="J13" s="148">
        <v>28.428344941361999</v>
      </c>
    </row>
    <row r="14" spans="1:10">
      <c r="A14" s="59">
        <v>155</v>
      </c>
      <c r="B14" s="58">
        <v>87.377884064458883</v>
      </c>
      <c r="C14" s="58">
        <v>117.28159655224603</v>
      </c>
      <c r="D14" s="58">
        <v>101.33990805503826</v>
      </c>
      <c r="E14" s="60">
        <v>163.27805893654809</v>
      </c>
      <c r="H14" s="141">
        <v>155</v>
      </c>
      <c r="I14" s="148">
        <v>18.917794271776248</v>
      </c>
      <c r="J14" s="148">
        <v>21.734202649450349</v>
      </c>
    </row>
    <row r="15" spans="1:10">
      <c r="A15" s="59">
        <v>160</v>
      </c>
      <c r="B15" s="58">
        <v>63.97963184442591</v>
      </c>
      <c r="C15" s="58">
        <v>92.582724631736241</v>
      </c>
      <c r="D15" s="58">
        <v>74.948227115616717</v>
      </c>
      <c r="E15" s="60">
        <v>132.66872982916226</v>
      </c>
      <c r="H15" s="141">
        <v>160</v>
      </c>
      <c r="I15" s="148">
        <v>14.467127267018462</v>
      </c>
      <c r="J15" s="148">
        <v>17.659746068347953</v>
      </c>
    </row>
    <row r="16" spans="1:10">
      <c r="A16" s="59">
        <v>165</v>
      </c>
      <c r="B16" s="58">
        <v>45.613696480731306</v>
      </c>
      <c r="C16" s="58">
        <v>63.94332341989471</v>
      </c>
      <c r="D16" s="58">
        <v>53.433656694579753</v>
      </c>
      <c r="E16" s="60">
        <v>94.584964002708233</v>
      </c>
      <c r="H16" s="141">
        <v>165</v>
      </c>
      <c r="I16" s="148">
        <v>9.6695688497177965</v>
      </c>
      <c r="J16" s="148">
        <v>12.590355303186872</v>
      </c>
    </row>
    <row r="17" spans="1:19">
      <c r="A17" s="59">
        <v>170</v>
      </c>
      <c r="B17" s="58">
        <v>28.50856030045707</v>
      </c>
      <c r="C17" s="58">
        <v>36.097037414456693</v>
      </c>
      <c r="D17" s="58">
        <v>33.396035434112349</v>
      </c>
      <c r="E17" s="60">
        <v>59.115602501692656</v>
      </c>
      <c r="H17" s="141">
        <v>170</v>
      </c>
      <c r="I17" s="148">
        <v>5.6405818290020502</v>
      </c>
      <c r="J17" s="148">
        <v>7.8689720644917962</v>
      </c>
    </row>
    <row r="18" spans="1:19">
      <c r="A18" s="59">
        <v>175</v>
      </c>
      <c r="B18" s="58">
        <v>17.10513618027424</v>
      </c>
      <c r="C18" s="58">
        <v>20.981402997152948</v>
      </c>
      <c r="D18" s="58">
        <v>20.037621260467407</v>
      </c>
      <c r="E18" s="60">
        <v>35.469361501015591</v>
      </c>
      <c r="H18" s="141">
        <v>175</v>
      </c>
      <c r="I18" s="148">
        <v>3.3843490974012296</v>
      </c>
      <c r="J18" s="148">
        <v>4.7213832386950765</v>
      </c>
    </row>
    <row r="19" spans="1:19" ht="19" thickBot="1">
      <c r="A19" s="61">
        <v>180</v>
      </c>
      <c r="B19" s="62">
        <v>11.403424120182827</v>
      </c>
      <c r="C19" s="62">
        <v>13.36129146087352</v>
      </c>
      <c r="D19" s="62">
        <v>13.358414173644938</v>
      </c>
      <c r="E19" s="63">
        <v>23.646241000677058</v>
      </c>
      <c r="H19" s="149">
        <v>180</v>
      </c>
      <c r="I19" s="150">
        <v>2.2562327316008197</v>
      </c>
      <c r="J19" s="150">
        <v>3.1475888257967179</v>
      </c>
    </row>
    <row r="21" spans="1:19" ht="19" thickBot="1"/>
    <row r="22" spans="1:19">
      <c r="M22" s="256"/>
      <c r="N22" s="262" t="s">
        <v>282</v>
      </c>
      <c r="O22" s="262"/>
      <c r="P22" s="262" t="s">
        <v>283</v>
      </c>
      <c r="Q22" s="262"/>
      <c r="R22" s="262" t="s">
        <v>278</v>
      </c>
      <c r="S22" s="263" t="s">
        <v>279</v>
      </c>
    </row>
    <row r="23" spans="1:19">
      <c r="M23" s="257"/>
      <c r="N23" s="92" t="s">
        <v>276</v>
      </c>
      <c r="O23" s="92" t="s">
        <v>286</v>
      </c>
      <c r="P23" s="92" t="s">
        <v>276</v>
      </c>
      <c r="Q23" s="92" t="s">
        <v>277</v>
      </c>
      <c r="R23" s="188"/>
      <c r="S23" s="264"/>
    </row>
    <row r="24" spans="1:19" s="171" customFormat="1" ht="38">
      <c r="M24" s="172" t="s">
        <v>304</v>
      </c>
      <c r="N24" s="188" t="s">
        <v>284</v>
      </c>
      <c r="O24" s="173" t="s">
        <v>285</v>
      </c>
      <c r="P24" s="174" t="s">
        <v>292</v>
      </c>
      <c r="Q24" s="174" t="s">
        <v>292</v>
      </c>
      <c r="R24" s="174" t="s">
        <v>295</v>
      </c>
      <c r="S24" s="175" t="s">
        <v>294</v>
      </c>
    </row>
    <row r="25" spans="1:19" ht="57">
      <c r="M25" s="59" t="s">
        <v>206</v>
      </c>
      <c r="N25" s="188"/>
      <c r="O25" s="153" t="s">
        <v>287</v>
      </c>
      <c r="P25" s="153" t="s">
        <v>290</v>
      </c>
      <c r="Q25" s="153" t="s">
        <v>290</v>
      </c>
      <c r="R25" s="153" t="s">
        <v>296</v>
      </c>
      <c r="S25" s="154" t="s">
        <v>293</v>
      </c>
    </row>
    <row r="26" spans="1:19" ht="39" thickBot="1">
      <c r="M26" s="61" t="s">
        <v>207</v>
      </c>
      <c r="N26" s="265"/>
      <c r="O26" s="152" t="s">
        <v>285</v>
      </c>
      <c r="P26" s="152" t="s">
        <v>288</v>
      </c>
      <c r="Q26" s="152" t="s">
        <v>289</v>
      </c>
      <c r="R26" s="155" t="s">
        <v>291</v>
      </c>
      <c r="S26" s="156" t="s">
        <v>293</v>
      </c>
    </row>
  </sheetData>
  <mergeCells count="12">
    <mergeCell ref="S22:S23"/>
    <mergeCell ref="N24:N26"/>
    <mergeCell ref="N22:O22"/>
    <mergeCell ref="M22:M23"/>
    <mergeCell ref="P22:Q22"/>
    <mergeCell ref="R22:R23"/>
    <mergeCell ref="I3:J3"/>
    <mergeCell ref="A3:A5"/>
    <mergeCell ref="H3:H5"/>
    <mergeCell ref="B3:E3"/>
    <mergeCell ref="B4:C4"/>
    <mergeCell ref="D4:E4"/>
  </mergeCells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A0B8-FFBB-41A7-BC0C-6BC96F14013B}">
  <sheetPr>
    <tabColor theme="8" tint="0.79998168889431442"/>
  </sheetPr>
  <dimension ref="A1:X54"/>
  <sheetViews>
    <sheetView topLeftCell="G22" workbookViewId="0">
      <selection activeCell="X27" sqref="X27"/>
    </sheetView>
  </sheetViews>
  <sheetFormatPr baseColWidth="10" defaultColWidth="8.83203125" defaultRowHeight="18"/>
  <cols>
    <col min="1" max="1" width="17.33203125" bestFit="1" customWidth="1"/>
    <col min="2" max="2" width="34.83203125" bestFit="1" customWidth="1"/>
    <col min="10" max="10" width="13.33203125" bestFit="1" customWidth="1"/>
    <col min="12" max="12" width="13.33203125" bestFit="1" customWidth="1"/>
    <col min="14" max="14" width="13.33203125" bestFit="1" customWidth="1"/>
    <col min="16" max="16" width="13.33203125" bestFit="1" customWidth="1"/>
    <col min="17" max="17" width="8.83203125" customWidth="1"/>
  </cols>
  <sheetData>
    <row r="1" spans="1:7">
      <c r="A1" t="s">
        <v>303</v>
      </c>
    </row>
    <row r="2" spans="1:7">
      <c r="A2" s="16" t="s">
        <v>163</v>
      </c>
      <c r="B2" s="16" t="s">
        <v>1</v>
      </c>
      <c r="C2" s="17">
        <v>6.626068E-34</v>
      </c>
      <c r="D2" s="16"/>
      <c r="E2" s="16"/>
      <c r="F2" s="16"/>
      <c r="G2" s="16"/>
    </row>
    <row r="3" spans="1:7">
      <c r="A3" s="16"/>
      <c r="B3" s="16" t="s">
        <v>2</v>
      </c>
      <c r="C3" s="17">
        <v>299792458</v>
      </c>
      <c r="D3" s="16"/>
      <c r="E3" s="16"/>
      <c r="F3" s="16"/>
      <c r="G3" s="16"/>
    </row>
    <row r="4" spans="1:7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</row>
    <row r="5" spans="1:7">
      <c r="A5" s="16"/>
      <c r="B5" s="18" t="s">
        <v>81</v>
      </c>
      <c r="C5" s="203">
        <v>60</v>
      </c>
      <c r="D5" s="203"/>
      <c r="E5" s="244"/>
      <c r="F5" s="204"/>
      <c r="G5" s="16"/>
    </row>
    <row r="6" spans="1:7">
      <c r="A6" s="16"/>
      <c r="B6" s="19" t="s">
        <v>82</v>
      </c>
      <c r="C6" s="228">
        <v>19</v>
      </c>
      <c r="D6" s="228"/>
      <c r="E6" s="245"/>
      <c r="F6" s="229"/>
      <c r="G6" s="16" t="s">
        <v>269</v>
      </c>
    </row>
    <row r="7" spans="1:7">
      <c r="A7" s="16"/>
      <c r="B7" s="20" t="s">
        <v>83</v>
      </c>
      <c r="C7" s="193">
        <v>0.86</v>
      </c>
      <c r="D7" s="193"/>
      <c r="E7" s="246"/>
      <c r="F7" s="194"/>
      <c r="G7" s="207" t="s">
        <v>84</v>
      </c>
    </row>
    <row r="8" spans="1:7">
      <c r="A8" s="16"/>
      <c r="B8" s="20" t="s">
        <v>85</v>
      </c>
      <c r="C8" s="193">
        <v>0.83</v>
      </c>
      <c r="D8" s="193"/>
      <c r="E8" s="246"/>
      <c r="F8" s="194"/>
      <c r="G8" s="207"/>
    </row>
    <row r="9" spans="1:7">
      <c r="A9" s="16"/>
      <c r="B9" s="20" t="s">
        <v>86</v>
      </c>
      <c r="C9" s="193">
        <v>1</v>
      </c>
      <c r="D9" s="193"/>
      <c r="E9" s="246"/>
      <c r="F9" s="194"/>
      <c r="G9" s="47" t="s">
        <v>176</v>
      </c>
    </row>
    <row r="10" spans="1:7">
      <c r="A10" s="16"/>
      <c r="B10" s="20" t="s">
        <v>87</v>
      </c>
      <c r="C10" s="214">
        <v>0.5</v>
      </c>
      <c r="D10" s="214"/>
      <c r="E10" s="247"/>
      <c r="F10" s="215"/>
      <c r="G10" s="42" t="s">
        <v>177</v>
      </c>
    </row>
    <row r="11" spans="1:7">
      <c r="A11" s="16"/>
      <c r="B11" s="20" t="s">
        <v>90</v>
      </c>
      <c r="C11" s="214">
        <v>0.36</v>
      </c>
      <c r="D11" s="214"/>
      <c r="E11" s="247"/>
      <c r="F11" s="215"/>
      <c r="G11" s="43" t="s">
        <v>178</v>
      </c>
    </row>
    <row r="12" spans="1:7">
      <c r="A12" s="16"/>
      <c r="B12" s="45" t="s">
        <v>92</v>
      </c>
      <c r="C12" s="233">
        <f>((C5/2)^2*PI()-(C6/2)^2*PI())*C7*C8*C9*C10*C11</f>
        <v>326.85104521047714</v>
      </c>
      <c r="D12" s="233"/>
      <c r="E12" s="248"/>
      <c r="F12" s="234"/>
      <c r="G12" s="16"/>
    </row>
    <row r="13" spans="1:7">
      <c r="A13" s="16"/>
      <c r="B13" s="20" t="s">
        <v>93</v>
      </c>
      <c r="C13" s="197">
        <v>17000</v>
      </c>
      <c r="D13" s="197"/>
      <c r="E13" s="249"/>
      <c r="F13" s="198"/>
      <c r="G13" s="16"/>
    </row>
    <row r="14" spans="1:7">
      <c r="A14" s="16"/>
      <c r="B14" s="20" t="s">
        <v>94</v>
      </c>
      <c r="C14" s="199">
        <v>3</v>
      </c>
      <c r="D14" s="199"/>
      <c r="E14" s="243"/>
      <c r="F14" s="200"/>
      <c r="G14" s="38" t="s">
        <v>126</v>
      </c>
    </row>
    <row r="15" spans="1:7">
      <c r="A15" s="16"/>
      <c r="B15" s="20" t="s">
        <v>95</v>
      </c>
      <c r="C15" s="216">
        <v>0.2</v>
      </c>
      <c r="D15" s="217"/>
      <c r="E15" s="217"/>
      <c r="F15" s="218"/>
      <c r="G15" s="16"/>
    </row>
    <row r="16" spans="1:7">
      <c r="A16" s="16"/>
      <c r="B16" s="20" t="s">
        <v>96</v>
      </c>
      <c r="C16" s="222">
        <f>$C$14/10*C15/10</f>
        <v>6.0000000000000001E-3</v>
      </c>
      <c r="D16" s="223"/>
      <c r="E16" s="223"/>
      <c r="F16" s="224"/>
      <c r="G16" s="16"/>
    </row>
    <row r="17" spans="1:24">
      <c r="A17" s="16"/>
      <c r="B17" s="21" t="s">
        <v>97</v>
      </c>
      <c r="C17" s="199">
        <f>DEGREES(ATAN(C14/C13))*3600</f>
        <v>36.399671312812814</v>
      </c>
      <c r="D17" s="199"/>
      <c r="E17" s="243"/>
      <c r="F17" s="200"/>
      <c r="G17" s="38" t="s">
        <v>126</v>
      </c>
    </row>
    <row r="18" spans="1:24" ht="19" thickBot="1">
      <c r="A18" s="16"/>
      <c r="B18" s="24" t="s">
        <v>98</v>
      </c>
      <c r="C18" s="219">
        <f>DEGREES(ATAN(C15/C13))*3600</f>
        <v>2.4266447792656485</v>
      </c>
      <c r="D18" s="220"/>
      <c r="E18" s="220"/>
      <c r="F18" s="221"/>
      <c r="G18" s="16"/>
    </row>
    <row r="19" spans="1:24">
      <c r="A19" s="16"/>
      <c r="B19" s="25" t="s">
        <v>99</v>
      </c>
      <c r="C19" s="201">
        <f>C17/3600</f>
        <v>1.011101980911467E-2</v>
      </c>
      <c r="D19" s="201"/>
      <c r="E19" s="201"/>
      <c r="F19" s="201"/>
      <c r="G19" s="16"/>
    </row>
    <row r="20" spans="1:24">
      <c r="A20" s="16"/>
      <c r="B20" s="26" t="s">
        <v>101</v>
      </c>
      <c r="C20" s="225">
        <f>C18/3600</f>
        <v>6.7406799424045796E-4</v>
      </c>
      <c r="D20" s="226"/>
      <c r="E20" s="226"/>
      <c r="F20" s="227"/>
      <c r="G20" s="16"/>
    </row>
    <row r="22" spans="1:24" ht="76" customHeight="1" thickBot="1">
      <c r="B22" t="s">
        <v>180</v>
      </c>
      <c r="D22" t="s">
        <v>183</v>
      </c>
      <c r="G22" t="s">
        <v>190</v>
      </c>
      <c r="H22" t="s">
        <v>195</v>
      </c>
      <c r="I22" t="s">
        <v>196</v>
      </c>
      <c r="K22" s="240" t="s">
        <v>197</v>
      </c>
      <c r="L22" s="240"/>
      <c r="M22" s="240" t="s">
        <v>237</v>
      </c>
      <c r="N22" s="240"/>
      <c r="O22" t="s">
        <v>263</v>
      </c>
      <c r="Q22" s="240" t="s">
        <v>270</v>
      </c>
      <c r="R22" s="240"/>
    </row>
    <row r="23" spans="1:24" ht="19" thickBot="1">
      <c r="B23" s="157" t="s">
        <v>181</v>
      </c>
      <c r="C23" s="162" t="s">
        <v>180</v>
      </c>
      <c r="D23" t="s">
        <v>185</v>
      </c>
      <c r="E23" t="s">
        <v>180</v>
      </c>
      <c r="F23" s="157" t="s">
        <v>185</v>
      </c>
      <c r="G23" s="157" t="s">
        <v>191</v>
      </c>
      <c r="V23" s="128" t="s">
        <v>268</v>
      </c>
      <c r="W23" s="129"/>
      <c r="X23" s="130"/>
    </row>
    <row r="24" spans="1:24">
      <c r="A24" t="s">
        <v>179</v>
      </c>
      <c r="B24" s="158" t="s">
        <v>262</v>
      </c>
      <c r="C24" s="162" t="s">
        <v>261</v>
      </c>
      <c r="D24" t="s">
        <v>186</v>
      </c>
      <c r="E24" t="s">
        <v>184</v>
      </c>
      <c r="F24" s="158" t="s">
        <v>187</v>
      </c>
      <c r="G24" s="158" t="s">
        <v>192</v>
      </c>
      <c r="H24" s="158" t="s">
        <v>193</v>
      </c>
      <c r="I24" s="158" t="s">
        <v>193</v>
      </c>
      <c r="J24" s="166" t="s">
        <v>194</v>
      </c>
      <c r="K24" s="43" t="s">
        <v>193</v>
      </c>
      <c r="L24" s="43" t="s">
        <v>194</v>
      </c>
      <c r="M24" s="43" t="s">
        <v>193</v>
      </c>
      <c r="N24" s="122" t="s">
        <v>194</v>
      </c>
      <c r="O24" s="162" t="s">
        <v>193</v>
      </c>
      <c r="P24" s="163" t="s">
        <v>194</v>
      </c>
      <c r="Q24" s="163" t="s">
        <v>193</v>
      </c>
      <c r="R24" s="163" t="s">
        <v>194</v>
      </c>
      <c r="V24" s="131" t="s">
        <v>271</v>
      </c>
      <c r="W24" s="51"/>
      <c r="X24" s="132"/>
    </row>
    <row r="25" spans="1:24">
      <c r="A25">
        <v>100</v>
      </c>
      <c r="B25" s="159">
        <v>0.17045892788276129</v>
      </c>
      <c r="C25" s="163"/>
      <c r="F25" s="159"/>
      <c r="G25" s="158"/>
      <c r="H25" s="157"/>
      <c r="I25" s="158"/>
      <c r="J25" s="167"/>
      <c r="N25" s="123"/>
      <c r="O25" s="163"/>
      <c r="P25" s="163"/>
      <c r="Q25" s="163"/>
      <c r="R25" s="163"/>
      <c r="V25" s="131" t="s">
        <v>272</v>
      </c>
      <c r="W25" s="51"/>
      <c r="X25" s="132"/>
    </row>
    <row r="26" spans="1:24">
      <c r="A26">
        <v>105</v>
      </c>
      <c r="B26" s="159">
        <v>0.17641001185304983</v>
      </c>
      <c r="C26" s="163"/>
      <c r="F26" s="159"/>
      <c r="G26" s="158"/>
      <c r="H26" s="157"/>
      <c r="I26" s="158"/>
      <c r="J26" s="167"/>
      <c r="N26" s="123"/>
      <c r="O26" s="163"/>
      <c r="P26" s="163"/>
      <c r="Q26" s="163"/>
      <c r="R26" s="163"/>
      <c r="V26" s="131" t="s">
        <v>273</v>
      </c>
      <c r="W26" s="51"/>
      <c r="X26" s="132"/>
    </row>
    <row r="27" spans="1:24">
      <c r="A27">
        <v>110</v>
      </c>
      <c r="B27" s="159">
        <v>0.27570247933884301</v>
      </c>
      <c r="C27" s="163"/>
      <c r="F27" s="159"/>
      <c r="G27" s="158"/>
      <c r="H27" s="157"/>
      <c r="I27" s="158"/>
      <c r="J27" s="167"/>
      <c r="N27" s="123"/>
      <c r="O27" s="163"/>
      <c r="P27" s="163"/>
      <c r="Q27" s="163"/>
      <c r="R27" s="163"/>
      <c r="V27" s="131" t="s">
        <v>113</v>
      </c>
      <c r="W27" s="51" t="s">
        <v>195</v>
      </c>
      <c r="X27" s="132" t="s">
        <v>198</v>
      </c>
    </row>
    <row r="28" spans="1:24">
      <c r="A28">
        <v>115</v>
      </c>
      <c r="B28" s="159">
        <v>0.71937067618835071</v>
      </c>
      <c r="C28" s="164">
        <v>0.49374256752930518</v>
      </c>
      <c r="D28" s="135">
        <f>0.64*0.57</f>
        <v>0.36479999999999996</v>
      </c>
      <c r="E28" s="135">
        <v>0.64</v>
      </c>
      <c r="F28" s="159">
        <f t="shared" ref="F28:F41" si="0">D28*B28/E28</f>
        <v>0.41004128542735985</v>
      </c>
      <c r="G28" s="159">
        <v>0.37582648709983441</v>
      </c>
      <c r="H28" s="159">
        <f>F28*G28</f>
        <v>0.15410437586806516</v>
      </c>
      <c r="I28" s="159">
        <f>$B28*$B28*$H28</f>
        <v>7.9748116046178819E-2</v>
      </c>
      <c r="J28" s="168">
        <f>(($C$5/2)^2*PI()-($C$6/2)^2*PI())*I28</f>
        <v>202.87160333784729</v>
      </c>
      <c r="K28" s="170">
        <f t="shared" ref="K28:K41" si="1">B28*B28*G28</f>
        <v>0.19448801591542778</v>
      </c>
      <c r="L28" s="170">
        <f>(($C$5/2)^2*PI()-($C$6/2)^2*PI())*K28</f>
        <v>494.758968298539</v>
      </c>
      <c r="M28" s="48">
        <f>B28^5*G28</f>
        <v>7.2402079128449703E-2</v>
      </c>
      <c r="N28" s="124">
        <f>(($C$5/2)^2*PI()-($C$6/2)^2*PI())*M28</f>
        <v>184.18398585462359</v>
      </c>
      <c r="O28" s="164">
        <f>$B28*$C28*$H28</f>
        <v>5.4735397029105279E-2</v>
      </c>
      <c r="P28" s="164">
        <f>(($C$5/2)^2*PI()-($C$6/2)^2*PI())*O28</f>
        <v>139.24163109004627</v>
      </c>
      <c r="Q28" s="164">
        <f>B28^4*C28*G28</f>
        <v>4.969341902112908E-2</v>
      </c>
      <c r="R28" s="164">
        <f>(($C$5/2)^2*PI()-($C$6/2)^2*PI())*Q28</f>
        <v>126.41531978408398</v>
      </c>
      <c r="V28" s="131" t="s">
        <v>179</v>
      </c>
      <c r="W28" s="51" t="s">
        <v>92</v>
      </c>
      <c r="X28" s="132"/>
    </row>
    <row r="29" spans="1:24">
      <c r="A29">
        <v>120</v>
      </c>
      <c r="B29" s="159">
        <v>0.82490399830674177</v>
      </c>
      <c r="C29" s="164">
        <v>0.67349413633995403</v>
      </c>
      <c r="D29" s="134">
        <v>0.42</v>
      </c>
      <c r="E29" s="134">
        <v>0.73</v>
      </c>
      <c r="F29" s="159">
        <f t="shared" si="0"/>
        <v>0.47460230039565965</v>
      </c>
      <c r="G29" s="159">
        <v>0.37102590432052945</v>
      </c>
      <c r="H29" s="159">
        <f>F29*G29</f>
        <v>0.17608974769690319</v>
      </c>
      <c r="I29" s="159">
        <f t="shared" ref="I29:I41" si="2">$B29*$B29*$H29</f>
        <v>0.11982319304109698</v>
      </c>
      <c r="J29" s="168">
        <f t="shared" ref="J29:J41" si="3">(($C$5/2)^2*PI()-($C$6/2)^2*PI())*I29</f>
        <v>304.81877810419445</v>
      </c>
      <c r="K29" s="170">
        <f t="shared" si="1"/>
        <v>0.25247073800781095</v>
      </c>
      <c r="L29" s="170">
        <f>(($C$5/2)^2*PI()-($C$6/2)^2*PI())*K29</f>
        <v>642.26148472116017</v>
      </c>
      <c r="M29" s="48">
        <f t="shared" ref="M29:M41" si="4">B29^5*G29</f>
        <v>0.14171677981844144</v>
      </c>
      <c r="N29" s="124">
        <f>(($C$5/2)^2*PI()-($C$6/2)^2*PI())*M29</f>
        <v>360.51397533950251</v>
      </c>
      <c r="O29" s="164">
        <f t="shared" ref="O29:O41" si="5">$B29*$C29*$H29</f>
        <v>9.7829829987926303E-2</v>
      </c>
      <c r="P29" s="164">
        <f t="shared" ref="P29:R41" si="6">(($C$5/2)^2*PI()-($C$6/2)^2*PI())*O29</f>
        <v>248.86975953672825</v>
      </c>
      <c r="Q29" s="164">
        <f t="shared" ref="Q29:Q41" si="7">B29^4*C29*G29</f>
        <v>0.11570488253738484</v>
      </c>
      <c r="R29" s="164">
        <f>(($C$5/2)^2*PI()-($C$6/2)^2*PI())*Q29</f>
        <v>294.34218885853272</v>
      </c>
      <c r="V29" s="131">
        <v>115</v>
      </c>
      <c r="W29" s="136">
        <v>139.24163109004627</v>
      </c>
      <c r="X29" s="137">
        <v>126.41531978408398</v>
      </c>
    </row>
    <row r="30" spans="1:24">
      <c r="A30">
        <v>125</v>
      </c>
      <c r="B30" s="159">
        <v>0.86132111952688484</v>
      </c>
      <c r="C30" s="164">
        <v>0.80124275747613405</v>
      </c>
      <c r="D30" s="134">
        <v>0.48</v>
      </c>
      <c r="E30" s="134">
        <v>0.82</v>
      </c>
      <c r="F30" s="159">
        <f t="shared" si="0"/>
        <v>0.50418797240598134</v>
      </c>
      <c r="G30" s="159">
        <f>(G29+G31)/2</f>
        <v>0.32829969791945335</v>
      </c>
      <c r="H30" s="159">
        <f t="shared" ref="H30:H41" si="8">F30*G30</f>
        <v>0.16552475903550534</v>
      </c>
      <c r="I30" s="159">
        <f t="shared" si="2"/>
        <v>0.12279852682753713</v>
      </c>
      <c r="J30" s="168">
        <f t="shared" si="3"/>
        <v>312.38774356252395</v>
      </c>
      <c r="K30" s="170">
        <f t="shared" si="1"/>
        <v>0.24355703338487719</v>
      </c>
      <c r="L30" s="170">
        <f t="shared" ref="L30:L41" si="9">(($C$5/2)^2*PI()-($C$6/2)^2*PI())*K30</f>
        <v>619.58587007106087</v>
      </c>
      <c r="M30" s="48">
        <f t="shared" si="4"/>
        <v>0.15563094846406283</v>
      </c>
      <c r="N30" s="124">
        <f t="shared" ref="N30:N41" si="10">(($C$5/2)^2*PI()-($C$6/2)^2*PI())*M30</f>
        <v>395.91029367529688</v>
      </c>
      <c r="O30" s="164">
        <f t="shared" si="5"/>
        <v>0.11423315650653998</v>
      </c>
      <c r="P30" s="164">
        <f t="shared" si="6"/>
        <v>290.59825816330914</v>
      </c>
      <c r="Q30" s="164">
        <f t="shared" si="7"/>
        <v>0.14477547045922581</v>
      </c>
      <c r="R30" s="164">
        <f t="shared" si="6"/>
        <v>368.29499268731138</v>
      </c>
      <c r="V30" s="131">
        <v>120</v>
      </c>
      <c r="W30" s="136">
        <v>248.86975953672825</v>
      </c>
      <c r="X30" s="137">
        <v>294.34218885853272</v>
      </c>
    </row>
    <row r="31" spans="1:24">
      <c r="A31">
        <v>130</v>
      </c>
      <c r="B31" s="159">
        <v>0.86073431922488519</v>
      </c>
      <c r="C31" s="164">
        <v>0.83222289879576472</v>
      </c>
      <c r="D31" s="134">
        <v>0.48</v>
      </c>
      <c r="E31" s="134">
        <v>0.84</v>
      </c>
      <c r="F31" s="159">
        <f t="shared" si="0"/>
        <v>0.49184818241422007</v>
      </c>
      <c r="G31" s="159">
        <v>0.2855734915183773</v>
      </c>
      <c r="H31" s="159">
        <f t="shared" si="8"/>
        <v>0.14045880274899655</v>
      </c>
      <c r="I31" s="159">
        <f t="shared" si="2"/>
        <v>0.10406080980257726</v>
      </c>
      <c r="J31" s="168">
        <f t="shared" si="3"/>
        <v>264.72077806902837</v>
      </c>
      <c r="K31" s="170">
        <f t="shared" si="1"/>
        <v>0.211570995935775</v>
      </c>
      <c r="L31" s="170">
        <f t="shared" si="9"/>
        <v>538.21644062941436</v>
      </c>
      <c r="M31" s="48">
        <f t="shared" si="4"/>
        <v>0.13491601002187573</v>
      </c>
      <c r="N31" s="124">
        <f t="shared" si="10"/>
        <v>343.21346542197699</v>
      </c>
      <c r="O31" s="164">
        <f t="shared" si="5"/>
        <v>0.10061384430787292</v>
      </c>
      <c r="P31" s="164">
        <f t="shared" si="6"/>
        <v>255.95202651437128</v>
      </c>
      <c r="Q31" s="164">
        <f t="shared" si="7"/>
        <v>0.13044698049855297</v>
      </c>
      <c r="R31" s="164">
        <f t="shared" si="6"/>
        <v>331.84468043104795</v>
      </c>
      <c r="V31" s="131">
        <v>125</v>
      </c>
      <c r="W31" s="136">
        <v>290.59825816330914</v>
      </c>
      <c r="X31" s="137">
        <v>368.29499268731138</v>
      </c>
    </row>
    <row r="32" spans="1:24">
      <c r="A32">
        <v>135</v>
      </c>
      <c r="B32" s="160">
        <f>AVERAGE(B31,B33)</f>
        <v>0.85381530656481219</v>
      </c>
      <c r="C32" s="164">
        <f>AVERAGE(C31,C33)</f>
        <v>0.83032179625044633</v>
      </c>
      <c r="D32" s="134">
        <v>0.48</v>
      </c>
      <c r="E32" s="134">
        <v>0.84</v>
      </c>
      <c r="F32" s="159">
        <f t="shared" si="0"/>
        <v>0.48789446089417843</v>
      </c>
      <c r="G32" s="159">
        <v>0.30899662300809955</v>
      </c>
      <c r="H32" s="159">
        <f t="shared" si="8"/>
        <v>0.15075774080065843</v>
      </c>
      <c r="I32" s="159">
        <f t="shared" si="2"/>
        <v>0.10990248014009996</v>
      </c>
      <c r="J32" s="168">
        <f t="shared" si="3"/>
        <v>279.58143041168847</v>
      </c>
      <c r="K32" s="170">
        <f t="shared" si="1"/>
        <v>0.22525871668778213</v>
      </c>
      <c r="L32" s="170">
        <f t="shared" si="9"/>
        <v>573.03669711537896</v>
      </c>
      <c r="M32" s="48">
        <f t="shared" si="4"/>
        <v>0.14020820015207833</v>
      </c>
      <c r="N32" s="124">
        <f t="shared" si="10"/>
        <v>356.67629250946874</v>
      </c>
      <c r="O32" s="164">
        <f t="shared" si="5"/>
        <v>0.10687841272072554</v>
      </c>
      <c r="P32" s="164">
        <f t="shared" si="6"/>
        <v>271.88849123786542</v>
      </c>
      <c r="Q32" s="164">
        <f t="shared" si="7"/>
        <v>0.13635024308442592</v>
      </c>
      <c r="R32" s="164">
        <f t="shared" si="6"/>
        <v>346.86201758076686</v>
      </c>
      <c r="V32" s="131">
        <v>130</v>
      </c>
      <c r="W32" s="136">
        <v>255.95202651437128</v>
      </c>
      <c r="X32" s="137">
        <v>331.84468043104795</v>
      </c>
    </row>
    <row r="33" spans="1:24">
      <c r="A33">
        <v>140</v>
      </c>
      <c r="B33" s="159">
        <v>0.84689629390473931</v>
      </c>
      <c r="C33" s="164">
        <v>0.82842069370512805</v>
      </c>
      <c r="D33" s="134">
        <v>0.47</v>
      </c>
      <c r="E33" s="134">
        <v>0.84</v>
      </c>
      <c r="F33" s="159">
        <f t="shared" si="0"/>
        <v>0.47385864063717553</v>
      </c>
      <c r="G33" s="159">
        <v>0.24612037686190918</v>
      </c>
      <c r="H33" s="159">
        <f t="shared" si="8"/>
        <v>0.11662626721289364</v>
      </c>
      <c r="I33" s="159">
        <f t="shared" si="2"/>
        <v>8.3648246305251917E-2</v>
      </c>
      <c r="J33" s="168">
        <f t="shared" si="3"/>
        <v>212.79316284436212</v>
      </c>
      <c r="K33" s="170">
        <f t="shared" si="1"/>
        <v>0.17652573812471592</v>
      </c>
      <c r="L33" s="170">
        <f t="shared" si="9"/>
        <v>449.06464627980426</v>
      </c>
      <c r="M33" s="48">
        <f t="shared" si="4"/>
        <v>0.10722566125862606</v>
      </c>
      <c r="N33" s="124">
        <f t="shared" si="10"/>
        <v>272.77185840856833</v>
      </c>
      <c r="O33" s="164">
        <f t="shared" si="5"/>
        <v>8.1823404742881981E-2</v>
      </c>
      <c r="P33" s="164">
        <f t="shared" si="6"/>
        <v>208.15093990606528</v>
      </c>
      <c r="Q33" s="164">
        <f t="shared" si="7"/>
        <v>0.10488646286702683</v>
      </c>
      <c r="R33" s="164">
        <f t="shared" si="6"/>
        <v>266.82116073999578</v>
      </c>
      <c r="V33" s="131">
        <v>135</v>
      </c>
      <c r="W33" s="136">
        <v>271.88849123786542</v>
      </c>
      <c r="X33" s="137">
        <v>346.86201758076686</v>
      </c>
    </row>
    <row r="34" spans="1:24">
      <c r="A34">
        <v>145</v>
      </c>
      <c r="B34" s="160">
        <f>AVERAGE(B33,B35)</f>
        <v>0.82064686686819976</v>
      </c>
      <c r="C34" s="164">
        <f>AVERAGE(C33,C35)</f>
        <v>0.82296254046685458</v>
      </c>
      <c r="D34" s="134">
        <v>0.46</v>
      </c>
      <c r="E34" s="134">
        <v>0.83</v>
      </c>
      <c r="F34" s="159">
        <f t="shared" si="0"/>
        <v>0.45481633585466497</v>
      </c>
      <c r="G34" s="159">
        <v>0.19838991517247778</v>
      </c>
      <c r="H34" s="159">
        <f t="shared" si="8"/>
        <v>9.0230974289264146E-2</v>
      </c>
      <c r="I34" s="159">
        <f t="shared" si="2"/>
        <v>6.0767067449571506E-2</v>
      </c>
      <c r="J34" s="168">
        <f t="shared" si="3"/>
        <v>154.5856255274432</v>
      </c>
      <c r="K34" s="170">
        <f t="shared" si="1"/>
        <v>0.1336079262311049</v>
      </c>
      <c r="L34" s="170">
        <f t="shared" si="9"/>
        <v>339.88582498241777</v>
      </c>
      <c r="M34" s="48">
        <f t="shared" si="4"/>
        <v>7.3841612254379158E-2</v>
      </c>
      <c r="N34" s="124">
        <f t="shared" si="10"/>
        <v>187.84602086929584</v>
      </c>
      <c r="O34" s="164">
        <f t="shared" si="5"/>
        <v>6.0938537907135874E-2</v>
      </c>
      <c r="P34" s="164">
        <f t="shared" si="6"/>
        <v>155.02183002199217</v>
      </c>
      <c r="Q34" s="164">
        <f t="shared" si="7"/>
        <v>7.4049976020675048E-2</v>
      </c>
      <c r="R34" s="164">
        <f t="shared" si="6"/>
        <v>188.37607842352674</v>
      </c>
      <c r="V34" s="131">
        <v>140</v>
      </c>
      <c r="W34" s="136">
        <v>208.15093990606528</v>
      </c>
      <c r="X34" s="137">
        <v>266.82116073999578</v>
      </c>
    </row>
    <row r="35" spans="1:24">
      <c r="A35">
        <v>150</v>
      </c>
      <c r="B35" s="159">
        <v>0.79439743983166022</v>
      </c>
      <c r="C35" s="164">
        <v>0.8175043872285811</v>
      </c>
      <c r="D35" s="134">
        <v>0.45</v>
      </c>
      <c r="E35" s="134">
        <v>0.83</v>
      </c>
      <c r="F35" s="159">
        <f t="shared" si="0"/>
        <v>0.43069740713764715</v>
      </c>
      <c r="G35" s="159">
        <v>0.18063569617716008</v>
      </c>
      <c r="H35" s="159">
        <f t="shared" si="8"/>
        <v>7.7799325980006648E-2</v>
      </c>
      <c r="I35" s="159">
        <f t="shared" si="2"/>
        <v>4.9096609997611056E-2</v>
      </c>
      <c r="J35" s="168">
        <f t="shared" si="3"/>
        <v>124.89709453325189</v>
      </c>
      <c r="K35" s="170">
        <f t="shared" si="1"/>
        <v>0.11399327969931382</v>
      </c>
      <c r="L35" s="170">
        <f t="shared" si="9"/>
        <v>289.98803443768088</v>
      </c>
      <c r="M35" s="48">
        <f t="shared" si="4"/>
        <v>5.7146910516305438E-2</v>
      </c>
      <c r="N35" s="124">
        <f t="shared" si="10"/>
        <v>145.37629146667322</v>
      </c>
      <c r="O35" s="164">
        <f t="shared" si="5"/>
        <v>5.0524702193908089E-2</v>
      </c>
      <c r="P35" s="164">
        <f t="shared" si="6"/>
        <v>128.53002491381764</v>
      </c>
      <c r="Q35" s="164">
        <f t="shared" si="7"/>
        <v>5.8809164935801857E-2</v>
      </c>
      <c r="R35" s="164">
        <f t="shared" si="6"/>
        <v>149.6049082159816</v>
      </c>
      <c r="V35" s="131">
        <v>145</v>
      </c>
      <c r="W35" s="136">
        <v>155.02183002199217</v>
      </c>
      <c r="X35" s="137">
        <v>188.37607842352674</v>
      </c>
    </row>
    <row r="36" spans="1:24">
      <c r="A36">
        <v>155</v>
      </c>
      <c r="B36" s="160">
        <f>AVERAGE(B35,B37)</f>
        <v>0.77986026455203206</v>
      </c>
      <c r="C36" s="164">
        <f>AVERAGE(C35,C37)</f>
        <v>0.81254884060299859</v>
      </c>
      <c r="D36" s="134">
        <v>0.43</v>
      </c>
      <c r="E36" s="134">
        <v>0.82</v>
      </c>
      <c r="F36" s="159">
        <f t="shared" si="0"/>
        <v>0.4089511143382607</v>
      </c>
      <c r="G36" s="159">
        <v>0.13810064689087198</v>
      </c>
      <c r="H36" s="159">
        <f t="shared" si="8"/>
        <v>5.6476413436856755E-2</v>
      </c>
      <c r="I36" s="159">
        <f t="shared" si="2"/>
        <v>3.4347939896929129E-2</v>
      </c>
      <c r="J36" s="168">
        <f t="shared" si="3"/>
        <v>87.377884064458883</v>
      </c>
      <c r="K36" s="170">
        <f t="shared" si="1"/>
        <v>8.3990332077976695E-2</v>
      </c>
      <c r="L36" s="170">
        <f t="shared" si="9"/>
        <v>213.66339643272119</v>
      </c>
      <c r="M36" s="48">
        <f t="shared" si="4"/>
        <v>3.9836362579654262E-2</v>
      </c>
      <c r="N36" s="124">
        <f t="shared" si="10"/>
        <v>101.33990805503826</v>
      </c>
      <c r="O36" s="164">
        <f t="shared" si="5"/>
        <v>3.5787666084491396E-2</v>
      </c>
      <c r="P36" s="164">
        <f t="shared" si="6"/>
        <v>91.040410209516807</v>
      </c>
      <c r="Q36" s="164">
        <f t="shared" si="7"/>
        <v>4.1506141163035366E-2</v>
      </c>
      <c r="R36" s="164">
        <f t="shared" si="6"/>
        <v>105.58766555984963</v>
      </c>
      <c r="V36" s="131">
        <v>150</v>
      </c>
      <c r="W36" s="136">
        <v>128.53002491381764</v>
      </c>
      <c r="X36" s="137">
        <v>149.6049082159816</v>
      </c>
    </row>
    <row r="37" spans="1:24">
      <c r="A37">
        <v>160</v>
      </c>
      <c r="B37" s="159">
        <v>0.765323089272404</v>
      </c>
      <c r="C37" s="164">
        <v>0.80759329397741619</v>
      </c>
      <c r="D37" s="134">
        <v>0.41</v>
      </c>
      <c r="E37" s="134">
        <v>0.82</v>
      </c>
      <c r="F37" s="159">
        <f t="shared" si="0"/>
        <v>0.382661544636202</v>
      </c>
      <c r="G37" s="159">
        <v>0.1122112642135074</v>
      </c>
      <c r="H37" s="159">
        <f t="shared" si="8"/>
        <v>4.2938935689521715E-2</v>
      </c>
      <c r="I37" s="159">
        <f t="shared" si="2"/>
        <v>2.515016897867248E-2</v>
      </c>
      <c r="J37" s="168">
        <f t="shared" si="3"/>
        <v>63.97963184442591</v>
      </c>
      <c r="K37" s="170">
        <f t="shared" si="1"/>
        <v>6.5724317823947678E-2</v>
      </c>
      <c r="L37" s="170">
        <f t="shared" si="9"/>
        <v>167.19639781220147</v>
      </c>
      <c r="M37" s="48">
        <f t="shared" si="4"/>
        <v>2.9461885326148629E-2</v>
      </c>
      <c r="N37" s="124">
        <f t="shared" si="10"/>
        <v>74.948227115616717</v>
      </c>
      <c r="O37" s="164">
        <f t="shared" si="5"/>
        <v>2.6539259162930259E-2</v>
      </c>
      <c r="P37" s="164">
        <f t="shared" si="6"/>
        <v>67.51334482515712</v>
      </c>
      <c r="Q37" s="164">
        <f t="shared" si="7"/>
        <v>3.1089119550737183E-2</v>
      </c>
      <c r="R37" s="164">
        <f t="shared" si="6"/>
        <v>79.087755828211513</v>
      </c>
      <c r="V37" s="131">
        <v>155</v>
      </c>
      <c r="W37" s="136">
        <v>91.040410209516807</v>
      </c>
      <c r="X37" s="137">
        <v>105.58766555984963</v>
      </c>
    </row>
    <row r="38" spans="1:24">
      <c r="A38">
        <v>165</v>
      </c>
      <c r="B38" s="161">
        <f>B37</f>
        <v>0.765323089272404</v>
      </c>
      <c r="C38" s="165">
        <f>C37</f>
        <v>0.80759329397741619</v>
      </c>
      <c r="D38" s="126">
        <f>D37</f>
        <v>0.41</v>
      </c>
      <c r="E38" s="126">
        <f>E37</f>
        <v>0.82</v>
      </c>
      <c r="F38" s="159">
        <f t="shared" si="0"/>
        <v>0.382661544636202</v>
      </c>
      <c r="G38" s="159">
        <v>0.08</v>
      </c>
      <c r="H38" s="159">
        <f t="shared" si="8"/>
        <v>3.061292357089616E-2</v>
      </c>
      <c r="I38" s="159">
        <f t="shared" si="2"/>
        <v>1.7930584174379198E-2</v>
      </c>
      <c r="J38" s="168">
        <f t="shared" si="3"/>
        <v>45.613696480731306</v>
      </c>
      <c r="K38" s="170">
        <f t="shared" si="1"/>
        <v>4.6857554477876484E-2</v>
      </c>
      <c r="L38" s="170">
        <f t="shared" si="9"/>
        <v>119.20115078220481</v>
      </c>
      <c r="M38" s="48">
        <f t="shared" si="4"/>
        <v>2.1004583119278081E-2</v>
      </c>
      <c r="N38" s="124">
        <f t="shared" si="10"/>
        <v>53.433656694579753</v>
      </c>
      <c r="O38" s="164">
        <f t="shared" si="5"/>
        <v>1.892092338425725E-2</v>
      </c>
      <c r="P38" s="164">
        <f t="shared" si="6"/>
        <v>48.133025003049724</v>
      </c>
      <c r="Q38" s="164">
        <f t="shared" si="7"/>
        <v>2.2164704956239029E-2</v>
      </c>
      <c r="R38" s="164">
        <f t="shared" si="6"/>
        <v>56.384896031634831</v>
      </c>
      <c r="V38" s="131">
        <v>160</v>
      </c>
      <c r="W38" s="136">
        <v>67.51334482515712</v>
      </c>
      <c r="X38" s="137">
        <v>79.087755828211513</v>
      </c>
    </row>
    <row r="39" spans="1:24">
      <c r="A39">
        <v>170</v>
      </c>
      <c r="B39" s="161">
        <f t="shared" ref="B39:E41" si="11">B38</f>
        <v>0.765323089272404</v>
      </c>
      <c r="C39" s="165">
        <f t="shared" si="11"/>
        <v>0.80759329397741619</v>
      </c>
      <c r="D39" s="126">
        <f t="shared" si="11"/>
        <v>0.41</v>
      </c>
      <c r="E39" s="126">
        <f t="shared" si="11"/>
        <v>0.82</v>
      </c>
      <c r="F39" s="159">
        <f t="shared" si="0"/>
        <v>0.382661544636202</v>
      </c>
      <c r="G39" s="159">
        <v>0.05</v>
      </c>
      <c r="H39" s="159">
        <f t="shared" si="8"/>
        <v>1.9133077231810101E-2</v>
      </c>
      <c r="I39" s="159">
        <f t="shared" si="2"/>
        <v>1.1206615108987E-2</v>
      </c>
      <c r="J39" s="168">
        <f t="shared" si="3"/>
        <v>28.50856030045707</v>
      </c>
      <c r="K39" s="170">
        <f t="shared" si="1"/>
        <v>2.9285971548672803E-2</v>
      </c>
      <c r="L39" s="170">
        <f t="shared" si="9"/>
        <v>74.500719238878006</v>
      </c>
      <c r="M39" s="48">
        <f t="shared" si="4"/>
        <v>1.3127864449548802E-2</v>
      </c>
      <c r="N39" s="124">
        <f t="shared" si="10"/>
        <v>33.396035434112349</v>
      </c>
      <c r="O39" s="164">
        <f t="shared" si="5"/>
        <v>1.1825577115160782E-2</v>
      </c>
      <c r="P39" s="164">
        <f t="shared" si="6"/>
        <v>30.083140626906079</v>
      </c>
      <c r="Q39" s="164">
        <f t="shared" si="7"/>
        <v>1.3852940597649395E-2</v>
      </c>
      <c r="R39" s="164">
        <f t="shared" si="6"/>
        <v>35.240560019771777</v>
      </c>
      <c r="V39" s="131">
        <v>165</v>
      </c>
      <c r="W39" s="136">
        <v>48.133025003049724</v>
      </c>
      <c r="X39" s="137">
        <v>56.384896031634831</v>
      </c>
    </row>
    <row r="40" spans="1:24">
      <c r="A40">
        <v>175</v>
      </c>
      <c r="B40" s="161">
        <f t="shared" si="11"/>
        <v>0.765323089272404</v>
      </c>
      <c r="C40" s="165">
        <f t="shared" si="11"/>
        <v>0.80759329397741619</v>
      </c>
      <c r="D40" s="126">
        <f t="shared" si="11"/>
        <v>0.41</v>
      </c>
      <c r="E40" s="126">
        <f t="shared" si="11"/>
        <v>0.82</v>
      </c>
      <c r="F40" s="159">
        <f t="shared" si="0"/>
        <v>0.382661544636202</v>
      </c>
      <c r="G40" s="159">
        <v>0.03</v>
      </c>
      <c r="H40" s="159">
        <f t="shared" si="8"/>
        <v>1.147984633908606E-2</v>
      </c>
      <c r="I40" s="159">
        <f t="shared" si="2"/>
        <v>6.7239690653921992E-3</v>
      </c>
      <c r="J40" s="168">
        <f t="shared" si="3"/>
        <v>17.10513618027424</v>
      </c>
      <c r="K40" s="170">
        <f t="shared" si="1"/>
        <v>1.7571582929203682E-2</v>
      </c>
      <c r="L40" s="170">
        <f t="shared" si="9"/>
        <v>44.700431543326808</v>
      </c>
      <c r="M40" s="48">
        <f t="shared" si="4"/>
        <v>7.8767186697292803E-3</v>
      </c>
      <c r="N40" s="124">
        <f t="shared" si="10"/>
        <v>20.037621260467407</v>
      </c>
      <c r="O40" s="164">
        <f t="shared" si="5"/>
        <v>7.0953462690964688E-3</v>
      </c>
      <c r="P40" s="164">
        <f t="shared" si="6"/>
        <v>18.049884376143648</v>
      </c>
      <c r="Q40" s="164">
        <f t="shared" si="7"/>
        <v>8.3117643585896364E-3</v>
      </c>
      <c r="R40" s="164">
        <f t="shared" si="6"/>
        <v>21.144336011863064</v>
      </c>
      <c r="V40" s="131">
        <v>170</v>
      </c>
      <c r="W40" s="136">
        <v>30.083140626906079</v>
      </c>
      <c r="X40" s="137">
        <v>35.240560019771777</v>
      </c>
    </row>
    <row r="41" spans="1:24" ht="19" thickBot="1">
      <c r="A41">
        <v>180</v>
      </c>
      <c r="B41" s="161">
        <f t="shared" si="11"/>
        <v>0.765323089272404</v>
      </c>
      <c r="C41" s="165">
        <f t="shared" si="11"/>
        <v>0.80759329397741619</v>
      </c>
      <c r="D41" s="126">
        <f t="shared" si="11"/>
        <v>0.41</v>
      </c>
      <c r="E41" s="126">
        <f t="shared" si="11"/>
        <v>0.82</v>
      </c>
      <c r="F41" s="159">
        <f t="shared" si="0"/>
        <v>0.382661544636202</v>
      </c>
      <c r="G41" s="159">
        <v>0.02</v>
      </c>
      <c r="H41" s="159">
        <f t="shared" si="8"/>
        <v>7.6532308927240401E-3</v>
      </c>
      <c r="I41" s="159">
        <f t="shared" si="2"/>
        <v>4.4826460435947995E-3</v>
      </c>
      <c r="J41" s="169">
        <f t="shared" si="3"/>
        <v>11.403424120182827</v>
      </c>
      <c r="K41" s="170">
        <f t="shared" si="1"/>
        <v>1.1714388619469121E-2</v>
      </c>
      <c r="L41" s="170">
        <f t="shared" si="9"/>
        <v>29.800287695551201</v>
      </c>
      <c r="M41" s="48">
        <f t="shared" si="4"/>
        <v>5.2511457798195202E-3</v>
      </c>
      <c r="N41" s="125">
        <f t="shared" si="10"/>
        <v>13.358414173644938</v>
      </c>
      <c r="O41" s="164">
        <f t="shared" si="5"/>
        <v>4.7302308460643126E-3</v>
      </c>
      <c r="P41" s="164">
        <f t="shared" si="6"/>
        <v>12.033256250762431</v>
      </c>
      <c r="Q41" s="164">
        <f t="shared" si="7"/>
        <v>5.5411762390597573E-3</v>
      </c>
      <c r="R41" s="164">
        <f t="shared" si="6"/>
        <v>14.096224007908708</v>
      </c>
      <c r="V41" s="131">
        <v>175</v>
      </c>
      <c r="W41" s="136">
        <v>18.049884376143648</v>
      </c>
      <c r="X41" s="137">
        <v>21.144336011863064</v>
      </c>
    </row>
    <row r="42" spans="1:24" ht="19" thickBot="1">
      <c r="B42" s="43" t="s">
        <v>275</v>
      </c>
      <c r="D42" s="43" t="s">
        <v>274</v>
      </c>
      <c r="L42" s="53"/>
      <c r="M42" s="48"/>
      <c r="N42" s="48"/>
      <c r="O42" s="48"/>
      <c r="P42" s="48"/>
      <c r="Q42" s="48"/>
      <c r="V42" s="133">
        <v>180</v>
      </c>
      <c r="W42" s="138">
        <v>12.033256250762431</v>
      </c>
      <c r="X42" s="139">
        <v>14.096224007908708</v>
      </c>
    </row>
    <row r="44" spans="1:24">
      <c r="C44" t="s">
        <v>264</v>
      </c>
      <c r="D44" t="s">
        <v>265</v>
      </c>
      <c r="E44" t="s">
        <v>266</v>
      </c>
      <c r="F44" t="s">
        <v>267</v>
      </c>
    </row>
    <row r="45" spans="1:24">
      <c r="C45">
        <v>115</v>
      </c>
      <c r="D45" s="120">
        <v>226.85781143932243</v>
      </c>
      <c r="E45" s="120">
        <v>155.70464850975236</v>
      </c>
      <c r="F45" s="50">
        <f>E45/D45</f>
        <v>0.68635348071934754</v>
      </c>
    </row>
    <row r="46" spans="1:24">
      <c r="C46">
        <v>120</v>
      </c>
      <c r="D46" s="120">
        <v>337.69343653571099</v>
      </c>
      <c r="E46" s="120">
        <v>275.71032490342941</v>
      </c>
      <c r="F46" s="50">
        <f t="shared" ref="F46:F54" si="12">E46/D46</f>
        <v>0.81645153584225238</v>
      </c>
      <c r="K46" t="s">
        <v>189</v>
      </c>
    </row>
    <row r="47" spans="1:24">
      <c r="C47">
        <v>125</v>
      </c>
      <c r="D47" s="120">
        <v>346.24499569874808</v>
      </c>
      <c r="E47" s="120">
        <v>322.09391924392219</v>
      </c>
      <c r="F47" s="50">
        <f t="shared" si="12"/>
        <v>0.93024859057937503</v>
      </c>
    </row>
    <row r="48" spans="1:24">
      <c r="C48">
        <v>130</v>
      </c>
      <c r="D48" s="120">
        <v>300.56816741950297</v>
      </c>
      <c r="E48" s="120">
        <v>290.61198791381662</v>
      </c>
      <c r="F48" s="50">
        <f t="shared" si="12"/>
        <v>0.96687546924491674</v>
      </c>
    </row>
    <row r="49" spans="3:6">
      <c r="C49">
        <v>135</v>
      </c>
      <c r="D49" s="120">
        <v>303.01204274780355</v>
      </c>
      <c r="E49" s="120">
        <v>294.67438881148104</v>
      </c>
      <c r="F49" s="50">
        <f t="shared" si="12"/>
        <v>0.97248408393041352</v>
      </c>
    </row>
    <row r="50" spans="3:6">
      <c r="C50">
        <v>140</v>
      </c>
      <c r="D50" s="120">
        <v>224.31758298454537</v>
      </c>
      <c r="E50" s="120">
        <v>219.42394723387133</v>
      </c>
      <c r="F50" s="50">
        <f t="shared" si="12"/>
        <v>0.9781843416571977</v>
      </c>
    </row>
    <row r="51" spans="3:6">
      <c r="C51">
        <v>145</v>
      </c>
      <c r="D51" s="120">
        <v>156.29215974873262</v>
      </c>
      <c r="E51" s="120">
        <v>156.73317968388216</v>
      </c>
      <c r="F51" s="50">
        <f t="shared" si="12"/>
        <v>1.0028217662092491</v>
      </c>
    </row>
    <row r="52" spans="3:6">
      <c r="C52">
        <v>150</v>
      </c>
      <c r="D52" s="120">
        <v>122.28822534329903</v>
      </c>
      <c r="E52" s="120">
        <v>125.84527053074225</v>
      </c>
      <c r="F52" s="50">
        <f t="shared" si="12"/>
        <v>1.0290873890553041</v>
      </c>
    </row>
    <row r="53" spans="3:6">
      <c r="C53">
        <v>155</v>
      </c>
      <c r="D53" s="120">
        <v>87.455050285298853</v>
      </c>
      <c r="E53" s="120">
        <v>91.12081092503891</v>
      </c>
      <c r="F53" s="50">
        <f t="shared" si="12"/>
        <v>1.0419159399918185</v>
      </c>
    </row>
    <row r="54" spans="3:6">
      <c r="C54">
        <v>160</v>
      </c>
      <c r="D54" s="120">
        <v>65.248277553498326</v>
      </c>
      <c r="E54" s="120">
        <v>68.852060174845775</v>
      </c>
      <c r="F54" s="50">
        <f t="shared" si="12"/>
        <v>1.0552318429922174</v>
      </c>
    </row>
  </sheetData>
  <mergeCells count="20">
    <mergeCell ref="C15:F15"/>
    <mergeCell ref="C5:F5"/>
    <mergeCell ref="C6:F6"/>
    <mergeCell ref="C7:F7"/>
    <mergeCell ref="G7:G8"/>
    <mergeCell ref="C8:F8"/>
    <mergeCell ref="C9:F9"/>
    <mergeCell ref="C10:F10"/>
    <mergeCell ref="C11:F11"/>
    <mergeCell ref="C12:F12"/>
    <mergeCell ref="C13:F13"/>
    <mergeCell ref="C14:F14"/>
    <mergeCell ref="M22:N22"/>
    <mergeCell ref="Q22:R22"/>
    <mergeCell ref="C16:F16"/>
    <mergeCell ref="C17:F17"/>
    <mergeCell ref="C18:F18"/>
    <mergeCell ref="C19:F19"/>
    <mergeCell ref="C20:F20"/>
    <mergeCell ref="K22:L2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0"/>
  <sheetViews>
    <sheetView zoomScaleNormal="100" workbookViewId="0">
      <selection activeCell="E27" sqref="E27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5">
      <c r="A1" t="s">
        <v>44</v>
      </c>
    </row>
    <row r="2" spans="1:5">
      <c r="B2" t="s">
        <v>1</v>
      </c>
      <c r="C2" s="1">
        <v>6.626068E-34</v>
      </c>
    </row>
    <row r="3" spans="1:5">
      <c r="B3" t="s">
        <v>2</v>
      </c>
      <c r="C3" s="1">
        <v>299792458</v>
      </c>
    </row>
    <row r="4" spans="1:5">
      <c r="B4" t="s">
        <v>3</v>
      </c>
      <c r="C4" s="1">
        <v>9.9999999999999995E-8</v>
      </c>
      <c r="D4" t="s">
        <v>4</v>
      </c>
    </row>
    <row r="5" spans="1:5">
      <c r="B5" s="2"/>
      <c r="C5" s="2" t="s">
        <v>5</v>
      </c>
      <c r="D5" s="2" t="s">
        <v>6</v>
      </c>
    </row>
    <row r="6" spans="1:5">
      <c r="B6" s="3" t="s">
        <v>7</v>
      </c>
      <c r="C6" s="181">
        <v>170</v>
      </c>
      <c r="D6" s="182"/>
    </row>
    <row r="7" spans="1:5">
      <c r="B7" s="3" t="s">
        <v>8</v>
      </c>
      <c r="C7" s="181">
        <v>0.75</v>
      </c>
      <c r="D7" s="182"/>
      <c r="E7" s="183" t="s">
        <v>45</v>
      </c>
    </row>
    <row r="8" spans="1:5">
      <c r="B8" s="3" t="s">
        <v>10</v>
      </c>
      <c r="C8" s="181">
        <v>0.34</v>
      </c>
      <c r="D8" s="182"/>
      <c r="E8" s="184"/>
    </row>
    <row r="9" spans="1:5">
      <c r="B9" s="3" t="s">
        <v>11</v>
      </c>
      <c r="C9" s="181">
        <v>0.42</v>
      </c>
      <c r="D9" s="182"/>
      <c r="E9" s="184"/>
    </row>
    <row r="10" spans="1:5">
      <c r="B10" s="3" t="s">
        <v>12</v>
      </c>
      <c r="C10" s="181">
        <v>0.65</v>
      </c>
      <c r="D10" s="182"/>
      <c r="E10" s="184"/>
    </row>
    <row r="11" spans="1:5">
      <c r="B11" s="2" t="s">
        <v>13</v>
      </c>
      <c r="C11" s="185">
        <v>0.39</v>
      </c>
      <c r="D11" s="182"/>
      <c r="E11" s="184"/>
    </row>
    <row r="12" spans="1:5">
      <c r="B12" s="4" t="s">
        <v>46</v>
      </c>
      <c r="C12" s="181">
        <f>C7^3*C8*C9*C10*C11</f>
        <v>1.5271790625000002E-2</v>
      </c>
      <c r="D12" s="182"/>
    </row>
    <row r="13" spans="1:5">
      <c r="B13" s="2" t="s">
        <v>15</v>
      </c>
      <c r="C13" s="186">
        <f>PI()*(C6/2)^2*C12</f>
        <v>346.63920932042919</v>
      </c>
      <c r="D13" s="187"/>
    </row>
    <row r="14" spans="1:5">
      <c r="B14" s="5" t="s">
        <v>16</v>
      </c>
      <c r="C14" s="188">
        <v>12</v>
      </c>
      <c r="D14" s="188"/>
    </row>
    <row r="15" spans="1:5">
      <c r="B15" s="2" t="s">
        <v>17</v>
      </c>
      <c r="C15" s="188">
        <v>9</v>
      </c>
      <c r="D15" s="188"/>
    </row>
    <row r="16" spans="1:5">
      <c r="B16" s="3" t="s">
        <v>18</v>
      </c>
      <c r="C16" s="188">
        <v>3</v>
      </c>
      <c r="D16" s="188"/>
    </row>
    <row r="17" spans="1:17">
      <c r="B17" s="3" t="s">
        <v>19</v>
      </c>
      <c r="C17" s="181">
        <v>2</v>
      </c>
      <c r="D17" s="182"/>
    </row>
    <row r="18" spans="1:17">
      <c r="B18" s="3" t="s">
        <v>20</v>
      </c>
      <c r="C18" s="181">
        <v>6</v>
      </c>
      <c r="D18" s="182"/>
    </row>
    <row r="19" spans="1:17">
      <c r="B19" s="3" t="s">
        <v>21</v>
      </c>
      <c r="C19" s="181">
        <v>60</v>
      </c>
      <c r="D19" s="182"/>
    </row>
    <row r="20" spans="1:17">
      <c r="B20" s="3" t="s">
        <v>22</v>
      </c>
      <c r="C20" s="181">
        <f>C15*C17*C16^2</f>
        <v>162</v>
      </c>
      <c r="D20" s="182"/>
    </row>
    <row r="21" spans="1:17">
      <c r="B21" s="3" t="s">
        <v>23</v>
      </c>
      <c r="C21" s="181">
        <f>C15*C18*C16^2</f>
        <v>486</v>
      </c>
      <c r="D21" s="182"/>
      <c r="E21" s="7"/>
    </row>
    <row r="22" spans="1:17">
      <c r="B22" s="3" t="s">
        <v>24</v>
      </c>
      <c r="C22" s="181">
        <f>C15*C19*C16^2</f>
        <v>4860</v>
      </c>
      <c r="D22" s="182"/>
    </row>
    <row r="23" spans="1:17">
      <c r="B23" s="3" t="s">
        <v>25</v>
      </c>
      <c r="C23" s="2">
        <v>12</v>
      </c>
      <c r="D23" s="2">
        <v>36</v>
      </c>
    </row>
    <row r="24" spans="1:17">
      <c r="B24" s="3" t="s">
        <v>26</v>
      </c>
      <c r="C24" s="6">
        <f>C23*C15/6</f>
        <v>18</v>
      </c>
      <c r="D24" s="6">
        <f>D23*C15/6</f>
        <v>54</v>
      </c>
    </row>
    <row r="25" spans="1:17">
      <c r="B25" s="3" t="s">
        <v>27</v>
      </c>
      <c r="C25" s="6">
        <f>C23*C15*1</f>
        <v>108</v>
      </c>
      <c r="D25" s="6">
        <f>D23*C15*1</f>
        <v>324</v>
      </c>
    </row>
    <row r="26" spans="1:17">
      <c r="B26" s="3" t="s">
        <v>28</v>
      </c>
      <c r="C26" s="6">
        <f>C23*C15*10</f>
        <v>1080</v>
      </c>
      <c r="D26" s="6">
        <f>C15*D23*10</f>
        <v>3240</v>
      </c>
    </row>
    <row r="28" spans="1:17">
      <c r="D28" s="189" t="s">
        <v>29</v>
      </c>
      <c r="E28" s="189"/>
      <c r="F28" s="189" t="s">
        <v>30</v>
      </c>
      <c r="G28" s="189"/>
      <c r="H28" s="189" t="s">
        <v>31</v>
      </c>
      <c r="I28" s="189"/>
      <c r="J28" s="189" t="s">
        <v>64</v>
      </c>
      <c r="K28" s="189"/>
      <c r="L28" s="189" t="s">
        <v>32</v>
      </c>
      <c r="M28" s="189"/>
      <c r="N28" s="189" t="s">
        <v>33</v>
      </c>
      <c r="O28" s="189"/>
      <c r="P28" s="189" t="s">
        <v>31</v>
      </c>
      <c r="Q28" s="189"/>
    </row>
    <row r="29" spans="1:17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39</v>
      </c>
      <c r="H29" t="s">
        <v>40</v>
      </c>
      <c r="I29" t="s">
        <v>39</v>
      </c>
      <c r="J29" t="s">
        <v>40</v>
      </c>
      <c r="K29" t="s">
        <v>39</v>
      </c>
      <c r="L29" t="s">
        <v>40</v>
      </c>
      <c r="M29" t="s">
        <v>39</v>
      </c>
      <c r="N29" t="s">
        <v>40</v>
      </c>
      <c r="O29" t="s">
        <v>39</v>
      </c>
      <c r="P29" t="s">
        <v>40</v>
      </c>
      <c r="Q29" t="s">
        <v>39</v>
      </c>
    </row>
    <row r="30" spans="1:17">
      <c r="A30" s="1">
        <v>5.0000000000000002E-11</v>
      </c>
      <c r="B30" s="1">
        <f t="shared" ref="B30:B41" si="0">A30*$C$4/($C$2*$C$3/(1.2*10^-7))</f>
        <v>3.0204709205956108</v>
      </c>
      <c r="C30" s="1">
        <f>B30*PI()*($C$6/2)^2*$C$7^3*$C$8*$C$9*$C$10*3600</f>
        <v>9664741.4002210274</v>
      </c>
      <c r="D30" s="1">
        <f>C30*$C$11/6</f>
        <v>628208.19101436681</v>
      </c>
      <c r="E30" s="1">
        <f>D30/SQRT(D30+($C$24+$C$20)*2)</f>
        <v>792.36885173336225</v>
      </c>
      <c r="F30" s="1">
        <f t="shared" ref="F30:F93" si="1">C30*$C$11*1</f>
        <v>3769249.1460862006</v>
      </c>
      <c r="G30" s="1">
        <f>F30/SQRT(F30+($C$25+$C$21)*2)</f>
        <v>1941.1495358175271</v>
      </c>
      <c r="H30" s="1">
        <f t="shared" ref="H30:H93" si="2">C30*$C$11*10</f>
        <v>37692491.460862003</v>
      </c>
      <c r="I30" s="1">
        <f>H30/SQRT(H30+($C$26+$C$22)*2)</f>
        <v>6138.4538121619853</v>
      </c>
      <c r="J30" s="1">
        <f>C30*$C$11*50</f>
        <v>188462457.30431002</v>
      </c>
      <c r="K30" s="1">
        <f>J30/SQRT(J30+($C$26+$C$22)*2)</f>
        <v>13727.730258609236</v>
      </c>
      <c r="L30" s="1">
        <f t="shared" ref="L30:L61" si="3">C30*$C$11/6</f>
        <v>628208.19101436681</v>
      </c>
      <c r="M30" s="1">
        <f>L30/SQRT(L30+($D$24+$C$20)*2)</f>
        <v>792.32347427279285</v>
      </c>
      <c r="N30" s="1">
        <f t="shared" ref="N30:N61" si="4">C30*$C$11*1</f>
        <v>3769249.1460862006</v>
      </c>
      <c r="O30" s="1">
        <f>N30/SQRT(N30+($D$25+$C$21)*2)</f>
        <v>1941.0383412114948</v>
      </c>
      <c r="P30" s="1">
        <f t="shared" ref="P30:P61" si="5">C30*$C$11*10</f>
        <v>37692491.460862003</v>
      </c>
      <c r="Q30" s="1">
        <f>P30/SQRT(P30+($D$26+$C$22)*2)</f>
        <v>6138.1021839433979</v>
      </c>
    </row>
    <row r="31" spans="1:17">
      <c r="A31" s="1">
        <v>4.5E-11</v>
      </c>
      <c r="B31" s="1">
        <f t="shared" si="0"/>
        <v>2.71842382853605</v>
      </c>
      <c r="C31" s="1">
        <f t="shared" ref="C31:C94" si="6">B31*PI()*($C$6/2)^2*$C$7^3*$C$8*$C$9*$C$10*3600</f>
        <v>8698267.2601989266</v>
      </c>
      <c r="D31" s="1">
        <f t="shared" ref="D31:D94" si="7">C31*$C$11/6</f>
        <v>565387.37191293028</v>
      </c>
      <c r="E31" s="1">
        <f t="shared" ref="E31:E94" si="8">D31/SQRT(D31+($C$24+$C$20)*2)</f>
        <v>751.68317860016111</v>
      </c>
      <c r="F31" s="1">
        <f t="shared" si="1"/>
        <v>3392324.2314775814</v>
      </c>
      <c r="G31" s="1">
        <f t="shared" ref="G31:G94" si="9">F31/SQRT(F31+($C$25+$C$21)*2)</f>
        <v>1841.503909138494</v>
      </c>
      <c r="H31" s="1">
        <f t="shared" si="2"/>
        <v>33923242.314775817</v>
      </c>
      <c r="I31" s="1">
        <f t="shared" ref="I31:I94" si="10">H31/SQRT(H31+($C$26+$C$22)*2)</f>
        <v>5823.3466729814008</v>
      </c>
      <c r="J31" s="1">
        <f t="shared" ref="J31:J94" si="11">C31*$C$11*50</f>
        <v>169616211.57387906</v>
      </c>
      <c r="K31" s="1">
        <f t="shared" ref="K31:K94" si="12">J31/SQRT(J31+($C$26+$C$22)*2)</f>
        <v>13023.222811804366</v>
      </c>
      <c r="L31" s="1">
        <f t="shared" si="3"/>
        <v>565387.37191293028</v>
      </c>
      <c r="M31" s="1">
        <f t="shared" ref="M31:M94" si="13">L31/SQRT(L31+($D$24+$C$20)*2)</f>
        <v>751.63535157852357</v>
      </c>
      <c r="N31" s="1">
        <f t="shared" si="4"/>
        <v>3392324.2314775814</v>
      </c>
      <c r="O31" s="1">
        <f t="shared" ref="O31:O94" si="14">N31/SQRT(N31+($D$25+$C$21)*2)</f>
        <v>1841.3867070056722</v>
      </c>
      <c r="P31" s="1">
        <f t="shared" si="5"/>
        <v>33923242.314775817</v>
      </c>
      <c r="Q31" s="1">
        <f t="shared" ref="Q31:Q94" si="15">P31/SQRT(P31+($D$26+$C$22)*2)</f>
        <v>5822.9760472950547</v>
      </c>
    </row>
    <row r="32" spans="1:17">
      <c r="A32" s="1">
        <v>3.9999999999999998E-11</v>
      </c>
      <c r="B32" s="1">
        <f t="shared" si="0"/>
        <v>2.4163767364764888</v>
      </c>
      <c r="C32" s="1">
        <f t="shared" si="6"/>
        <v>7731793.1201768219</v>
      </c>
      <c r="D32" s="1">
        <f t="shared" si="7"/>
        <v>502566.55281149346</v>
      </c>
      <c r="E32" s="1">
        <f t="shared" si="8"/>
        <v>708.66551383794365</v>
      </c>
      <c r="F32" s="1">
        <f t="shared" si="1"/>
        <v>3015399.3168689609</v>
      </c>
      <c r="G32" s="1">
        <f t="shared" si="9"/>
        <v>1736.1485491541637</v>
      </c>
      <c r="H32" s="1">
        <f t="shared" si="2"/>
        <v>30153993.168689609</v>
      </c>
      <c r="I32" s="1">
        <f t="shared" si="10"/>
        <v>5490.183771723955</v>
      </c>
      <c r="J32" s="1">
        <f t="shared" si="11"/>
        <v>150769965.84344804</v>
      </c>
      <c r="K32" s="1">
        <f t="shared" si="12"/>
        <v>12278.358472510292</v>
      </c>
      <c r="L32" s="1">
        <f t="shared" si="3"/>
        <v>502566.55281149346</v>
      </c>
      <c r="M32" s="1">
        <f t="shared" si="13"/>
        <v>708.61479227746145</v>
      </c>
      <c r="N32" s="1">
        <f t="shared" si="4"/>
        <v>3015399.3168689609</v>
      </c>
      <c r="O32" s="1">
        <f t="shared" si="14"/>
        <v>1736.0242471619238</v>
      </c>
      <c r="P32" s="1">
        <f t="shared" si="5"/>
        <v>30153993.168689609</v>
      </c>
      <c r="Q32" s="1">
        <f t="shared" si="15"/>
        <v>5489.7906943107801</v>
      </c>
    </row>
    <row r="33" spans="1:17">
      <c r="A33" s="1">
        <v>3.5000000000000002E-11</v>
      </c>
      <c r="B33" s="1">
        <f t="shared" si="0"/>
        <v>2.1143296444169275</v>
      </c>
      <c r="C33" s="1">
        <f t="shared" si="6"/>
        <v>6765318.9801547183</v>
      </c>
      <c r="D33" s="1">
        <f t="shared" si="7"/>
        <v>439745.73371005669</v>
      </c>
      <c r="E33" s="1">
        <f t="shared" si="8"/>
        <v>662.86199784325231</v>
      </c>
      <c r="F33" s="1">
        <f t="shared" si="1"/>
        <v>2638474.4022603403</v>
      </c>
      <c r="G33" s="1">
        <f t="shared" si="9"/>
        <v>1623.9725788721657</v>
      </c>
      <c r="H33" s="1">
        <f t="shared" si="2"/>
        <v>26384744.022603404</v>
      </c>
      <c r="I33" s="1">
        <f t="shared" si="10"/>
        <v>5135.4522068934812</v>
      </c>
      <c r="J33" s="1">
        <f t="shared" si="11"/>
        <v>131923720.11301701</v>
      </c>
      <c r="K33" s="1">
        <f t="shared" si="12"/>
        <v>11485.288032206197</v>
      </c>
      <c r="L33" s="1">
        <f t="shared" si="3"/>
        <v>439745.73371005669</v>
      </c>
      <c r="M33" s="1">
        <f t="shared" si="13"/>
        <v>662.80778336124797</v>
      </c>
      <c r="N33" s="1">
        <f t="shared" si="4"/>
        <v>2638474.4022603403</v>
      </c>
      <c r="O33" s="1">
        <f t="shared" si="14"/>
        <v>1623.8397077038435</v>
      </c>
      <c r="P33" s="1">
        <f t="shared" si="5"/>
        <v>26384744.022603404</v>
      </c>
      <c r="Q33" s="1">
        <f t="shared" si="15"/>
        <v>5135.0320313662151</v>
      </c>
    </row>
    <row r="34" spans="1:17">
      <c r="A34" s="1">
        <v>3E-11</v>
      </c>
      <c r="B34" s="1">
        <f t="shared" si="0"/>
        <v>1.8122825523573667</v>
      </c>
      <c r="C34" s="1">
        <f t="shared" si="6"/>
        <v>5798844.8401326193</v>
      </c>
      <c r="D34" s="1">
        <f t="shared" si="7"/>
        <v>376924.91460862028</v>
      </c>
      <c r="E34" s="1">
        <f t="shared" si="8"/>
        <v>613.64913274247851</v>
      </c>
      <c r="F34" s="1">
        <f t="shared" si="1"/>
        <v>2261549.4876517216</v>
      </c>
      <c r="G34" s="1">
        <f t="shared" si="9"/>
        <v>1503.4500694684555</v>
      </c>
      <c r="H34" s="1">
        <f t="shared" si="2"/>
        <v>22615494.876517214</v>
      </c>
      <c r="I34" s="1">
        <f t="shared" si="10"/>
        <v>4754.326567858694</v>
      </c>
      <c r="J34" s="1">
        <f t="shared" si="11"/>
        <v>113077474.38258608</v>
      </c>
      <c r="K34" s="1">
        <f t="shared" si="12"/>
        <v>10633.230724035673</v>
      </c>
      <c r="L34" s="1">
        <f t="shared" si="3"/>
        <v>376924.91460862028</v>
      </c>
      <c r="M34" s="1">
        <f t="shared" si="13"/>
        <v>613.59058757797595</v>
      </c>
      <c r="N34" s="1">
        <f t="shared" si="4"/>
        <v>2261549.4876517216</v>
      </c>
      <c r="O34" s="1">
        <f t="shared" si="14"/>
        <v>1503.3065712835776</v>
      </c>
      <c r="P34" s="1">
        <f t="shared" si="5"/>
        <v>22615494.876517214</v>
      </c>
      <c r="Q34" s="1">
        <f t="shared" si="15"/>
        <v>4753.8727867543803</v>
      </c>
    </row>
    <row r="35" spans="1:17">
      <c r="A35" s="1">
        <v>2.5000000000000001E-11</v>
      </c>
      <c r="B35" s="1">
        <f t="shared" si="0"/>
        <v>1.5102354602978054</v>
      </c>
      <c r="C35" s="1">
        <f t="shared" si="6"/>
        <v>4832370.7001105137</v>
      </c>
      <c r="D35" s="1">
        <f t="shared" si="7"/>
        <v>314104.0955071834</v>
      </c>
      <c r="E35" s="1">
        <f t="shared" si="8"/>
        <v>560.1290098155107</v>
      </c>
      <c r="F35" s="1">
        <f t="shared" si="1"/>
        <v>1884624.5730431003</v>
      </c>
      <c r="G35" s="1">
        <f t="shared" si="9"/>
        <v>1372.3838098156405</v>
      </c>
      <c r="H35" s="1">
        <f t="shared" si="2"/>
        <v>18846245.730431002</v>
      </c>
      <c r="I35" s="1">
        <f t="shared" si="10"/>
        <v>4339.8586629567699</v>
      </c>
      <c r="J35" s="1">
        <f t="shared" si="11"/>
        <v>94231228.652155012</v>
      </c>
      <c r="K35" s="1">
        <f t="shared" si="12"/>
        <v>9706.6652435175547</v>
      </c>
      <c r="L35" s="1">
        <f t="shared" si="3"/>
        <v>314104.0955071834</v>
      </c>
      <c r="M35" s="1">
        <f t="shared" si="13"/>
        <v>560.06489698795826</v>
      </c>
      <c r="N35" s="1">
        <f t="shared" si="4"/>
        <v>1884624.5730431003</v>
      </c>
      <c r="O35" s="1">
        <f t="shared" si="14"/>
        <v>1372.226644683418</v>
      </c>
      <c r="P35" s="1">
        <f t="shared" si="5"/>
        <v>18846245.730431002</v>
      </c>
      <c r="Q35" s="1">
        <f t="shared" si="15"/>
        <v>4339.3616631701843</v>
      </c>
    </row>
    <row r="36" spans="1:17">
      <c r="A36" s="1">
        <v>1.9999999999999999E-11</v>
      </c>
      <c r="B36" s="1">
        <f t="shared" si="0"/>
        <v>1.2081883682382444</v>
      </c>
      <c r="C36" s="1">
        <f t="shared" si="6"/>
        <v>3865896.560088411</v>
      </c>
      <c r="D36" s="1">
        <f t="shared" si="7"/>
        <v>251283.27640574673</v>
      </c>
      <c r="E36" s="1">
        <f t="shared" si="8"/>
        <v>500.92293960298957</v>
      </c>
      <c r="F36" s="1">
        <f t="shared" si="1"/>
        <v>1507699.6584344804</v>
      </c>
      <c r="G36" s="1">
        <f t="shared" si="9"/>
        <v>1227.4007470212855</v>
      </c>
      <c r="H36" s="1">
        <f t="shared" si="2"/>
        <v>15076996.584344804</v>
      </c>
      <c r="I36" s="1">
        <f t="shared" si="10"/>
        <v>3881.3819623793916</v>
      </c>
      <c r="J36" s="1">
        <f t="shared" si="11"/>
        <v>75384982.921724021</v>
      </c>
      <c r="K36" s="1">
        <f t="shared" si="12"/>
        <v>8681.7685291426023</v>
      </c>
      <c r="L36" s="1">
        <f t="shared" si="3"/>
        <v>251283.27640574673</v>
      </c>
      <c r="M36" s="1">
        <f t="shared" si="13"/>
        <v>500.851293114893</v>
      </c>
      <c r="N36" s="1">
        <f t="shared" si="4"/>
        <v>1507699.6584344804</v>
      </c>
      <c r="O36" s="1">
        <f t="shared" si="14"/>
        <v>1227.2250801019154</v>
      </c>
      <c r="P36" s="1">
        <f t="shared" si="5"/>
        <v>15076996.584344804</v>
      </c>
      <c r="Q36" s="1">
        <f t="shared" si="15"/>
        <v>3880.8264548046373</v>
      </c>
    </row>
    <row r="37" spans="1:17">
      <c r="A37" s="1">
        <v>1.5E-11</v>
      </c>
      <c r="B37" s="1">
        <f t="shared" si="0"/>
        <v>0.90614127617868334</v>
      </c>
      <c r="C37" s="1">
        <f t="shared" si="6"/>
        <v>2899422.4200663096</v>
      </c>
      <c r="D37" s="1">
        <f t="shared" si="7"/>
        <v>188462.45730431014</v>
      </c>
      <c r="E37" s="1">
        <f t="shared" si="8"/>
        <v>433.70859302456455</v>
      </c>
      <c r="F37" s="1">
        <f t="shared" si="1"/>
        <v>1130774.7438258608</v>
      </c>
      <c r="G37" s="1">
        <f t="shared" si="9"/>
        <v>1062.8207707027623</v>
      </c>
      <c r="H37" s="1">
        <f t="shared" si="2"/>
        <v>11307747.438258607</v>
      </c>
      <c r="I37" s="1">
        <f t="shared" si="10"/>
        <v>3360.9343799562848</v>
      </c>
      <c r="J37" s="1">
        <f t="shared" si="11"/>
        <v>56538737.191293038</v>
      </c>
      <c r="K37" s="1">
        <f t="shared" si="12"/>
        <v>7518.4346566962431</v>
      </c>
      <c r="L37" s="1">
        <f t="shared" si="3"/>
        <v>188462.45730431014</v>
      </c>
      <c r="M37" s="1">
        <f t="shared" si="13"/>
        <v>433.62592782788761</v>
      </c>
      <c r="N37" s="1">
        <f t="shared" si="4"/>
        <v>1130774.7438258608</v>
      </c>
      <c r="O37" s="1">
        <f t="shared" si="14"/>
        <v>1062.6180223355202</v>
      </c>
      <c r="P37" s="1">
        <f t="shared" si="5"/>
        <v>11307747.438258607</v>
      </c>
      <c r="Q37" s="1">
        <f t="shared" si="15"/>
        <v>3360.2932333239196</v>
      </c>
    </row>
    <row r="38" spans="1:17">
      <c r="A38" s="1">
        <v>9.9999999999999994E-12</v>
      </c>
      <c r="B38" s="1">
        <f t="shared" si="0"/>
        <v>0.60409418411912219</v>
      </c>
      <c r="C38" s="1">
        <f t="shared" si="6"/>
        <v>1932948.2800442055</v>
      </c>
      <c r="D38" s="1">
        <f t="shared" si="7"/>
        <v>125641.63820287336</v>
      </c>
      <c r="E38" s="1">
        <f t="shared" si="8"/>
        <v>353.95291602263853</v>
      </c>
      <c r="F38" s="1">
        <f t="shared" si="1"/>
        <v>753849.82921724021</v>
      </c>
      <c r="G38" s="1">
        <f t="shared" si="9"/>
        <v>867.56192773391319</v>
      </c>
      <c r="H38" s="1">
        <f t="shared" si="2"/>
        <v>7538498.2921724021</v>
      </c>
      <c r="I38" s="1">
        <f t="shared" si="10"/>
        <v>2743.4717028855675</v>
      </c>
      <c r="J38" s="1">
        <f t="shared" si="11"/>
        <v>37692491.460862011</v>
      </c>
      <c r="K38" s="1">
        <f t="shared" si="12"/>
        <v>6138.4538121619853</v>
      </c>
      <c r="L38" s="1">
        <f t="shared" si="3"/>
        <v>125641.63820287336</v>
      </c>
      <c r="M38" s="1">
        <f t="shared" si="13"/>
        <v>353.85183125230753</v>
      </c>
      <c r="N38" s="1">
        <f t="shared" si="4"/>
        <v>753849.82921724021</v>
      </c>
      <c r="O38" s="1">
        <f t="shared" si="14"/>
        <v>867.3138434741935</v>
      </c>
      <c r="P38" s="1">
        <f t="shared" si="5"/>
        <v>7538498.2921724021</v>
      </c>
      <c r="Q38" s="1">
        <f t="shared" si="15"/>
        <v>2742.6871915732163</v>
      </c>
    </row>
    <row r="39" spans="1:17">
      <c r="A39" s="1">
        <v>9.4999999999999995E-12</v>
      </c>
      <c r="B39" s="1">
        <f t="shared" si="0"/>
        <v>0.57388947491316611</v>
      </c>
      <c r="C39" s="1">
        <f t="shared" si="6"/>
        <v>1836300.8660419954</v>
      </c>
      <c r="D39" s="1">
        <f t="shared" si="7"/>
        <v>119359.5562927297</v>
      </c>
      <c r="E39" s="1">
        <f t="shared" si="8"/>
        <v>344.96469213911666</v>
      </c>
      <c r="F39" s="1">
        <f t="shared" si="1"/>
        <v>716157.33775637823</v>
      </c>
      <c r="G39" s="1">
        <f t="shared" si="9"/>
        <v>845.55975850938069</v>
      </c>
      <c r="H39" s="1">
        <f t="shared" si="2"/>
        <v>7161573.377563782</v>
      </c>
      <c r="I39" s="1">
        <f t="shared" si="10"/>
        <v>2673.894734671584</v>
      </c>
      <c r="J39" s="1">
        <f t="shared" si="11"/>
        <v>35807866.88781891</v>
      </c>
      <c r="K39" s="1">
        <f t="shared" si="12"/>
        <v>5982.9750816752739</v>
      </c>
      <c r="L39" s="1">
        <f t="shared" si="3"/>
        <v>119359.5562927297</v>
      </c>
      <c r="M39" s="1">
        <f t="shared" si="13"/>
        <v>344.86100707221277</v>
      </c>
      <c r="N39" s="1">
        <f t="shared" si="4"/>
        <v>716157.33775637823</v>
      </c>
      <c r="O39" s="1">
        <f t="shared" si="14"/>
        <v>845.30526677848718</v>
      </c>
      <c r="P39" s="1">
        <f t="shared" si="5"/>
        <v>7161573.377563782</v>
      </c>
      <c r="Q39" s="1">
        <f t="shared" si="15"/>
        <v>2673.0899611562822</v>
      </c>
    </row>
    <row r="40" spans="1:17">
      <c r="A40" s="1">
        <v>8.9999999999999996E-12</v>
      </c>
      <c r="B40" s="1">
        <f t="shared" si="0"/>
        <v>0.54368476570720992</v>
      </c>
      <c r="C40" s="1">
        <f t="shared" si="6"/>
        <v>1739653.4520397848</v>
      </c>
      <c r="D40" s="1">
        <f t="shared" si="7"/>
        <v>113077.47438258602</v>
      </c>
      <c r="E40" s="1">
        <f t="shared" si="8"/>
        <v>335.73593323054183</v>
      </c>
      <c r="F40" s="1">
        <f t="shared" si="1"/>
        <v>678464.84629551612</v>
      </c>
      <c r="G40" s="1">
        <f t="shared" si="9"/>
        <v>822.96957590273485</v>
      </c>
      <c r="H40" s="1">
        <f t="shared" si="2"/>
        <v>6784648.462955161</v>
      </c>
      <c r="I40" s="1">
        <f t="shared" si="10"/>
        <v>2602.4583048754635</v>
      </c>
      <c r="J40" s="1">
        <f t="shared" si="11"/>
        <v>33923242.31477581</v>
      </c>
      <c r="K40" s="1">
        <f t="shared" si="12"/>
        <v>5823.3466729813999</v>
      </c>
      <c r="L40" s="1">
        <f t="shared" si="3"/>
        <v>113077.47438258602</v>
      </c>
      <c r="M40" s="1">
        <f t="shared" si="13"/>
        <v>335.6294362979209</v>
      </c>
      <c r="N40" s="1">
        <f t="shared" si="4"/>
        <v>678464.84629551612</v>
      </c>
      <c r="O40" s="1">
        <f t="shared" si="14"/>
        <v>822.70815312952072</v>
      </c>
      <c r="P40" s="1">
        <f t="shared" si="5"/>
        <v>6784648.462955161</v>
      </c>
      <c r="Q40" s="1">
        <f t="shared" si="15"/>
        <v>2601.6316134798694</v>
      </c>
    </row>
    <row r="41" spans="1:17">
      <c r="A41" s="1">
        <v>8.4999999999999997E-12</v>
      </c>
      <c r="B41" s="1">
        <f t="shared" si="0"/>
        <v>0.51348005650125383</v>
      </c>
      <c r="C41" s="1">
        <f t="shared" si="6"/>
        <v>1643006.0380375749</v>
      </c>
      <c r="D41" s="1">
        <f t="shared" si="7"/>
        <v>106795.39247244237</v>
      </c>
      <c r="E41" s="1">
        <f t="shared" si="8"/>
        <v>326.24622899114109</v>
      </c>
      <c r="F41" s="1">
        <f t="shared" si="1"/>
        <v>640772.35483465425</v>
      </c>
      <c r="G41" s="1">
        <f t="shared" si="9"/>
        <v>799.74155408204024</v>
      </c>
      <c r="H41" s="1">
        <f t="shared" si="2"/>
        <v>6407723.5483465428</v>
      </c>
      <c r="I41" s="1">
        <f t="shared" si="10"/>
        <v>2529.004850381978</v>
      </c>
      <c r="J41" s="1">
        <f t="shared" si="11"/>
        <v>32038617.741732713</v>
      </c>
      <c r="K41" s="1">
        <f t="shared" si="12"/>
        <v>5659.2174498983295</v>
      </c>
      <c r="L41" s="1">
        <f t="shared" si="3"/>
        <v>106795.39247244237</v>
      </c>
      <c r="M41" s="1">
        <f t="shared" si="13"/>
        <v>326.13667828570419</v>
      </c>
      <c r="N41" s="1">
        <f t="shared" si="4"/>
        <v>640772.35483465425</v>
      </c>
      <c r="O41" s="1">
        <f t="shared" si="14"/>
        <v>799.47260127435231</v>
      </c>
      <c r="P41" s="1">
        <f t="shared" si="5"/>
        <v>6407723.5483465428</v>
      </c>
      <c r="Q41" s="1">
        <f t="shared" si="15"/>
        <v>2528.1543469265866</v>
      </c>
    </row>
    <row r="42" spans="1:17">
      <c r="A42" s="1">
        <v>7.9999999999999998E-12</v>
      </c>
      <c r="B42" s="1">
        <f>A42*$C$4/($C$2*$C$3/(1.2*10^-7))</f>
        <v>0.48327534729529775</v>
      </c>
      <c r="C42" s="1">
        <f t="shared" si="6"/>
        <v>1546358.6240353647</v>
      </c>
      <c r="D42" s="1">
        <f t="shared" si="7"/>
        <v>100513.31056229871</v>
      </c>
      <c r="E42" s="1">
        <f t="shared" si="8"/>
        <v>316.47210831632589</v>
      </c>
      <c r="F42" s="1">
        <f t="shared" si="1"/>
        <v>603079.86337379226</v>
      </c>
      <c r="G42" s="1">
        <f t="shared" si="9"/>
        <v>775.81840594319146</v>
      </c>
      <c r="H42" s="1">
        <f t="shared" si="2"/>
        <v>6030798.6337379226</v>
      </c>
      <c r="I42" s="1">
        <f t="shared" si="10"/>
        <v>2453.3532134615975</v>
      </c>
      <c r="J42" s="1">
        <f t="shared" si="11"/>
        <v>30153993.168689612</v>
      </c>
      <c r="K42" s="1">
        <f t="shared" si="12"/>
        <v>5490.1837717239559</v>
      </c>
      <c r="L42" s="1">
        <f t="shared" si="3"/>
        <v>100513.31056229871</v>
      </c>
      <c r="M42" s="1">
        <f t="shared" si="13"/>
        <v>316.3592251314044</v>
      </c>
      <c r="N42" s="1">
        <f t="shared" si="4"/>
        <v>603079.86337379226</v>
      </c>
      <c r="O42" s="1">
        <f t="shared" si="14"/>
        <v>775.54123254542708</v>
      </c>
      <c r="P42" s="1">
        <f t="shared" si="5"/>
        <v>6030798.6337379226</v>
      </c>
      <c r="Q42" s="1">
        <f t="shared" si="15"/>
        <v>2452.4767142178539</v>
      </c>
    </row>
    <row r="43" spans="1:17">
      <c r="A43" s="1">
        <v>7.5E-12</v>
      </c>
      <c r="B43" s="1">
        <f>A43*$C$4/($C$2*$C$3/(1.2*10^-7))</f>
        <v>0.45307063808934167</v>
      </c>
      <c r="C43" s="1">
        <f t="shared" si="6"/>
        <v>1449711.2100331548</v>
      </c>
      <c r="D43" s="1">
        <f t="shared" si="7"/>
        <v>94231.22865215507</v>
      </c>
      <c r="E43" s="1">
        <f t="shared" si="8"/>
        <v>306.38635537185746</v>
      </c>
      <c r="F43" s="1">
        <f t="shared" si="1"/>
        <v>565387.37191293039</v>
      </c>
      <c r="G43" s="1">
        <f t="shared" si="9"/>
        <v>751.13371840259674</v>
      </c>
      <c r="H43" s="1">
        <f t="shared" si="2"/>
        <v>5653873.7191293035</v>
      </c>
      <c r="I43" s="1">
        <f t="shared" si="10"/>
        <v>2375.2933775037382</v>
      </c>
      <c r="J43" s="1">
        <f t="shared" si="11"/>
        <v>28269368.595646519</v>
      </c>
      <c r="K43" s="1">
        <f t="shared" si="12"/>
        <v>5315.7777969018225</v>
      </c>
      <c r="L43" s="1">
        <f t="shared" si="3"/>
        <v>94231.22865215507</v>
      </c>
      <c r="M43" s="1">
        <f t="shared" si="13"/>
        <v>306.26981585529137</v>
      </c>
      <c r="N43" s="1">
        <f t="shared" si="4"/>
        <v>565387.37191293039</v>
      </c>
      <c r="O43" s="1">
        <f t="shared" si="14"/>
        <v>750.84752142108107</v>
      </c>
      <c r="P43" s="1">
        <f t="shared" si="5"/>
        <v>5653873.7191293035</v>
      </c>
      <c r="Q43" s="1">
        <f t="shared" si="15"/>
        <v>2374.388343182683</v>
      </c>
    </row>
    <row r="44" spans="1:17">
      <c r="A44" s="1">
        <v>7.0000000000000001E-12</v>
      </c>
      <c r="B44" s="1">
        <f t="shared" ref="B44:B107" si="16">A44*$C$4/($C$2*$C$3/(1.2*10^-7))</f>
        <v>0.42286592888338553</v>
      </c>
      <c r="C44" s="1">
        <f t="shared" si="6"/>
        <v>1353063.796030944</v>
      </c>
      <c r="D44" s="1">
        <f t="shared" si="7"/>
        <v>87949.146742011362</v>
      </c>
      <c r="E44" s="1">
        <f t="shared" si="8"/>
        <v>295.95711566654245</v>
      </c>
      <c r="F44" s="1">
        <f t="shared" si="1"/>
        <v>527694.88045206817</v>
      </c>
      <c r="G44" s="1">
        <f t="shared" si="9"/>
        <v>725.60977735277731</v>
      </c>
      <c r="H44" s="1">
        <f t="shared" si="2"/>
        <v>5276948.8045206815</v>
      </c>
      <c r="I44" s="1">
        <f t="shared" si="10"/>
        <v>2294.5795889224396</v>
      </c>
      <c r="J44" s="1">
        <f t="shared" si="11"/>
        <v>26384744.022603408</v>
      </c>
      <c r="K44" s="1">
        <f t="shared" si="12"/>
        <v>5135.4522068934812</v>
      </c>
      <c r="L44" s="1">
        <f t="shared" si="3"/>
        <v>87949.146742011362</v>
      </c>
      <c r="M44" s="1">
        <f t="shared" si="13"/>
        <v>295.83653987223181</v>
      </c>
      <c r="N44" s="1">
        <f t="shared" si="4"/>
        <v>527694.88045206817</v>
      </c>
      <c r="O44" s="1">
        <f t="shared" si="14"/>
        <v>725.31361393497889</v>
      </c>
      <c r="P44" s="1">
        <f t="shared" si="5"/>
        <v>5276948.8045206815</v>
      </c>
      <c r="Q44" s="1">
        <f t="shared" si="15"/>
        <v>2293.6430379625758</v>
      </c>
    </row>
    <row r="45" spans="1:17">
      <c r="A45" s="1">
        <v>6.5000000000000002E-12</v>
      </c>
      <c r="B45" s="1">
        <f t="shared" si="16"/>
        <v>0.39266121967742945</v>
      </c>
      <c r="C45" s="1">
        <f t="shared" si="6"/>
        <v>1256416.3820287341</v>
      </c>
      <c r="D45" s="1">
        <f t="shared" si="7"/>
        <v>81667.064831867712</v>
      </c>
      <c r="E45" s="1">
        <f t="shared" si="8"/>
        <v>285.14670750017541</v>
      </c>
      <c r="F45" s="1">
        <f t="shared" si="1"/>
        <v>490002.3889912063</v>
      </c>
      <c r="G45" s="1">
        <f t="shared" si="9"/>
        <v>699.15467695264374</v>
      </c>
      <c r="H45" s="1">
        <f t="shared" si="2"/>
        <v>4900023.8899120633</v>
      </c>
      <c r="I45" s="1">
        <f t="shared" si="10"/>
        <v>2210.9212159295853</v>
      </c>
      <c r="J45" s="1">
        <f t="shared" si="11"/>
        <v>24500119.449560314</v>
      </c>
      <c r="K45" s="1">
        <f t="shared" si="12"/>
        <v>4948.5599124723212</v>
      </c>
      <c r="L45" s="1">
        <f t="shared" si="3"/>
        <v>81667.064831867712</v>
      </c>
      <c r="M45" s="1">
        <f t="shared" si="13"/>
        <v>285.0216447712159</v>
      </c>
      <c r="N45" s="1">
        <f t="shared" si="4"/>
        <v>490002.3889912063</v>
      </c>
      <c r="O45" s="1">
        <f t="shared" si="14"/>
        <v>698.84742772271863</v>
      </c>
      <c r="P45" s="1">
        <f t="shared" si="5"/>
        <v>4900023.8899120633</v>
      </c>
      <c r="Q45" s="1">
        <f t="shared" si="15"/>
        <v>2209.9496085536898</v>
      </c>
    </row>
    <row r="46" spans="1:17">
      <c r="A46" s="1">
        <v>6.0000000000000003E-12</v>
      </c>
      <c r="B46" s="1">
        <f t="shared" si="16"/>
        <v>0.36245651047147331</v>
      </c>
      <c r="C46" s="1">
        <f t="shared" si="6"/>
        <v>1159768.9680265235</v>
      </c>
      <c r="D46" s="1">
        <f t="shared" si="7"/>
        <v>75384.982921724033</v>
      </c>
      <c r="E46" s="1">
        <f t="shared" si="8"/>
        <v>273.91001063512903</v>
      </c>
      <c r="F46" s="1">
        <f t="shared" si="1"/>
        <v>452309.8975303442</v>
      </c>
      <c r="G46" s="1">
        <f t="shared" si="9"/>
        <v>671.65840250787903</v>
      </c>
      <c r="H46" s="1">
        <f t="shared" si="2"/>
        <v>4523098.9753034422</v>
      </c>
      <c r="I46" s="1">
        <f t="shared" si="10"/>
        <v>2123.970361515047</v>
      </c>
      <c r="J46" s="1">
        <f t="shared" si="11"/>
        <v>22615494.87651721</v>
      </c>
      <c r="K46" s="1">
        <f t="shared" si="12"/>
        <v>4754.326567858694</v>
      </c>
      <c r="L46" s="1">
        <f t="shared" si="3"/>
        <v>75384.982921724033</v>
      </c>
      <c r="M46" s="1">
        <f t="shared" si="13"/>
        <v>273.77991969513249</v>
      </c>
      <c r="N46" s="1">
        <f t="shared" si="4"/>
        <v>452309.8975303442</v>
      </c>
      <c r="O46" s="1">
        <f t="shared" si="14"/>
        <v>671.33872154063283</v>
      </c>
      <c r="P46" s="1">
        <f t="shared" si="5"/>
        <v>4523098.9753034422</v>
      </c>
      <c r="Q46" s="1">
        <f t="shared" si="15"/>
        <v>2122.9594415339438</v>
      </c>
    </row>
    <row r="47" spans="1:17">
      <c r="A47" s="1">
        <v>5.5000000000000004E-12</v>
      </c>
      <c r="B47" s="1">
        <f t="shared" si="16"/>
        <v>0.33225180126551723</v>
      </c>
      <c r="C47" s="1">
        <f t="shared" si="6"/>
        <v>1063121.5540243133</v>
      </c>
      <c r="D47" s="1">
        <f t="shared" si="7"/>
        <v>69102.901011580369</v>
      </c>
      <c r="E47" s="1">
        <f t="shared" si="8"/>
        <v>262.19223244732677</v>
      </c>
      <c r="F47" s="1">
        <f t="shared" si="1"/>
        <v>414617.40606948221</v>
      </c>
      <c r="G47" s="1">
        <f t="shared" si="9"/>
        <v>642.98740291786896</v>
      </c>
      <c r="H47" s="1">
        <f t="shared" si="2"/>
        <v>4146174.0606948221</v>
      </c>
      <c r="I47" s="1">
        <f t="shared" si="10"/>
        <v>2033.3047000168615</v>
      </c>
      <c r="J47" s="1">
        <f t="shared" si="11"/>
        <v>20730870.30347411</v>
      </c>
      <c r="K47" s="1">
        <f t="shared" si="12"/>
        <v>4551.8125079477031</v>
      </c>
      <c r="L47" s="1">
        <f t="shared" si="3"/>
        <v>69102.901011580369</v>
      </c>
      <c r="M47" s="1">
        <f t="shared" si="13"/>
        <v>262.05645365305162</v>
      </c>
      <c r="N47" s="1">
        <f t="shared" si="4"/>
        <v>414617.40606948221</v>
      </c>
      <c r="O47" s="1">
        <f t="shared" si="14"/>
        <v>642.65364787349552</v>
      </c>
      <c r="P47" s="1">
        <f t="shared" si="5"/>
        <v>4146174.0606948221</v>
      </c>
      <c r="Q47" s="1">
        <f t="shared" si="15"/>
        <v>2032.2492738960714</v>
      </c>
    </row>
    <row r="48" spans="1:17">
      <c r="A48" s="1">
        <v>4.9999999999999997E-12</v>
      </c>
      <c r="B48" s="1">
        <f t="shared" si="16"/>
        <v>0.3020470920595611</v>
      </c>
      <c r="C48" s="1">
        <f t="shared" si="6"/>
        <v>966474.14002210274</v>
      </c>
      <c r="D48" s="1">
        <f t="shared" si="7"/>
        <v>62820.819101436682</v>
      </c>
      <c r="E48" s="1">
        <f t="shared" si="8"/>
        <v>249.92572968162827</v>
      </c>
      <c r="F48" s="1">
        <f t="shared" si="1"/>
        <v>376924.91460862011</v>
      </c>
      <c r="G48" s="1">
        <f t="shared" si="9"/>
        <v>612.97687330593408</v>
      </c>
      <c r="H48" s="1">
        <f t="shared" si="2"/>
        <v>3769249.1460862011</v>
      </c>
      <c r="I48" s="1">
        <f t="shared" si="10"/>
        <v>1938.403072655218</v>
      </c>
      <c r="J48" s="1">
        <f t="shared" si="11"/>
        <v>18846245.730431005</v>
      </c>
      <c r="K48" s="1">
        <f t="shared" si="12"/>
        <v>4339.8586629567699</v>
      </c>
      <c r="L48" s="1">
        <f t="shared" si="3"/>
        <v>62820.819101436682</v>
      </c>
      <c r="M48" s="1">
        <f t="shared" si="13"/>
        <v>249.78344530214196</v>
      </c>
      <c r="N48" s="1">
        <f t="shared" si="4"/>
        <v>376924.91460862011</v>
      </c>
      <c r="O48" s="1">
        <f t="shared" si="14"/>
        <v>612.62700517650592</v>
      </c>
      <c r="P48" s="1">
        <f t="shared" si="5"/>
        <v>3769249.1460862011</v>
      </c>
      <c r="Q48" s="1">
        <f t="shared" si="15"/>
        <v>1937.2966924855232</v>
      </c>
    </row>
    <row r="49" spans="1:17">
      <c r="A49" s="1">
        <v>4.4999999999999998E-12</v>
      </c>
      <c r="B49" s="1">
        <f t="shared" si="16"/>
        <v>0.27184238285360496</v>
      </c>
      <c r="C49" s="1">
        <f t="shared" si="6"/>
        <v>869826.72601989238</v>
      </c>
      <c r="D49" s="1">
        <f t="shared" si="7"/>
        <v>56538.73719129301</v>
      </c>
      <c r="E49" s="1">
        <f t="shared" si="8"/>
        <v>237.02534658129787</v>
      </c>
      <c r="F49" s="1">
        <f t="shared" si="1"/>
        <v>339232.42314775806</v>
      </c>
      <c r="G49" s="1">
        <f t="shared" si="9"/>
        <v>581.41944328769694</v>
      </c>
      <c r="H49" s="1">
        <f t="shared" si="2"/>
        <v>3392324.2314775805</v>
      </c>
      <c r="I49" s="1">
        <f t="shared" si="10"/>
        <v>1838.6097166962197</v>
      </c>
      <c r="J49" s="1">
        <f t="shared" si="11"/>
        <v>16961621.157387905</v>
      </c>
      <c r="K49" s="1">
        <f t="shared" si="12"/>
        <v>4117.0073442213416</v>
      </c>
      <c r="L49" s="1">
        <f t="shared" si="3"/>
        <v>56538.73719129301</v>
      </c>
      <c r="M49" s="1">
        <f t="shared" si="13"/>
        <v>236.87552211718341</v>
      </c>
      <c r="N49" s="1">
        <f t="shared" si="4"/>
        <v>339232.42314775806</v>
      </c>
      <c r="O49" s="1">
        <f t="shared" si="14"/>
        <v>581.05087786493709</v>
      </c>
      <c r="P49" s="1">
        <f t="shared" si="5"/>
        <v>3392324.2314775805</v>
      </c>
      <c r="Q49" s="1">
        <f t="shared" si="15"/>
        <v>1837.444210493516</v>
      </c>
    </row>
    <row r="50" spans="1:17">
      <c r="A50" s="1">
        <v>3.9999999999999999E-12</v>
      </c>
      <c r="B50" s="1">
        <f t="shared" si="16"/>
        <v>0.24163767364764888</v>
      </c>
      <c r="C50" s="1">
        <f t="shared" si="6"/>
        <v>773179.31201768236</v>
      </c>
      <c r="D50" s="1">
        <f t="shared" si="7"/>
        <v>50256.655281149353</v>
      </c>
      <c r="E50" s="1">
        <f t="shared" si="8"/>
        <v>223.38132353263967</v>
      </c>
      <c r="F50" s="1">
        <f t="shared" si="1"/>
        <v>301539.93168689613</v>
      </c>
      <c r="G50" s="1">
        <f t="shared" si="9"/>
        <v>548.04798491924521</v>
      </c>
      <c r="H50" s="1">
        <f t="shared" si="2"/>
        <v>3015399.3168689613</v>
      </c>
      <c r="I50" s="1">
        <f t="shared" si="10"/>
        <v>1733.0798994104262</v>
      </c>
      <c r="J50" s="1">
        <f t="shared" si="11"/>
        <v>15076996.584344806</v>
      </c>
      <c r="K50" s="1">
        <f t="shared" si="12"/>
        <v>3881.381962379392</v>
      </c>
      <c r="L50" s="1">
        <f t="shared" si="3"/>
        <v>50256.655281149353</v>
      </c>
      <c r="M50" s="1">
        <f t="shared" si="13"/>
        <v>223.22261769752231</v>
      </c>
      <c r="N50" s="1">
        <f t="shared" si="4"/>
        <v>301539.93168689613</v>
      </c>
      <c r="O50" s="1">
        <f t="shared" si="14"/>
        <v>547.65736414635205</v>
      </c>
      <c r="P50" s="1">
        <f t="shared" si="5"/>
        <v>3015399.3168689613</v>
      </c>
      <c r="Q50" s="1">
        <f t="shared" si="15"/>
        <v>1731.8446480667083</v>
      </c>
    </row>
    <row r="51" spans="1:17">
      <c r="A51" s="1">
        <v>3.5E-12</v>
      </c>
      <c r="B51" s="1">
        <f t="shared" si="16"/>
        <v>0.21143296444169277</v>
      </c>
      <c r="C51" s="1">
        <f t="shared" si="6"/>
        <v>676531.89801547199</v>
      </c>
      <c r="D51" s="1">
        <f t="shared" si="7"/>
        <v>43974.573371005681</v>
      </c>
      <c r="E51" s="1">
        <f t="shared" si="8"/>
        <v>208.84802272827829</v>
      </c>
      <c r="F51" s="1">
        <f t="shared" si="1"/>
        <v>263847.44022603409</v>
      </c>
      <c r="G51" s="1">
        <f t="shared" si="9"/>
        <v>512.50830758172697</v>
      </c>
      <c r="H51" s="1">
        <f t="shared" si="2"/>
        <v>2638474.4022603408</v>
      </c>
      <c r="I51" s="1">
        <f t="shared" si="10"/>
        <v>1620.6935717163994</v>
      </c>
      <c r="J51" s="1">
        <f t="shared" si="11"/>
        <v>13192372.011301704</v>
      </c>
      <c r="K51" s="1">
        <f t="shared" si="12"/>
        <v>3630.4962057353378</v>
      </c>
      <c r="L51" s="1">
        <f t="shared" si="3"/>
        <v>43974.573371005681</v>
      </c>
      <c r="M51" s="1">
        <f t="shared" si="13"/>
        <v>208.67864287476934</v>
      </c>
      <c r="N51" s="1">
        <f t="shared" si="4"/>
        <v>263847.44022603409</v>
      </c>
      <c r="O51" s="1">
        <f t="shared" si="14"/>
        <v>512.09113074155857</v>
      </c>
      <c r="P51" s="1">
        <f t="shared" si="5"/>
        <v>2638474.4022603408</v>
      </c>
      <c r="Q51" s="1">
        <f t="shared" si="15"/>
        <v>1619.3743427143954</v>
      </c>
    </row>
    <row r="52" spans="1:17">
      <c r="A52" s="1">
        <v>3.0000000000000001E-12</v>
      </c>
      <c r="B52" s="1">
        <f t="shared" si="16"/>
        <v>0.18122825523573666</v>
      </c>
      <c r="C52" s="1">
        <f t="shared" si="6"/>
        <v>579884.48401326174</v>
      </c>
      <c r="D52" s="1">
        <f t="shared" si="7"/>
        <v>37692.491460862017</v>
      </c>
      <c r="E52" s="1">
        <f t="shared" si="8"/>
        <v>193.22499135083854</v>
      </c>
      <c r="F52" s="1">
        <f t="shared" si="1"/>
        <v>226154.9487651721</v>
      </c>
      <c r="G52" s="1">
        <f t="shared" si="9"/>
        <v>474.31335292257938</v>
      </c>
      <c r="H52" s="1">
        <f t="shared" si="2"/>
        <v>2261549.4876517211</v>
      </c>
      <c r="I52" s="1">
        <f t="shared" si="10"/>
        <v>1499.9105198666334</v>
      </c>
      <c r="J52" s="1">
        <f t="shared" si="11"/>
        <v>11307747.438258605</v>
      </c>
      <c r="K52" s="1">
        <f t="shared" si="12"/>
        <v>3360.9343799562844</v>
      </c>
      <c r="L52" s="1">
        <f t="shared" si="3"/>
        <v>37692.491460862017</v>
      </c>
      <c r="M52" s="1">
        <f t="shared" si="13"/>
        <v>193.04244761682449</v>
      </c>
      <c r="N52" s="1">
        <f t="shared" si="4"/>
        <v>226154.9487651721</v>
      </c>
      <c r="O52" s="1">
        <f t="shared" si="14"/>
        <v>473.86334598106686</v>
      </c>
      <c r="P52" s="1">
        <f t="shared" si="5"/>
        <v>2261549.4876517211</v>
      </c>
      <c r="Q52" s="1">
        <f t="shared" si="15"/>
        <v>1498.4874729685673</v>
      </c>
    </row>
    <row r="53" spans="1:17">
      <c r="A53" s="1">
        <v>2.4999999999999998E-12</v>
      </c>
      <c r="B53" s="1">
        <f t="shared" si="16"/>
        <v>0.15102354602978055</v>
      </c>
      <c r="C53" s="1">
        <f t="shared" si="6"/>
        <v>483237.07001105137</v>
      </c>
      <c r="D53" s="1">
        <f t="shared" si="7"/>
        <v>31410.409550718341</v>
      </c>
      <c r="E53" s="1">
        <f t="shared" si="8"/>
        <v>176.22283852624028</v>
      </c>
      <c r="F53" s="1">
        <f t="shared" si="1"/>
        <v>188462.45730431005</v>
      </c>
      <c r="G53" s="1">
        <f t="shared" si="9"/>
        <v>432.76078741185029</v>
      </c>
      <c r="H53" s="1">
        <f t="shared" si="2"/>
        <v>1884624.5730431005</v>
      </c>
      <c r="I53" s="1">
        <f t="shared" si="10"/>
        <v>1368.5097702293715</v>
      </c>
      <c r="J53" s="1">
        <f t="shared" si="11"/>
        <v>9423122.8652155027</v>
      </c>
      <c r="K53" s="1">
        <f t="shared" si="12"/>
        <v>3067.7773426068447</v>
      </c>
      <c r="L53" s="1">
        <f t="shared" si="3"/>
        <v>31410.409550718341</v>
      </c>
      <c r="M53" s="1">
        <f t="shared" si="13"/>
        <v>176.02349392543994</v>
      </c>
      <c r="N53" s="1">
        <f t="shared" si="4"/>
        <v>188462.45730431005</v>
      </c>
      <c r="O53" s="1">
        <f t="shared" si="14"/>
        <v>432.26874041966448</v>
      </c>
      <c r="P53" s="1">
        <f t="shared" si="5"/>
        <v>1884624.5730431005</v>
      </c>
      <c r="Q53" s="1">
        <f t="shared" si="15"/>
        <v>1366.9537810182292</v>
      </c>
    </row>
    <row r="54" spans="1:17">
      <c r="A54" s="1">
        <v>2E-12</v>
      </c>
      <c r="B54" s="1">
        <f t="shared" si="16"/>
        <v>0.12081883682382444</v>
      </c>
      <c r="C54" s="1">
        <f t="shared" si="6"/>
        <v>386589.65600884118</v>
      </c>
      <c r="D54" s="1">
        <f t="shared" si="7"/>
        <v>25128.327640574676</v>
      </c>
      <c r="E54" s="1">
        <f t="shared" si="8"/>
        <v>157.39571887753286</v>
      </c>
      <c r="F54" s="1">
        <f t="shared" si="1"/>
        <v>150769.96584344807</v>
      </c>
      <c r="G54" s="1">
        <f t="shared" si="9"/>
        <v>386.77028527250559</v>
      </c>
      <c r="H54" s="1">
        <f t="shared" si="2"/>
        <v>1507699.6584344807</v>
      </c>
      <c r="I54" s="1">
        <f t="shared" si="10"/>
        <v>1223.0750327341955</v>
      </c>
      <c r="J54" s="1">
        <f t="shared" si="11"/>
        <v>7538498.2921724031</v>
      </c>
      <c r="K54" s="1">
        <f t="shared" si="12"/>
        <v>2743.471702885568</v>
      </c>
      <c r="L54" s="1">
        <f t="shared" si="3"/>
        <v>25128.327640574676</v>
      </c>
      <c r="M54" s="1">
        <f t="shared" si="13"/>
        <v>157.17388127622718</v>
      </c>
      <c r="N54" s="1">
        <f t="shared" si="4"/>
        <v>150769.96584344807</v>
      </c>
      <c r="O54" s="1">
        <f t="shared" si="14"/>
        <v>386.22168174479202</v>
      </c>
      <c r="P54" s="1">
        <f t="shared" si="5"/>
        <v>1507699.6584344807</v>
      </c>
      <c r="Q54" s="1">
        <f t="shared" si="15"/>
        <v>1221.3401960542176</v>
      </c>
    </row>
    <row r="55" spans="1:17">
      <c r="A55" s="1">
        <v>1.5000000000000001E-12</v>
      </c>
      <c r="B55" s="1">
        <f t="shared" si="16"/>
        <v>9.0614127617868329E-2</v>
      </c>
      <c r="C55" s="1">
        <f t="shared" si="6"/>
        <v>289942.24200663087</v>
      </c>
      <c r="D55" s="1">
        <f t="shared" si="7"/>
        <v>18846.245730431008</v>
      </c>
      <c r="E55" s="1">
        <f t="shared" si="8"/>
        <v>135.98894637205061</v>
      </c>
      <c r="F55" s="1">
        <f t="shared" si="1"/>
        <v>113077.47438258605</v>
      </c>
      <c r="G55" s="1">
        <f t="shared" si="9"/>
        <v>334.51730273637105</v>
      </c>
      <c r="H55" s="1">
        <f t="shared" si="2"/>
        <v>1130774.7438258606</v>
      </c>
      <c r="I55" s="1">
        <f t="shared" si="10"/>
        <v>1057.8365933830089</v>
      </c>
      <c r="J55" s="1">
        <f t="shared" si="11"/>
        <v>5653873.7191293025</v>
      </c>
      <c r="K55" s="1">
        <f t="shared" si="12"/>
        <v>2375.2933775037377</v>
      </c>
      <c r="L55" s="1">
        <f t="shared" si="3"/>
        <v>18846.245730431008</v>
      </c>
      <c r="M55" s="1">
        <f t="shared" si="13"/>
        <v>135.73476444634622</v>
      </c>
      <c r="N55" s="1">
        <f t="shared" si="4"/>
        <v>113077.47438258605</v>
      </c>
      <c r="O55" s="1">
        <f t="shared" si="14"/>
        <v>333.88674044410493</v>
      </c>
      <c r="P55" s="1">
        <f t="shared" si="5"/>
        <v>1130774.7438258606</v>
      </c>
      <c r="Q55" s="1">
        <f t="shared" si="15"/>
        <v>1055.8425803328312</v>
      </c>
    </row>
    <row r="56" spans="1:17">
      <c r="A56" s="1">
        <v>9.9999999999999998E-13</v>
      </c>
      <c r="B56" s="1">
        <f t="shared" si="16"/>
        <v>6.0409418411912219E-2</v>
      </c>
      <c r="C56" s="1">
        <f t="shared" si="6"/>
        <v>193294.82800442059</v>
      </c>
      <c r="D56" s="1">
        <f t="shared" si="7"/>
        <v>12564.163820287338</v>
      </c>
      <c r="E56" s="1">
        <f t="shared" si="8"/>
        <v>110.51783362124154</v>
      </c>
      <c r="F56" s="1">
        <f t="shared" si="1"/>
        <v>75384.982921724033</v>
      </c>
      <c r="G56" s="1">
        <f t="shared" si="9"/>
        <v>272.42506176731013</v>
      </c>
      <c r="H56" s="1">
        <f t="shared" si="2"/>
        <v>753849.82921724033</v>
      </c>
      <c r="I56" s="1">
        <f t="shared" si="10"/>
        <v>861.48368689675556</v>
      </c>
      <c r="J56" s="1">
        <f t="shared" si="11"/>
        <v>3769249.1460862015</v>
      </c>
      <c r="K56" s="1">
        <f t="shared" si="12"/>
        <v>1938.4030726552182</v>
      </c>
      <c r="L56" s="1">
        <f t="shared" si="3"/>
        <v>12564.163820287338</v>
      </c>
      <c r="M56" s="1">
        <f t="shared" si="13"/>
        <v>110.21126870732158</v>
      </c>
      <c r="N56" s="1">
        <f t="shared" si="4"/>
        <v>75384.982921724033</v>
      </c>
      <c r="O56" s="1">
        <f t="shared" si="14"/>
        <v>271.65983109970449</v>
      </c>
      <c r="P56" s="1">
        <f t="shared" si="5"/>
        <v>753849.82921724033</v>
      </c>
      <c r="Q56" s="1">
        <f t="shared" si="15"/>
        <v>859.06381505171055</v>
      </c>
    </row>
    <row r="57" spans="1:17">
      <c r="A57" s="1">
        <v>9.4999999999999999E-13</v>
      </c>
      <c r="B57" s="1">
        <f t="shared" si="16"/>
        <v>5.7388947491316608E-2</v>
      </c>
      <c r="C57" s="1">
        <f t="shared" si="6"/>
        <v>183630.08660419952</v>
      </c>
      <c r="D57" s="1">
        <f t="shared" si="7"/>
        <v>11935.955629272969</v>
      </c>
      <c r="E57" s="1">
        <f t="shared" si="8"/>
        <v>107.64058565578148</v>
      </c>
      <c r="F57" s="1">
        <f t="shared" si="1"/>
        <v>71615.733775637811</v>
      </c>
      <c r="G57" s="1">
        <f t="shared" si="9"/>
        <v>265.41876228856415</v>
      </c>
      <c r="H57" s="1">
        <f t="shared" si="2"/>
        <v>716157.33775637811</v>
      </c>
      <c r="I57" s="1">
        <f t="shared" si="10"/>
        <v>839.32782257466795</v>
      </c>
      <c r="J57" s="1">
        <f t="shared" si="11"/>
        <v>3580786.6887818906</v>
      </c>
      <c r="K57" s="1">
        <f t="shared" si="12"/>
        <v>1889.1654170042016</v>
      </c>
      <c r="L57" s="1">
        <f t="shared" si="3"/>
        <v>11935.955629272969</v>
      </c>
      <c r="M57" s="1">
        <f t="shared" si="13"/>
        <v>107.32681373272818</v>
      </c>
      <c r="N57" s="1">
        <f t="shared" si="4"/>
        <v>71615.733775637811</v>
      </c>
      <c r="O57" s="1">
        <f t="shared" si="14"/>
        <v>264.63478369486961</v>
      </c>
      <c r="P57" s="1">
        <f t="shared" si="5"/>
        <v>716157.33775637811</v>
      </c>
      <c r="Q57" s="1">
        <f t="shared" si="15"/>
        <v>836.84866458177737</v>
      </c>
    </row>
    <row r="58" spans="1:17">
      <c r="A58" s="1">
        <v>9E-13</v>
      </c>
      <c r="B58" s="1">
        <f t="shared" si="16"/>
        <v>5.4368476570720997E-2</v>
      </c>
      <c r="C58" s="1">
        <f t="shared" si="6"/>
        <v>173965.34520397853</v>
      </c>
      <c r="D58" s="1">
        <f t="shared" si="7"/>
        <v>11307.747438258606</v>
      </c>
      <c r="E58" s="1">
        <f t="shared" si="8"/>
        <v>104.68454986630783</v>
      </c>
      <c r="F58" s="1">
        <f t="shared" si="1"/>
        <v>67846.484629551633</v>
      </c>
      <c r="G58" s="1">
        <f t="shared" si="9"/>
        <v>258.22263392846418</v>
      </c>
      <c r="H58" s="1">
        <f t="shared" si="2"/>
        <v>678464.84629551636</v>
      </c>
      <c r="I58" s="1">
        <f t="shared" si="10"/>
        <v>816.57166662181965</v>
      </c>
      <c r="J58" s="1">
        <f t="shared" si="11"/>
        <v>3392324.2314775814</v>
      </c>
      <c r="K58" s="1">
        <f t="shared" si="12"/>
        <v>1838.6097166962199</v>
      </c>
      <c r="L58" s="1">
        <f t="shared" si="3"/>
        <v>11307.747438258606</v>
      </c>
      <c r="M58" s="1">
        <f t="shared" si="13"/>
        <v>104.36304040574774</v>
      </c>
      <c r="N58" s="1">
        <f t="shared" si="4"/>
        <v>67846.484629551633</v>
      </c>
      <c r="O58" s="1">
        <f t="shared" si="14"/>
        <v>257.41846087486755</v>
      </c>
      <c r="P58" s="1">
        <f t="shared" si="5"/>
        <v>678464.84629551636</v>
      </c>
      <c r="Q58" s="1">
        <f t="shared" si="15"/>
        <v>814.02864813952158</v>
      </c>
    </row>
    <row r="59" spans="1:17">
      <c r="A59" s="1">
        <v>8.5000000000000001E-13</v>
      </c>
      <c r="B59" s="1">
        <f t="shared" si="16"/>
        <v>5.1348005650125386E-2</v>
      </c>
      <c r="C59" s="1">
        <f t="shared" si="6"/>
        <v>164300.60380375749</v>
      </c>
      <c r="D59" s="1">
        <f t="shared" si="7"/>
        <v>10679.539247244238</v>
      </c>
      <c r="E59" s="1">
        <f t="shared" si="8"/>
        <v>101.6428987565306</v>
      </c>
      <c r="F59" s="1">
        <f t="shared" si="1"/>
        <v>64077.235483465425</v>
      </c>
      <c r="G59" s="1">
        <f t="shared" si="9"/>
        <v>250.8203744262434</v>
      </c>
      <c r="H59" s="1">
        <f t="shared" si="2"/>
        <v>640772.35483465425</v>
      </c>
      <c r="I59" s="1">
        <f t="shared" si="10"/>
        <v>793.16366676317784</v>
      </c>
      <c r="J59" s="1">
        <f t="shared" si="11"/>
        <v>3203861.7741732714</v>
      </c>
      <c r="K59" s="1">
        <f t="shared" si="12"/>
        <v>1786.6240966616044</v>
      </c>
      <c r="L59" s="1">
        <f t="shared" si="3"/>
        <v>10679.539247244238</v>
      </c>
      <c r="M59" s="1">
        <f t="shared" si="13"/>
        <v>101.31305325610963</v>
      </c>
      <c r="N59" s="1">
        <f t="shared" si="4"/>
        <v>64077.235483465425</v>
      </c>
      <c r="O59" s="1">
        <f t="shared" si="14"/>
        <v>249.99436467613637</v>
      </c>
      <c r="P59" s="1">
        <f t="shared" si="5"/>
        <v>640772.35483465425</v>
      </c>
      <c r="Q59" s="1">
        <f t="shared" si="15"/>
        <v>790.5515945833331</v>
      </c>
    </row>
    <row r="60" spans="1:17">
      <c r="A60" s="1">
        <v>8.0000000000000002E-13</v>
      </c>
      <c r="B60" s="1">
        <f t="shared" si="16"/>
        <v>4.8327534729529775E-2</v>
      </c>
      <c r="C60" s="1">
        <f t="shared" si="6"/>
        <v>154635.86240353642</v>
      </c>
      <c r="D60" s="1">
        <f t="shared" si="7"/>
        <v>10051.331056229867</v>
      </c>
      <c r="E60" s="1">
        <f t="shared" si="8"/>
        <v>98.507761279580279</v>
      </c>
      <c r="F60" s="1">
        <f t="shared" si="1"/>
        <v>60307.986337379203</v>
      </c>
      <c r="G60" s="1">
        <f t="shared" si="9"/>
        <v>243.19320820717681</v>
      </c>
      <c r="H60" s="1">
        <f t="shared" si="2"/>
        <v>603079.86337379203</v>
      </c>
      <c r="I60" s="1">
        <f t="shared" si="10"/>
        <v>769.0444494182326</v>
      </c>
      <c r="J60" s="1">
        <f t="shared" si="11"/>
        <v>3015399.3168689599</v>
      </c>
      <c r="K60" s="1">
        <f t="shared" si="12"/>
        <v>1733.0798994104257</v>
      </c>
      <c r="L60" s="1">
        <f t="shared" si="3"/>
        <v>10051.331056229867</v>
      </c>
      <c r="M60" s="1">
        <f t="shared" si="13"/>
        <v>98.168900531073561</v>
      </c>
      <c r="N60" s="1">
        <f t="shared" si="4"/>
        <v>60307.986337379203</v>
      </c>
      <c r="O60" s="1">
        <f t="shared" si="14"/>
        <v>242.34348473279289</v>
      </c>
      <c r="P60" s="1">
        <f t="shared" si="5"/>
        <v>603079.86337379203</v>
      </c>
      <c r="Q60" s="1">
        <f t="shared" si="15"/>
        <v>766.35738785786771</v>
      </c>
    </row>
    <row r="61" spans="1:17">
      <c r="A61" s="1">
        <v>7.5000000000000004E-13</v>
      </c>
      <c r="B61" s="1">
        <f t="shared" si="16"/>
        <v>4.5307063808934164E-2</v>
      </c>
      <c r="C61" s="1">
        <f t="shared" si="6"/>
        <v>144971.12100331543</v>
      </c>
      <c r="D61" s="1">
        <f t="shared" si="7"/>
        <v>9423.1228652155041</v>
      </c>
      <c r="E61" s="1">
        <f t="shared" si="8"/>
        <v>95.269985666751893</v>
      </c>
      <c r="F61" s="1">
        <f t="shared" si="1"/>
        <v>56538.737191293025</v>
      </c>
      <c r="G61" s="1">
        <f t="shared" si="9"/>
        <v>235.31932750380673</v>
      </c>
      <c r="H61" s="1">
        <f t="shared" si="2"/>
        <v>565387.37191293028</v>
      </c>
      <c r="I61" s="1">
        <f t="shared" si="10"/>
        <v>744.14505237113451</v>
      </c>
      <c r="J61" s="1">
        <f t="shared" si="11"/>
        <v>2826936.8595646513</v>
      </c>
      <c r="K61" s="1">
        <f t="shared" si="12"/>
        <v>1677.8279338142843</v>
      </c>
      <c r="L61" s="1">
        <f t="shared" si="3"/>
        <v>9423.1228652155041</v>
      </c>
      <c r="M61" s="1">
        <f t="shared" si="13"/>
        <v>94.921333826631283</v>
      </c>
      <c r="N61" s="1">
        <f t="shared" si="4"/>
        <v>56538.737191293025</v>
      </c>
      <c r="O61" s="1">
        <f t="shared" si="14"/>
        <v>234.44372878687952</v>
      </c>
      <c r="P61" s="1">
        <f t="shared" si="5"/>
        <v>565387.37191293028</v>
      </c>
      <c r="Q61" s="1">
        <f t="shared" si="15"/>
        <v>741.37616610932344</v>
      </c>
    </row>
    <row r="62" spans="1:17">
      <c r="A62" s="1">
        <v>7.0000000000000005E-13</v>
      </c>
      <c r="B62" s="1">
        <f t="shared" si="16"/>
        <v>4.2286592888338553E-2</v>
      </c>
      <c r="C62" s="1">
        <f t="shared" si="6"/>
        <v>135306.37960309442</v>
      </c>
      <c r="D62" s="1">
        <f t="shared" si="7"/>
        <v>8794.914674201138</v>
      </c>
      <c r="E62" s="1">
        <f t="shared" si="8"/>
        <v>91.918828348377374</v>
      </c>
      <c r="F62" s="1">
        <f t="shared" si="1"/>
        <v>52769.488045206825</v>
      </c>
      <c r="G62" s="1">
        <f t="shared" si="9"/>
        <v>227.1731600282132</v>
      </c>
      <c r="H62" s="1">
        <f t="shared" si="2"/>
        <v>527694.88045206829</v>
      </c>
      <c r="I62" s="1">
        <f t="shared" si="10"/>
        <v>718.38460894707498</v>
      </c>
      <c r="J62" s="1">
        <f t="shared" si="11"/>
        <v>2638474.4022603412</v>
      </c>
      <c r="K62" s="1">
        <f t="shared" si="12"/>
        <v>1620.6935717163994</v>
      </c>
      <c r="L62" s="1">
        <f t="shared" ref="L62:L93" si="17">C62*$C$11/6</f>
        <v>8794.914674201138</v>
      </c>
      <c r="M62" s="1">
        <f t="shared" si="13"/>
        <v>91.559492790927692</v>
      </c>
      <c r="N62" s="1">
        <f t="shared" ref="N62:N93" si="18">C62*$C$11*1</f>
        <v>52769.488045206825</v>
      </c>
      <c r="O62" s="1">
        <f t="shared" si="14"/>
        <v>226.26917601876167</v>
      </c>
      <c r="P62" s="1">
        <f t="shared" ref="P62:P93" si="19">C62*$C$11*10</f>
        <v>527694.88045206829</v>
      </c>
      <c r="Q62" s="1">
        <f t="shared" si="15"/>
        <v>715.52596050883699</v>
      </c>
    </row>
    <row r="63" spans="1:17">
      <c r="A63" s="1">
        <v>6.4999999999999996E-13</v>
      </c>
      <c r="B63" s="1">
        <f t="shared" si="16"/>
        <v>3.9266121967742942E-2</v>
      </c>
      <c r="C63" s="1">
        <f t="shared" si="6"/>
        <v>125641.63820287336</v>
      </c>
      <c r="D63" s="1">
        <f t="shared" si="7"/>
        <v>8166.7064831867692</v>
      </c>
      <c r="E63" s="1">
        <f t="shared" si="8"/>
        <v>88.441538807976031</v>
      </c>
      <c r="F63" s="1">
        <f t="shared" si="1"/>
        <v>49000.238899120617</v>
      </c>
      <c r="G63" s="1">
        <f t="shared" si="9"/>
        <v>218.72439258061485</v>
      </c>
      <c r="H63" s="1">
        <f t="shared" si="2"/>
        <v>490002.38899120619</v>
      </c>
      <c r="I63" s="1">
        <f t="shared" si="10"/>
        <v>691.66726039157675</v>
      </c>
      <c r="J63" s="1">
        <f t="shared" si="11"/>
        <v>2450011.9449560307</v>
      </c>
      <c r="K63" s="1">
        <f t="shared" si="12"/>
        <v>1561.4702278857683</v>
      </c>
      <c r="L63" s="1">
        <f t="shared" si="17"/>
        <v>8166.7064831867692</v>
      </c>
      <c r="M63" s="1">
        <f t="shared" si="13"/>
        <v>88.070484344857704</v>
      </c>
      <c r="N63" s="1">
        <f t="shared" si="18"/>
        <v>49000.238899120617</v>
      </c>
      <c r="O63" s="1">
        <f t="shared" si="14"/>
        <v>217.7890809359975</v>
      </c>
      <c r="P63" s="1">
        <f t="shared" si="19"/>
        <v>490002.38899120619</v>
      </c>
      <c r="Q63" s="1">
        <f t="shared" si="15"/>
        <v>688.70954527250797</v>
      </c>
    </row>
    <row r="64" spans="1:17">
      <c r="A64" s="1">
        <v>5.9999999999999997E-13</v>
      </c>
      <c r="B64" s="1">
        <f t="shared" si="16"/>
        <v>3.6245651047147331E-2</v>
      </c>
      <c r="C64" s="1">
        <f t="shared" si="6"/>
        <v>115976.89680265235</v>
      </c>
      <c r="D64" s="1">
        <f t="shared" si="7"/>
        <v>7538.4982921724031</v>
      </c>
      <c r="E64" s="1">
        <f t="shared" si="8"/>
        <v>84.822794545383445</v>
      </c>
      <c r="F64" s="1">
        <f t="shared" si="1"/>
        <v>45230.989753034417</v>
      </c>
      <c r="G64" s="1">
        <f t="shared" si="9"/>
        <v>209.93664331459931</v>
      </c>
      <c r="H64" s="1">
        <f t="shared" si="2"/>
        <v>452309.8975303442</v>
      </c>
      <c r="I64" s="1">
        <f t="shared" si="10"/>
        <v>663.87795720449481</v>
      </c>
      <c r="J64" s="1">
        <f t="shared" si="11"/>
        <v>2261549.4876517206</v>
      </c>
      <c r="K64" s="1">
        <f t="shared" si="12"/>
        <v>1499.910519866633</v>
      </c>
      <c r="L64" s="1">
        <f t="shared" si="17"/>
        <v>7538.4982921724031</v>
      </c>
      <c r="M64" s="1">
        <f t="shared" si="13"/>
        <v>84.438810019857073</v>
      </c>
      <c r="N64" s="1">
        <f t="shared" si="18"/>
        <v>45230.989753034417</v>
      </c>
      <c r="O64" s="1">
        <f t="shared" si="14"/>
        <v>208.96651800089052</v>
      </c>
      <c r="P64" s="1">
        <f t="shared" si="19"/>
        <v>452309.8975303442</v>
      </c>
      <c r="Q64" s="1">
        <f t="shared" si="15"/>
        <v>660.81015159738968</v>
      </c>
    </row>
    <row r="65" spans="1:17">
      <c r="A65" s="1">
        <v>5.4999999999999998E-13</v>
      </c>
      <c r="B65" s="1">
        <f t="shared" si="16"/>
        <v>3.322518012655172E-2</v>
      </c>
      <c r="C65" s="1">
        <f t="shared" si="6"/>
        <v>106312.15540243131</v>
      </c>
      <c r="D65" s="1">
        <f t="shared" si="7"/>
        <v>6910.2901011580352</v>
      </c>
      <c r="E65" s="1">
        <f t="shared" si="8"/>
        <v>81.043914483689136</v>
      </c>
      <c r="F65" s="1">
        <f t="shared" si="1"/>
        <v>41461.740606948209</v>
      </c>
      <c r="G65" s="1">
        <f t="shared" si="9"/>
        <v>200.76561485846375</v>
      </c>
      <c r="H65" s="1">
        <f t="shared" si="2"/>
        <v>414617.40606948209</v>
      </c>
      <c r="I65" s="1">
        <f t="shared" si="10"/>
        <v>634.87661879688869</v>
      </c>
      <c r="J65" s="1">
        <f t="shared" si="11"/>
        <v>2073087.0303474106</v>
      </c>
      <c r="K65" s="1">
        <f t="shared" si="12"/>
        <v>1435.7140111378426</v>
      </c>
      <c r="L65" s="1">
        <f t="shared" si="17"/>
        <v>6910.2901011580352</v>
      </c>
      <c r="M65" s="1">
        <f t="shared" si="13"/>
        <v>80.645568903981243</v>
      </c>
      <c r="N65" s="1">
        <f t="shared" si="18"/>
        <v>41461.740606948209</v>
      </c>
      <c r="O65" s="1">
        <f t="shared" si="14"/>
        <v>199.75649517780261</v>
      </c>
      <c r="P65" s="1">
        <f t="shared" si="19"/>
        <v>414617.40606948209</v>
      </c>
      <c r="Q65" s="1">
        <f t="shared" si="15"/>
        <v>631.68550217429777</v>
      </c>
    </row>
    <row r="66" spans="1:17">
      <c r="A66" s="1">
        <v>4.9999999999999999E-13</v>
      </c>
      <c r="B66" s="1">
        <f t="shared" si="16"/>
        <v>3.020470920595611E-2</v>
      </c>
      <c r="C66" s="1">
        <f t="shared" si="6"/>
        <v>96647.414002210295</v>
      </c>
      <c r="D66" s="1">
        <f t="shared" si="7"/>
        <v>6282.0819101436691</v>
      </c>
      <c r="E66" s="1">
        <f t="shared" si="8"/>
        <v>77.081734961281597</v>
      </c>
      <c r="F66" s="1">
        <f t="shared" si="1"/>
        <v>37692.491460862017</v>
      </c>
      <c r="G66" s="1">
        <f t="shared" si="9"/>
        <v>191.15645686719381</v>
      </c>
      <c r="H66" s="1">
        <f t="shared" si="2"/>
        <v>376924.91460862017</v>
      </c>
      <c r="I66" s="1">
        <f t="shared" si="10"/>
        <v>604.48979314806741</v>
      </c>
      <c r="J66" s="1">
        <f t="shared" si="11"/>
        <v>1884624.5730431008</v>
      </c>
      <c r="K66" s="1">
        <f t="shared" si="12"/>
        <v>1368.5097702293715</v>
      </c>
      <c r="L66" s="1">
        <f t="shared" si="17"/>
        <v>6282.0819101436691</v>
      </c>
      <c r="M66" s="1">
        <f t="shared" si="13"/>
        <v>76.667319098068816</v>
      </c>
      <c r="N66" s="1">
        <f t="shared" si="18"/>
        <v>37692.491460862017</v>
      </c>
      <c r="O66" s="1">
        <f t="shared" si="14"/>
        <v>190.10325843617019</v>
      </c>
      <c r="P66" s="1">
        <f t="shared" si="19"/>
        <v>376924.91460862017</v>
      </c>
      <c r="Q66" s="1">
        <f t="shared" si="15"/>
        <v>601.15928727791709</v>
      </c>
    </row>
    <row r="67" spans="1:17">
      <c r="A67" s="1">
        <v>4.5E-13</v>
      </c>
      <c r="B67" s="1">
        <f t="shared" si="16"/>
        <v>2.7184238285360499E-2</v>
      </c>
      <c r="C67" s="1">
        <f t="shared" si="6"/>
        <v>86982.672601989267</v>
      </c>
      <c r="D67" s="1">
        <f t="shared" si="7"/>
        <v>5653.873719129303</v>
      </c>
      <c r="E67" s="1">
        <f t="shared" si="8"/>
        <v>72.906953639293292</v>
      </c>
      <c r="F67" s="1">
        <f t="shared" si="1"/>
        <v>33923.242314775816</v>
      </c>
      <c r="G67" s="1">
        <f t="shared" si="9"/>
        <v>181.03988143748506</v>
      </c>
      <c r="H67" s="1">
        <f t="shared" si="2"/>
        <v>339232.42314775818</v>
      </c>
      <c r="I67" s="1">
        <f t="shared" si="10"/>
        <v>572.49837266929114</v>
      </c>
      <c r="J67" s="1">
        <f t="shared" si="11"/>
        <v>1696162.1157387907</v>
      </c>
      <c r="K67" s="1">
        <f t="shared" si="12"/>
        <v>1297.8307844565313</v>
      </c>
      <c r="L67" s="1">
        <f t="shared" si="17"/>
        <v>5653.873719129303</v>
      </c>
      <c r="M67" s="1">
        <f t="shared" si="13"/>
        <v>72.474401213520196</v>
      </c>
      <c r="N67" s="1">
        <f t="shared" si="18"/>
        <v>33923.242314775816</v>
      </c>
      <c r="O67" s="1">
        <f t="shared" si="14"/>
        <v>179.93631966670179</v>
      </c>
      <c r="P67" s="1">
        <f t="shared" si="19"/>
        <v>339232.42314775818</v>
      </c>
      <c r="Q67" s="1">
        <f t="shared" si="15"/>
        <v>569.00860393492724</v>
      </c>
    </row>
    <row r="68" spans="1:17">
      <c r="A68" s="1">
        <v>4.0000000000000001E-13</v>
      </c>
      <c r="B68" s="1">
        <f t="shared" si="16"/>
        <v>2.4163767364764888E-2</v>
      </c>
      <c r="C68" s="1">
        <f t="shared" si="6"/>
        <v>77317.93120176821</v>
      </c>
      <c r="D68" s="1">
        <f t="shared" si="7"/>
        <v>5025.6655281149333</v>
      </c>
      <c r="E68" s="1">
        <f t="shared" si="8"/>
        <v>68.481599035404614</v>
      </c>
      <c r="F68" s="1">
        <f t="shared" si="1"/>
        <v>30153.993168689602</v>
      </c>
      <c r="G68" s="1">
        <f t="shared" si="9"/>
        <v>170.32622703768737</v>
      </c>
      <c r="H68" s="1">
        <f t="shared" si="2"/>
        <v>301539.93168689602</v>
      </c>
      <c r="I68" s="1">
        <f t="shared" si="10"/>
        <v>538.61882270204626</v>
      </c>
      <c r="J68" s="1">
        <f t="shared" si="11"/>
        <v>1507699.65843448</v>
      </c>
      <c r="K68" s="1">
        <f t="shared" si="12"/>
        <v>1223.075032734195</v>
      </c>
      <c r="L68" s="1">
        <f t="shared" si="17"/>
        <v>5025.6655281149333</v>
      </c>
      <c r="M68" s="1">
        <f t="shared" si="13"/>
        <v>68.028379138453616</v>
      </c>
      <c r="N68" s="1">
        <f t="shared" si="18"/>
        <v>30153.993168689602</v>
      </c>
      <c r="O68" s="1">
        <f t="shared" si="14"/>
        <v>169.16438460715813</v>
      </c>
      <c r="P68" s="1">
        <f t="shared" si="19"/>
        <v>301539.93168689602</v>
      </c>
      <c r="Q68" s="1">
        <f t="shared" si="15"/>
        <v>534.9447543393477</v>
      </c>
    </row>
    <row r="69" spans="1:17">
      <c r="A69" s="1">
        <v>3.5000000000000002E-13</v>
      </c>
      <c r="B69" s="1">
        <f t="shared" si="16"/>
        <v>2.1143296444169277E-2</v>
      </c>
      <c r="C69" s="1">
        <f t="shared" si="6"/>
        <v>67653.189801547211</v>
      </c>
      <c r="D69" s="1">
        <f t="shared" si="7"/>
        <v>4397.457337100569</v>
      </c>
      <c r="E69" s="1">
        <f t="shared" si="8"/>
        <v>63.754990232110913</v>
      </c>
      <c r="F69" s="1">
        <f t="shared" si="1"/>
        <v>26384.744022603412</v>
      </c>
      <c r="G69" s="1">
        <f t="shared" si="9"/>
        <v>158.89597296018181</v>
      </c>
      <c r="H69" s="1">
        <f t="shared" si="2"/>
        <v>263847.44022603414</v>
      </c>
      <c r="I69" s="1">
        <f t="shared" si="10"/>
        <v>502.47318558270183</v>
      </c>
      <c r="J69" s="1">
        <f t="shared" si="11"/>
        <v>1319237.2011301706</v>
      </c>
      <c r="K69" s="1">
        <f t="shared" si="12"/>
        <v>1143.443583285858</v>
      </c>
      <c r="L69" s="1">
        <f t="shared" si="17"/>
        <v>4397.457337100569</v>
      </c>
      <c r="M69" s="1">
        <f t="shared" si="13"/>
        <v>63.277959733550546</v>
      </c>
      <c r="N69" s="1">
        <f t="shared" si="18"/>
        <v>26384.744022603412</v>
      </c>
      <c r="O69" s="1">
        <f t="shared" si="14"/>
        <v>157.66564849817004</v>
      </c>
      <c r="P69" s="1">
        <f t="shared" si="19"/>
        <v>263847.44022603414</v>
      </c>
      <c r="Q69" s="1">
        <f t="shared" si="15"/>
        <v>498.58255802172329</v>
      </c>
    </row>
    <row r="70" spans="1:17">
      <c r="A70" s="1">
        <v>2.9999999999999998E-13</v>
      </c>
      <c r="B70" s="1">
        <f>A70*$C$4/($C$2*$C$3/(1.2*10^-7))</f>
        <v>1.8122825523573666E-2</v>
      </c>
      <c r="C70" s="1">
        <f t="shared" si="6"/>
        <v>57988.448401326175</v>
      </c>
      <c r="D70" s="1">
        <f t="shared" si="7"/>
        <v>3769.2491460862016</v>
      </c>
      <c r="E70" s="1">
        <f t="shared" si="8"/>
        <v>58.656926253118371</v>
      </c>
      <c r="F70" s="1">
        <f t="shared" si="1"/>
        <v>22615.494876517208</v>
      </c>
      <c r="G70" s="1">
        <f t="shared" si="9"/>
        <v>146.58371784756886</v>
      </c>
      <c r="H70" s="1">
        <f t="shared" si="2"/>
        <v>226154.9487651721</v>
      </c>
      <c r="I70" s="1">
        <f t="shared" si="10"/>
        <v>463.53841629379195</v>
      </c>
      <c r="J70" s="1">
        <f t="shared" si="11"/>
        <v>1130774.7438258603</v>
      </c>
      <c r="K70" s="1">
        <f t="shared" si="12"/>
        <v>1057.8365933830087</v>
      </c>
      <c r="L70" s="1">
        <f t="shared" si="17"/>
        <v>3769.2491460862016</v>
      </c>
      <c r="M70" s="1">
        <f t="shared" si="13"/>
        <v>58.152129971945712</v>
      </c>
      <c r="N70" s="1">
        <f t="shared" si="18"/>
        <v>22615.494876517208</v>
      </c>
      <c r="O70" s="1">
        <f t="shared" si="14"/>
        <v>145.27140919329824</v>
      </c>
      <c r="P70" s="1">
        <f t="shared" si="19"/>
        <v>226154.9487651721</v>
      </c>
      <c r="Q70" s="1">
        <f t="shared" si="15"/>
        <v>459.38853195314636</v>
      </c>
    </row>
    <row r="71" spans="1:17">
      <c r="A71" s="1">
        <v>2.4999999999999999E-13</v>
      </c>
      <c r="B71" s="1">
        <f t="shared" si="16"/>
        <v>1.5102354602978055E-2</v>
      </c>
      <c r="C71" s="1">
        <f t="shared" si="6"/>
        <v>48323.707001105147</v>
      </c>
      <c r="D71" s="1">
        <f t="shared" si="7"/>
        <v>3141.0409550718346</v>
      </c>
      <c r="E71" s="1">
        <f t="shared" si="8"/>
        <v>53.08538892101155</v>
      </c>
      <c r="F71" s="1">
        <f t="shared" si="1"/>
        <v>18846.245730431008</v>
      </c>
      <c r="G71" s="1">
        <f t="shared" si="9"/>
        <v>133.14913558003173</v>
      </c>
      <c r="H71" s="1">
        <f t="shared" si="2"/>
        <v>188462.45730431008</v>
      </c>
      <c r="I71" s="1">
        <f t="shared" si="10"/>
        <v>421.05453691546501</v>
      </c>
      <c r="J71" s="1">
        <f t="shared" si="11"/>
        <v>942312.28652155038</v>
      </c>
      <c r="K71" s="1">
        <f t="shared" si="12"/>
        <v>964.66584698109693</v>
      </c>
      <c r="L71" s="1">
        <f t="shared" si="17"/>
        <v>3141.0409550718346</v>
      </c>
      <c r="M71" s="1">
        <f t="shared" si="13"/>
        <v>52.547807703215419</v>
      </c>
      <c r="N71" s="1">
        <f t="shared" si="18"/>
        <v>18846.245730431008</v>
      </c>
      <c r="O71" s="1">
        <f t="shared" si="14"/>
        <v>131.73638973635747</v>
      </c>
      <c r="P71" s="1">
        <f t="shared" si="19"/>
        <v>188462.45730431008</v>
      </c>
      <c r="Q71" s="1">
        <f t="shared" si="15"/>
        <v>416.58704229451826</v>
      </c>
    </row>
    <row r="72" spans="1:17">
      <c r="A72" s="1">
        <v>2.0000000000000001E-13</v>
      </c>
      <c r="B72" s="1">
        <f t="shared" si="16"/>
        <v>1.2081883682382444E-2</v>
      </c>
      <c r="C72" s="1">
        <f t="shared" si="6"/>
        <v>38658.965600884105</v>
      </c>
      <c r="D72" s="1">
        <f t="shared" si="7"/>
        <v>2512.8327640574666</v>
      </c>
      <c r="E72" s="1">
        <f t="shared" si="8"/>
        <v>46.882246442662073</v>
      </c>
      <c r="F72" s="1">
        <f t="shared" si="1"/>
        <v>15076.996584344801</v>
      </c>
      <c r="G72" s="1">
        <f t="shared" si="9"/>
        <v>118.21915430227078</v>
      </c>
      <c r="H72" s="1">
        <f t="shared" si="2"/>
        <v>150769.96584344801</v>
      </c>
      <c r="I72" s="1">
        <f t="shared" si="10"/>
        <v>373.84179065406943</v>
      </c>
      <c r="J72" s="1">
        <f t="shared" si="11"/>
        <v>753849.82921723998</v>
      </c>
      <c r="K72" s="1">
        <f t="shared" si="12"/>
        <v>861.48368689675544</v>
      </c>
      <c r="L72" s="1">
        <f t="shared" si="17"/>
        <v>2512.8327640574666</v>
      </c>
      <c r="M72" s="1">
        <f t="shared" si="13"/>
        <v>46.305573553194115</v>
      </c>
      <c r="N72" s="1">
        <f t="shared" si="18"/>
        <v>15076.996584344801</v>
      </c>
      <c r="O72" s="1">
        <f t="shared" si="14"/>
        <v>116.67979496320014</v>
      </c>
      <c r="P72" s="1">
        <f t="shared" si="19"/>
        <v>150769.96584344801</v>
      </c>
      <c r="Q72" s="1">
        <f t="shared" si="15"/>
        <v>368.97390900515472</v>
      </c>
    </row>
    <row r="73" spans="1:17">
      <c r="A73" s="1">
        <v>1.4999999999999999E-13</v>
      </c>
      <c r="B73" s="1">
        <f t="shared" si="16"/>
        <v>9.0614127617868329E-3</v>
      </c>
      <c r="C73" s="1">
        <f t="shared" si="6"/>
        <v>28994.224200663088</v>
      </c>
      <c r="D73" s="1">
        <f t="shared" si="7"/>
        <v>1884.6245730431008</v>
      </c>
      <c r="E73" s="1">
        <f t="shared" si="8"/>
        <v>39.778920467049559</v>
      </c>
      <c r="F73" s="1">
        <f t="shared" si="1"/>
        <v>11307.747438258604</v>
      </c>
      <c r="G73" s="1">
        <f t="shared" si="9"/>
        <v>101.15677625857246</v>
      </c>
      <c r="H73" s="1">
        <f t="shared" si="2"/>
        <v>113077.47438258605</v>
      </c>
      <c r="I73" s="1">
        <f t="shared" si="10"/>
        <v>319.88581373713481</v>
      </c>
      <c r="J73" s="1">
        <f t="shared" si="11"/>
        <v>565387.37191293016</v>
      </c>
      <c r="K73" s="1">
        <f t="shared" si="12"/>
        <v>744.14505237113451</v>
      </c>
      <c r="L73" s="1">
        <f t="shared" si="17"/>
        <v>1884.6245730431008</v>
      </c>
      <c r="M73" s="1">
        <f t="shared" si="13"/>
        <v>39.155882815835895</v>
      </c>
      <c r="N73" s="1">
        <f t="shared" si="18"/>
        <v>11307.747438258604</v>
      </c>
      <c r="O73" s="1">
        <f t="shared" si="14"/>
        <v>99.452263130595767</v>
      </c>
      <c r="P73" s="1">
        <f t="shared" si="19"/>
        <v>113077.47438258605</v>
      </c>
      <c r="Q73" s="1">
        <f t="shared" si="15"/>
        <v>314.4956699510704</v>
      </c>
    </row>
    <row r="74" spans="1:17">
      <c r="A74" s="1">
        <v>1E-13</v>
      </c>
      <c r="B74" s="1">
        <f t="shared" si="16"/>
        <v>6.0409418411912219E-3</v>
      </c>
      <c r="C74" s="1">
        <f t="shared" si="6"/>
        <v>19329.482800442052</v>
      </c>
      <c r="D74" s="1">
        <f t="shared" si="7"/>
        <v>1256.4163820287333</v>
      </c>
      <c r="E74" s="1">
        <f t="shared" si="8"/>
        <v>31.250499886557723</v>
      </c>
      <c r="F74" s="1">
        <f t="shared" si="1"/>
        <v>7538.4982921724004</v>
      </c>
      <c r="G74" s="1">
        <f t="shared" si="9"/>
        <v>80.69838377402877</v>
      </c>
      <c r="H74" s="1">
        <f t="shared" si="2"/>
        <v>75384.982921724004</v>
      </c>
      <c r="I74" s="1">
        <f t="shared" si="10"/>
        <v>255.19069622030563</v>
      </c>
      <c r="J74" s="1">
        <f t="shared" si="11"/>
        <v>376924.91460861999</v>
      </c>
      <c r="K74" s="1">
        <f t="shared" si="12"/>
        <v>604.48979314806718</v>
      </c>
      <c r="L74" s="1">
        <f t="shared" si="17"/>
        <v>1256.4163820287333</v>
      </c>
      <c r="M74" s="1">
        <f t="shared" si="13"/>
        <v>30.576925264180616</v>
      </c>
      <c r="N74" s="1">
        <f t="shared" si="18"/>
        <v>7538.4982921724004</v>
      </c>
      <c r="O74" s="1">
        <f t="shared" si="14"/>
        <v>78.772151300579381</v>
      </c>
      <c r="P74" s="1">
        <f t="shared" si="19"/>
        <v>75384.982921724004</v>
      </c>
      <c r="Q74" s="1">
        <f t="shared" si="15"/>
        <v>249.09941430122572</v>
      </c>
    </row>
    <row r="75" spans="1:17">
      <c r="A75" s="1">
        <v>9.4999999999999999E-14</v>
      </c>
      <c r="B75" s="1">
        <f t="shared" si="16"/>
        <v>5.7388947491316608E-3</v>
      </c>
      <c r="C75" s="1">
        <f t="shared" si="6"/>
        <v>18363.008660419953</v>
      </c>
      <c r="D75" s="1">
        <f t="shared" si="7"/>
        <v>1193.5955629272969</v>
      </c>
      <c r="E75" s="1">
        <f t="shared" si="8"/>
        <v>30.282254815029734</v>
      </c>
      <c r="F75" s="1">
        <f t="shared" si="1"/>
        <v>7161.5733775637818</v>
      </c>
      <c r="G75" s="1">
        <f t="shared" si="9"/>
        <v>78.374774304994091</v>
      </c>
      <c r="H75" s="1">
        <f t="shared" si="2"/>
        <v>71615.733775637811</v>
      </c>
      <c r="I75" s="1">
        <f t="shared" si="10"/>
        <v>247.84279790542155</v>
      </c>
      <c r="J75" s="1">
        <f t="shared" si="11"/>
        <v>358078.66887818911</v>
      </c>
      <c r="K75" s="1">
        <f t="shared" si="12"/>
        <v>588.71058748487974</v>
      </c>
      <c r="L75" s="1">
        <f t="shared" si="17"/>
        <v>1193.5955629272969</v>
      </c>
      <c r="M75" s="1">
        <f t="shared" si="13"/>
        <v>29.604037324146717</v>
      </c>
      <c r="N75" s="1">
        <f t="shared" si="18"/>
        <v>7161.5733775637818</v>
      </c>
      <c r="O75" s="1">
        <f t="shared" si="14"/>
        <v>76.42268268626988</v>
      </c>
      <c r="P75" s="1">
        <f t="shared" si="19"/>
        <v>71615.733775637811</v>
      </c>
      <c r="Q75" s="1">
        <f t="shared" si="15"/>
        <v>241.66974218892798</v>
      </c>
    </row>
    <row r="76" spans="1:17">
      <c r="A76" s="1">
        <v>8.9999999999999995E-14</v>
      </c>
      <c r="B76" s="1">
        <f t="shared" si="16"/>
        <v>5.4368476570720997E-3</v>
      </c>
      <c r="C76" s="1">
        <f t="shared" si="6"/>
        <v>17396.53452039785</v>
      </c>
      <c r="D76" s="1">
        <f t="shared" si="7"/>
        <v>1130.7747438258602</v>
      </c>
      <c r="E76" s="1">
        <f t="shared" si="8"/>
        <v>29.286676268405788</v>
      </c>
      <c r="F76" s="1">
        <f t="shared" si="1"/>
        <v>6784.6484629551614</v>
      </c>
      <c r="G76" s="1">
        <f t="shared" si="9"/>
        <v>75.984680660918613</v>
      </c>
      <c r="H76" s="1">
        <f t="shared" si="2"/>
        <v>67846.484629551618</v>
      </c>
      <c r="I76" s="1">
        <f t="shared" si="10"/>
        <v>240.28465816905123</v>
      </c>
      <c r="J76" s="1">
        <f t="shared" si="11"/>
        <v>339232.42314775806</v>
      </c>
      <c r="K76" s="1">
        <f t="shared" si="12"/>
        <v>572.49837266929103</v>
      </c>
      <c r="L76" s="1">
        <f t="shared" si="17"/>
        <v>1130.7747438258602</v>
      </c>
      <c r="M76" s="1">
        <f t="shared" si="13"/>
        <v>28.604074985445187</v>
      </c>
      <c r="N76" s="1">
        <f t="shared" si="18"/>
        <v>6784.6484629551614</v>
      </c>
      <c r="O76" s="1">
        <f t="shared" si="14"/>
        <v>74.006109448116533</v>
      </c>
      <c r="P76" s="1">
        <f t="shared" si="19"/>
        <v>67846.484629551618</v>
      </c>
      <c r="Q76" s="1">
        <f t="shared" si="15"/>
        <v>234.02786662375493</v>
      </c>
    </row>
    <row r="77" spans="1:17">
      <c r="A77" s="1">
        <v>8.5000000000000004E-14</v>
      </c>
      <c r="B77" s="1">
        <f t="shared" si="16"/>
        <v>5.1348005650125386E-3</v>
      </c>
      <c r="C77" s="1">
        <f t="shared" si="6"/>
        <v>16430.060380375748</v>
      </c>
      <c r="D77" s="1">
        <f t="shared" si="7"/>
        <v>1067.9539247244236</v>
      </c>
      <c r="E77" s="1">
        <f t="shared" si="8"/>
        <v>28.26151368285845</v>
      </c>
      <c r="F77" s="1">
        <f t="shared" si="1"/>
        <v>6407.723548346542</v>
      </c>
      <c r="G77" s="1">
        <f t="shared" si="9"/>
        <v>73.522318098444487</v>
      </c>
      <c r="H77" s="1">
        <f t="shared" si="2"/>
        <v>64077.235483465418</v>
      </c>
      <c r="I77" s="1">
        <f t="shared" si="10"/>
        <v>232.49798404650434</v>
      </c>
      <c r="J77" s="1">
        <f t="shared" si="11"/>
        <v>320386.17741732713</v>
      </c>
      <c r="K77" s="1">
        <f t="shared" si="12"/>
        <v>555.81556336844426</v>
      </c>
      <c r="L77" s="1">
        <f t="shared" si="17"/>
        <v>1067.9539247244236</v>
      </c>
      <c r="M77" s="1">
        <f t="shared" si="13"/>
        <v>27.57487527640831</v>
      </c>
      <c r="N77" s="1">
        <f t="shared" si="18"/>
        <v>6407.723548346542</v>
      </c>
      <c r="O77" s="1">
        <f t="shared" si="14"/>
        <v>71.516715777761988</v>
      </c>
      <c r="P77" s="1">
        <f t="shared" si="19"/>
        <v>64077.235483465418</v>
      </c>
      <c r="Q77" s="1">
        <f t="shared" si="15"/>
        <v>226.15571263262817</v>
      </c>
    </row>
    <row r="78" spans="1:17">
      <c r="A78" s="1">
        <v>8E-14</v>
      </c>
      <c r="B78" s="1">
        <f t="shared" si="16"/>
        <v>4.8327534729529775E-3</v>
      </c>
      <c r="C78" s="1">
        <f t="shared" si="6"/>
        <v>15463.586240353645</v>
      </c>
      <c r="D78" s="1">
        <f t="shared" si="7"/>
        <v>1005.1331056229869</v>
      </c>
      <c r="E78" s="1">
        <f t="shared" si="8"/>
        <v>27.204207451556769</v>
      </c>
      <c r="F78" s="1">
        <f t="shared" si="1"/>
        <v>6030.7986337379216</v>
      </c>
      <c r="G78" s="1">
        <f t="shared" si="9"/>
        <v>70.981040945490548</v>
      </c>
      <c r="H78" s="1">
        <f t="shared" si="2"/>
        <v>60307.986337379218</v>
      </c>
      <c r="I78" s="1">
        <f t="shared" si="10"/>
        <v>224.46176007742176</v>
      </c>
      <c r="J78" s="1">
        <f t="shared" si="11"/>
        <v>301539.93168689607</v>
      </c>
      <c r="K78" s="1">
        <f t="shared" si="12"/>
        <v>538.61882270204637</v>
      </c>
      <c r="L78" s="1">
        <f t="shared" si="17"/>
        <v>1005.1331056229869</v>
      </c>
      <c r="M78" s="1">
        <f t="shared" si="13"/>
        <v>26.513989530705842</v>
      </c>
      <c r="N78" s="1">
        <f t="shared" si="18"/>
        <v>6030.7986337379216</v>
      </c>
      <c r="O78" s="1">
        <f t="shared" si="14"/>
        <v>68.947963326282135</v>
      </c>
      <c r="P78" s="1">
        <f t="shared" si="19"/>
        <v>60307.986337379218</v>
      </c>
      <c r="Q78" s="1">
        <f t="shared" si="15"/>
        <v>218.03260414081069</v>
      </c>
    </row>
    <row r="79" spans="1:17">
      <c r="A79" s="1">
        <v>7.4999999999999996E-14</v>
      </c>
      <c r="B79" s="1">
        <f t="shared" si="16"/>
        <v>4.5307063808934164E-3</v>
      </c>
      <c r="C79" s="1">
        <f t="shared" si="6"/>
        <v>14497.112100331544</v>
      </c>
      <c r="D79" s="1">
        <f t="shared" si="7"/>
        <v>942.31228652155039</v>
      </c>
      <c r="E79" s="1">
        <f t="shared" si="8"/>
        <v>26.111828510162646</v>
      </c>
      <c r="F79" s="1">
        <f t="shared" si="1"/>
        <v>5653.8737191293021</v>
      </c>
      <c r="G79" s="1">
        <f t="shared" si="9"/>
        <v>68.353156867248217</v>
      </c>
      <c r="H79" s="1">
        <f t="shared" si="2"/>
        <v>56538.737191293025</v>
      </c>
      <c r="I79" s="1">
        <f t="shared" si="10"/>
        <v>216.15166096328389</v>
      </c>
      <c r="J79" s="1">
        <f t="shared" si="11"/>
        <v>282693.68595646508</v>
      </c>
      <c r="K79" s="1">
        <f t="shared" si="12"/>
        <v>520.85775412739565</v>
      </c>
      <c r="L79" s="1">
        <f t="shared" si="17"/>
        <v>942.31228652155039</v>
      </c>
      <c r="M79" s="1">
        <f t="shared" si="13"/>
        <v>25.418629984541436</v>
      </c>
      <c r="N79" s="1">
        <f t="shared" si="18"/>
        <v>5653.8737191293021</v>
      </c>
      <c r="O79" s="1">
        <f t="shared" si="14"/>
        <v>66.292321155763219</v>
      </c>
      <c r="P79" s="1">
        <f t="shared" si="19"/>
        <v>56538.737191293025</v>
      </c>
      <c r="Q79" s="1">
        <f t="shared" si="15"/>
        <v>209.63472623157764</v>
      </c>
    </row>
    <row r="80" spans="1:17">
      <c r="A80" s="1">
        <v>7.0000000000000005E-14</v>
      </c>
      <c r="B80" s="1">
        <f t="shared" si="16"/>
        <v>4.2286592888338562E-3</v>
      </c>
      <c r="C80" s="1">
        <f t="shared" si="6"/>
        <v>13530.637960309441</v>
      </c>
      <c r="D80" s="1">
        <f t="shared" si="7"/>
        <v>879.49146742011362</v>
      </c>
      <c r="E80" s="1">
        <f t="shared" si="8"/>
        <v>24.981002318273784</v>
      </c>
      <c r="F80" s="1">
        <f t="shared" si="1"/>
        <v>5276.9488045206817</v>
      </c>
      <c r="G80" s="1">
        <f t="shared" si="9"/>
        <v>65.629687411204017</v>
      </c>
      <c r="H80" s="1">
        <f t="shared" si="2"/>
        <v>52769.488045206817</v>
      </c>
      <c r="I80" s="1">
        <f t="shared" si="10"/>
        <v>207.53929434428437</v>
      </c>
      <c r="J80" s="1">
        <f t="shared" si="11"/>
        <v>263847.44022603409</v>
      </c>
      <c r="K80" s="1">
        <f t="shared" si="12"/>
        <v>502.47318558270183</v>
      </c>
      <c r="L80" s="1">
        <f t="shared" si="17"/>
        <v>879.49146742011362</v>
      </c>
      <c r="M80" s="1">
        <f t="shared" si="13"/>
        <v>24.285603248088481</v>
      </c>
      <c r="N80" s="1">
        <f t="shared" si="18"/>
        <v>5276.9488045206817</v>
      </c>
      <c r="O80" s="1">
        <f t="shared" si="14"/>
        <v>63.541048902869001</v>
      </c>
      <c r="P80" s="1">
        <f t="shared" si="19"/>
        <v>52769.488045206817</v>
      </c>
      <c r="Q80" s="1">
        <f t="shared" si="15"/>
        <v>200.93443944920915</v>
      </c>
    </row>
    <row r="81" spans="1:17">
      <c r="A81" s="1">
        <v>6.5000000000000001E-14</v>
      </c>
      <c r="B81" s="1">
        <f t="shared" si="16"/>
        <v>3.9266121967742942E-3</v>
      </c>
      <c r="C81" s="1">
        <f t="shared" si="6"/>
        <v>12564.163820287338</v>
      </c>
      <c r="D81" s="1">
        <f t="shared" si="7"/>
        <v>816.67064831867708</v>
      </c>
      <c r="E81" s="1">
        <f t="shared" si="8"/>
        <v>23.807812135467316</v>
      </c>
      <c r="F81" s="1">
        <f t="shared" si="1"/>
        <v>4900.0238899120623</v>
      </c>
      <c r="G81" s="1">
        <f t="shared" si="9"/>
        <v>62.800054905357115</v>
      </c>
      <c r="H81" s="1">
        <f t="shared" si="2"/>
        <v>49000.238899120624</v>
      </c>
      <c r="I81" s="1">
        <f t="shared" si="10"/>
        <v>198.59121068455843</v>
      </c>
      <c r="J81" s="1">
        <f t="shared" si="11"/>
        <v>245001.19449560312</v>
      </c>
      <c r="K81" s="1">
        <f t="shared" si="12"/>
        <v>483.39487954230839</v>
      </c>
      <c r="L81" s="1">
        <f t="shared" si="17"/>
        <v>816.67064831867708</v>
      </c>
      <c r="M81" s="1">
        <f t="shared" si="13"/>
        <v>23.1112265851201</v>
      </c>
      <c r="N81" s="1">
        <f t="shared" si="18"/>
        <v>4900.0238899120623</v>
      </c>
      <c r="O81" s="1">
        <f t="shared" si="14"/>
        <v>60.683916753004347</v>
      </c>
      <c r="P81" s="1">
        <f t="shared" si="19"/>
        <v>49000.238899120624</v>
      </c>
      <c r="Q81" s="1">
        <f t="shared" si="15"/>
        <v>191.89939427954332</v>
      </c>
    </row>
    <row r="82" spans="1:17">
      <c r="A82" s="1">
        <v>5.9999999999999997E-14</v>
      </c>
      <c r="B82" s="1">
        <f t="shared" si="16"/>
        <v>3.6245651047147327E-3</v>
      </c>
      <c r="C82" s="1">
        <f t="shared" si="6"/>
        <v>11597.689680265232</v>
      </c>
      <c r="D82" s="1">
        <f t="shared" si="7"/>
        <v>753.8498292172402</v>
      </c>
      <c r="E82" s="1">
        <f t="shared" si="8"/>
        <v>22.587674436414037</v>
      </c>
      <c r="F82" s="1">
        <f t="shared" si="1"/>
        <v>4523.098975303441</v>
      </c>
      <c r="G82" s="1">
        <f t="shared" si="9"/>
        <v>59.851666565761498</v>
      </c>
      <c r="H82" s="1">
        <f t="shared" si="2"/>
        <v>45230.98975303441</v>
      </c>
      <c r="I82" s="1">
        <f t="shared" si="10"/>
        <v>189.26758810475428</v>
      </c>
      <c r="J82" s="1">
        <f t="shared" si="11"/>
        <v>226154.94876517204</v>
      </c>
      <c r="K82" s="1">
        <f t="shared" si="12"/>
        <v>463.5384162937919</v>
      </c>
      <c r="L82" s="1">
        <f t="shared" si="17"/>
        <v>753.8498292172402</v>
      </c>
      <c r="M82" s="1">
        <f t="shared" si="13"/>
        <v>21.891221389816479</v>
      </c>
      <c r="N82" s="1">
        <f t="shared" si="18"/>
        <v>4523.098975303441</v>
      </c>
      <c r="O82" s="1">
        <f t="shared" si="14"/>
        <v>57.70883869740419</v>
      </c>
      <c r="P82" s="1">
        <f t="shared" si="19"/>
        <v>45230.98975303441</v>
      </c>
      <c r="Q82" s="1">
        <f t="shared" si="15"/>
        <v>182.49137140706173</v>
      </c>
    </row>
    <row r="83" spans="1:17">
      <c r="A83" s="1">
        <v>5.4999999999999999E-14</v>
      </c>
      <c r="B83" s="1">
        <f t="shared" si="16"/>
        <v>3.322518012655172E-3</v>
      </c>
      <c r="C83" s="1">
        <f t="shared" si="6"/>
        <v>10631.215540243129</v>
      </c>
      <c r="D83" s="1">
        <f t="shared" si="7"/>
        <v>691.02901011580343</v>
      </c>
      <c r="E83" s="1">
        <f t="shared" si="8"/>
        <v>21.31517625501424</v>
      </c>
      <c r="F83" s="1">
        <f t="shared" si="1"/>
        <v>4146.1740606948206</v>
      </c>
      <c r="G83" s="1">
        <f t="shared" si="9"/>
        <v>56.76935222835607</v>
      </c>
      <c r="H83" s="1">
        <f t="shared" si="2"/>
        <v>41461.740606948209</v>
      </c>
      <c r="I83" s="1">
        <f t="shared" si="10"/>
        <v>179.52045433396043</v>
      </c>
      <c r="J83" s="1">
        <f t="shared" si="11"/>
        <v>207308.70303474102</v>
      </c>
      <c r="K83" s="1">
        <f t="shared" si="12"/>
        <v>442.80085538892263</v>
      </c>
      <c r="L83" s="1">
        <f t="shared" si="17"/>
        <v>691.02901011580343</v>
      </c>
      <c r="M83" s="1">
        <f t="shared" si="13"/>
        <v>20.620575997834784</v>
      </c>
      <c r="N83" s="1">
        <f t="shared" si="18"/>
        <v>4146.1740606948206</v>
      </c>
      <c r="O83" s="1">
        <f t="shared" si="14"/>
        <v>54.601384650680131</v>
      </c>
      <c r="P83" s="1">
        <f t="shared" si="19"/>
        <v>41461.740606948209</v>
      </c>
      <c r="Q83" s="1">
        <f t="shared" si="15"/>
        <v>172.66473889510641</v>
      </c>
    </row>
    <row r="84" spans="1:17">
      <c r="A84" s="1">
        <v>5.0000000000000002E-14</v>
      </c>
      <c r="B84" s="1">
        <f t="shared" si="16"/>
        <v>3.020470920595611E-3</v>
      </c>
      <c r="C84" s="1">
        <f t="shared" si="6"/>
        <v>9664.7414002210262</v>
      </c>
      <c r="D84" s="1">
        <f t="shared" si="7"/>
        <v>628.20819101436666</v>
      </c>
      <c r="E84" s="1">
        <f t="shared" si="8"/>
        <v>19.983859610903462</v>
      </c>
      <c r="F84" s="1">
        <f t="shared" si="1"/>
        <v>3769.2491460862002</v>
      </c>
      <c r="G84" s="1">
        <f t="shared" si="9"/>
        <v>53.534588873640601</v>
      </c>
      <c r="H84" s="1">
        <f t="shared" si="2"/>
        <v>37692.491460862002</v>
      </c>
      <c r="I84" s="1">
        <f t="shared" si="10"/>
        <v>169.29123444141234</v>
      </c>
      <c r="J84" s="1">
        <f t="shared" si="11"/>
        <v>188462.45730431</v>
      </c>
      <c r="K84" s="1">
        <f t="shared" si="12"/>
        <v>421.05453691546489</v>
      </c>
      <c r="L84" s="1">
        <f t="shared" si="17"/>
        <v>628.20819101436666</v>
      </c>
      <c r="M84" s="1">
        <f t="shared" si="13"/>
        <v>19.293366625345325</v>
      </c>
      <c r="N84" s="1">
        <f t="shared" si="18"/>
        <v>3769.2491460862002</v>
      </c>
      <c r="O84" s="1">
        <f t="shared" si="14"/>
        <v>51.344119946970764</v>
      </c>
      <c r="P84" s="1">
        <f t="shared" si="19"/>
        <v>37692.491460862002</v>
      </c>
      <c r="Q84" s="1">
        <f t="shared" si="15"/>
        <v>162.36436348931133</v>
      </c>
    </row>
    <row r="85" spans="1:17">
      <c r="A85" s="1">
        <v>4.4999999999999998E-14</v>
      </c>
      <c r="B85" s="1">
        <f t="shared" si="16"/>
        <v>2.7184238285360499E-3</v>
      </c>
      <c r="C85" s="1">
        <f t="shared" si="6"/>
        <v>8698.2672601989252</v>
      </c>
      <c r="D85" s="1">
        <f t="shared" si="7"/>
        <v>565.38737191293012</v>
      </c>
      <c r="E85" s="1">
        <f t="shared" si="8"/>
        <v>18.585930970668148</v>
      </c>
      <c r="F85" s="1">
        <f t="shared" si="1"/>
        <v>3392.3242314775807</v>
      </c>
      <c r="G85" s="1">
        <f t="shared" si="9"/>
        <v>50.12440652733568</v>
      </c>
      <c r="H85" s="1">
        <f t="shared" si="2"/>
        <v>33923.242314775809</v>
      </c>
      <c r="I85" s="1">
        <f t="shared" si="10"/>
        <v>158.50729099059174</v>
      </c>
      <c r="J85" s="1">
        <f t="shared" si="11"/>
        <v>169616.21157387903</v>
      </c>
      <c r="K85" s="1">
        <f t="shared" si="12"/>
        <v>398.13795072181006</v>
      </c>
      <c r="L85" s="1">
        <f t="shared" si="17"/>
        <v>565.38737191293012</v>
      </c>
      <c r="M85" s="1">
        <f t="shared" si="13"/>
        <v>17.902520163841775</v>
      </c>
      <c r="N85" s="1">
        <f t="shared" si="18"/>
        <v>3392.3242314775807</v>
      </c>
      <c r="O85" s="1">
        <f t="shared" si="14"/>
        <v>47.915693295667189</v>
      </c>
      <c r="P85" s="1">
        <f t="shared" si="19"/>
        <v>33923.242314775809</v>
      </c>
      <c r="Q85" s="1">
        <f t="shared" si="15"/>
        <v>151.52272648036814</v>
      </c>
    </row>
    <row r="86" spans="1:17">
      <c r="A86" s="1">
        <v>4E-14</v>
      </c>
      <c r="B86" s="1">
        <f t="shared" si="16"/>
        <v>2.4163767364764888E-3</v>
      </c>
      <c r="C86" s="1">
        <f t="shared" si="6"/>
        <v>7731.7931201768224</v>
      </c>
      <c r="D86" s="1">
        <f t="shared" si="7"/>
        <v>502.56655281149347</v>
      </c>
      <c r="E86" s="1">
        <f t="shared" si="8"/>
        <v>17.111862223028599</v>
      </c>
      <c r="F86" s="1">
        <f t="shared" si="1"/>
        <v>3015.3993168689608</v>
      </c>
      <c r="G86" s="1">
        <f t="shared" si="9"/>
        <v>46.509803799098641</v>
      </c>
      <c r="H86" s="1">
        <f t="shared" si="2"/>
        <v>30153.993168689609</v>
      </c>
      <c r="I86" s="1">
        <f t="shared" si="10"/>
        <v>147.07691353270405</v>
      </c>
      <c r="J86" s="1">
        <f t="shared" si="11"/>
        <v>150769.96584344804</v>
      </c>
      <c r="K86" s="1">
        <f t="shared" si="12"/>
        <v>373.84179065406948</v>
      </c>
      <c r="L86" s="1">
        <f t="shared" si="17"/>
        <v>502.56655281149347</v>
      </c>
      <c r="M86" s="1">
        <f t="shared" si="13"/>
        <v>16.439494707605149</v>
      </c>
      <c r="N86" s="1">
        <f t="shared" si="18"/>
        <v>3015.3993168689608</v>
      </c>
      <c r="O86" s="1">
        <f t="shared" si="14"/>
        <v>44.289548796345194</v>
      </c>
      <c r="P86" s="1">
        <f t="shared" si="19"/>
        <v>30153.993168689609</v>
      </c>
      <c r="Q86" s="1">
        <f t="shared" si="15"/>
        <v>140.05585073761975</v>
      </c>
    </row>
    <row r="87" spans="1:17">
      <c r="A87" s="1">
        <v>3.5000000000000002E-14</v>
      </c>
      <c r="B87" s="1">
        <f t="shared" si="16"/>
        <v>2.1143296444169281E-3</v>
      </c>
      <c r="C87" s="1">
        <f t="shared" si="6"/>
        <v>6765.3189801547205</v>
      </c>
      <c r="D87" s="1">
        <f t="shared" si="7"/>
        <v>439.74573371005681</v>
      </c>
      <c r="E87" s="1">
        <f t="shared" si="8"/>
        <v>15.549830835216353</v>
      </c>
      <c r="F87" s="1">
        <f t="shared" si="1"/>
        <v>2638.4744022603409</v>
      </c>
      <c r="G87" s="1">
        <f t="shared" si="9"/>
        <v>42.65338265955041</v>
      </c>
      <c r="H87" s="1">
        <f t="shared" si="2"/>
        <v>26384.744022603409</v>
      </c>
      <c r="I87" s="1">
        <f t="shared" si="10"/>
        <v>134.88183911490958</v>
      </c>
      <c r="J87" s="1">
        <f t="shared" si="11"/>
        <v>131923.72011301704</v>
      </c>
      <c r="K87" s="1">
        <f t="shared" si="12"/>
        <v>347.8867026295041</v>
      </c>
      <c r="L87" s="1">
        <f t="shared" si="17"/>
        <v>439.74573371005681</v>
      </c>
      <c r="M87" s="1">
        <f t="shared" si="13"/>
        <v>14.893841213725596</v>
      </c>
      <c r="N87" s="1">
        <f t="shared" si="18"/>
        <v>2638.4744022603409</v>
      </c>
      <c r="O87" s="1">
        <f t="shared" si="14"/>
        <v>40.432059586028757</v>
      </c>
      <c r="P87" s="1">
        <f t="shared" si="19"/>
        <v>26384.744022603409</v>
      </c>
      <c r="Q87" s="1">
        <f t="shared" si="15"/>
        <v>127.8573987834955</v>
      </c>
    </row>
    <row r="88" spans="1:17">
      <c r="A88" s="1">
        <v>2.9999999999999998E-14</v>
      </c>
      <c r="B88" s="1">
        <f t="shared" si="16"/>
        <v>1.8122825523573664E-3</v>
      </c>
      <c r="C88" s="1">
        <f t="shared" si="6"/>
        <v>5798.8448401326159</v>
      </c>
      <c r="D88" s="1">
        <f t="shared" si="7"/>
        <v>376.9249146086201</v>
      </c>
      <c r="E88" s="1">
        <f t="shared" si="8"/>
        <v>13.884914992746408</v>
      </c>
      <c r="F88" s="1">
        <f t="shared" si="1"/>
        <v>2261.5494876517205</v>
      </c>
      <c r="G88" s="1">
        <f t="shared" si="9"/>
        <v>38.505689601836366</v>
      </c>
      <c r="H88" s="1">
        <f t="shared" si="2"/>
        <v>22615.494876517205</v>
      </c>
      <c r="I88" s="1">
        <f t="shared" si="10"/>
        <v>121.76568201726501</v>
      </c>
      <c r="J88" s="1">
        <f t="shared" si="11"/>
        <v>113077.47438258602</v>
      </c>
      <c r="K88" s="1">
        <f t="shared" si="12"/>
        <v>319.88581373713475</v>
      </c>
      <c r="L88" s="1">
        <f t="shared" si="17"/>
        <v>376.9249146086201</v>
      </c>
      <c r="M88" s="1">
        <f t="shared" si="13"/>
        <v>13.252589297778348</v>
      </c>
      <c r="N88" s="1">
        <f t="shared" si="18"/>
        <v>2261.5494876517205</v>
      </c>
      <c r="O88" s="1">
        <f t="shared" si="14"/>
        <v>36.299741449900296</v>
      </c>
      <c r="P88" s="1">
        <f t="shared" si="19"/>
        <v>22615.494876517205</v>
      </c>
      <c r="Q88" s="1">
        <f t="shared" si="15"/>
        <v>114.78986145690784</v>
      </c>
    </row>
    <row r="89" spans="1:17">
      <c r="A89" s="1">
        <v>2.5000000000000001E-14</v>
      </c>
      <c r="B89" s="1">
        <f t="shared" si="16"/>
        <v>1.5102354602978055E-3</v>
      </c>
      <c r="C89" s="1">
        <f t="shared" si="6"/>
        <v>4832.3707001105131</v>
      </c>
      <c r="D89" s="1">
        <f t="shared" si="7"/>
        <v>314.10409550718333</v>
      </c>
      <c r="E89" s="1">
        <f t="shared" si="8"/>
        <v>12.097903506241249</v>
      </c>
      <c r="F89" s="1">
        <f t="shared" si="1"/>
        <v>1884.6245730431001</v>
      </c>
      <c r="G89" s="1">
        <f t="shared" si="9"/>
        <v>33.999309717433349</v>
      </c>
      <c r="H89" s="1">
        <f t="shared" si="2"/>
        <v>18846.245730431001</v>
      </c>
      <c r="I89" s="1">
        <f t="shared" si="10"/>
        <v>107.51525758058517</v>
      </c>
      <c r="J89" s="1">
        <f t="shared" si="11"/>
        <v>94231.228652154998</v>
      </c>
      <c r="K89" s="1">
        <f t="shared" si="12"/>
        <v>289.27718469869228</v>
      </c>
      <c r="L89" s="1">
        <f t="shared" si="17"/>
        <v>314.10409550718333</v>
      </c>
      <c r="M89" s="1">
        <f t="shared" si="13"/>
        <v>11.499365742041842</v>
      </c>
      <c r="N89" s="1">
        <f t="shared" si="18"/>
        <v>1884.6245730431001</v>
      </c>
      <c r="O89" s="1">
        <f t="shared" si="14"/>
        <v>31.834944611309858</v>
      </c>
      <c r="P89" s="1">
        <f t="shared" si="19"/>
        <v>18846.245730431001</v>
      </c>
      <c r="Q89" s="1">
        <f t="shared" si="15"/>
        <v>100.67093415704288</v>
      </c>
    </row>
    <row r="90" spans="1:17">
      <c r="A90" s="1">
        <v>2E-14</v>
      </c>
      <c r="B90" s="1">
        <f t="shared" si="16"/>
        <v>1.2081883682382444E-3</v>
      </c>
      <c r="C90" s="1">
        <f t="shared" si="6"/>
        <v>3865.8965600884112</v>
      </c>
      <c r="D90" s="1">
        <f t="shared" si="7"/>
        <v>251.28327640574673</v>
      </c>
      <c r="E90" s="1">
        <f t="shared" si="8"/>
        <v>10.163477471357464</v>
      </c>
      <c r="F90" s="1">
        <f t="shared" si="1"/>
        <v>1507.6996584344804</v>
      </c>
      <c r="G90" s="1">
        <f t="shared" si="9"/>
        <v>29.038828018517133</v>
      </c>
      <c r="H90" s="1">
        <f t="shared" si="2"/>
        <v>15076.996584344804</v>
      </c>
      <c r="I90" s="1">
        <f t="shared" si="10"/>
        <v>91.828837120428346</v>
      </c>
      <c r="J90" s="1">
        <f t="shared" si="11"/>
        <v>75384.982921724019</v>
      </c>
      <c r="K90" s="1">
        <f t="shared" si="12"/>
        <v>255.19069622030563</v>
      </c>
      <c r="L90" s="1">
        <f t="shared" si="17"/>
        <v>251.28327640574673</v>
      </c>
      <c r="M90" s="1">
        <f t="shared" si="13"/>
        <v>9.6130940305512436</v>
      </c>
      <c r="N90" s="1">
        <f t="shared" si="18"/>
        <v>1507.6996584344804</v>
      </c>
      <c r="O90" s="1">
        <f t="shared" si="14"/>
        <v>26.95890914573571</v>
      </c>
      <c r="P90" s="1">
        <f t="shared" si="19"/>
        <v>15076.996584344804</v>
      </c>
      <c r="Q90" s="1">
        <f t="shared" si="15"/>
        <v>85.251556134069048</v>
      </c>
    </row>
    <row r="91" spans="1:17">
      <c r="A91" s="1">
        <v>1.4999999999999999E-14</v>
      </c>
      <c r="B91" s="1">
        <f t="shared" si="16"/>
        <v>9.0614127617868318E-4</v>
      </c>
      <c r="C91" s="1">
        <f t="shared" si="6"/>
        <v>2899.422420066308</v>
      </c>
      <c r="D91" s="1">
        <f t="shared" si="7"/>
        <v>188.46245730431005</v>
      </c>
      <c r="E91" s="1">
        <f t="shared" si="8"/>
        <v>8.0473223271590264</v>
      </c>
      <c r="F91" s="1">
        <f t="shared" si="1"/>
        <v>1130.7747438258602</v>
      </c>
      <c r="G91" s="1">
        <f t="shared" si="9"/>
        <v>23.482634535240731</v>
      </c>
      <c r="H91" s="1">
        <f t="shared" si="2"/>
        <v>11307.747438258602</v>
      </c>
      <c r="I91" s="1">
        <f t="shared" si="10"/>
        <v>74.258610592690232</v>
      </c>
      <c r="J91" s="1">
        <f t="shared" si="11"/>
        <v>56538.73719129301</v>
      </c>
      <c r="K91" s="1">
        <f t="shared" si="12"/>
        <v>216.15166096328383</v>
      </c>
      <c r="L91" s="1">
        <f t="shared" si="17"/>
        <v>188.46245730431005</v>
      </c>
      <c r="M91" s="1">
        <f t="shared" si="13"/>
        <v>7.5660132095696149</v>
      </c>
      <c r="N91" s="1">
        <f t="shared" si="18"/>
        <v>1130.7747438258602</v>
      </c>
      <c r="O91" s="1">
        <f t="shared" si="14"/>
        <v>21.559991521300702</v>
      </c>
      <c r="P91" s="1">
        <f t="shared" si="19"/>
        <v>11307.747438258602</v>
      </c>
      <c r="Q91" s="1">
        <f t="shared" si="15"/>
        <v>68.178679541228874</v>
      </c>
    </row>
    <row r="92" spans="1:17">
      <c r="A92" s="1">
        <v>1E-14</v>
      </c>
      <c r="B92" s="1">
        <f t="shared" si="16"/>
        <v>6.0409418411912219E-4</v>
      </c>
      <c r="C92" s="1">
        <f t="shared" si="6"/>
        <v>1932.9482800442056</v>
      </c>
      <c r="D92" s="1">
        <f t="shared" si="7"/>
        <v>125.64163820287337</v>
      </c>
      <c r="E92" s="1">
        <f t="shared" si="8"/>
        <v>5.701322824967848</v>
      </c>
      <c r="F92" s="1">
        <f t="shared" si="1"/>
        <v>753.8498292172402</v>
      </c>
      <c r="G92" s="1">
        <f t="shared" si="9"/>
        <v>17.107124663045386</v>
      </c>
      <c r="H92" s="1">
        <f t="shared" si="2"/>
        <v>7538.4982921724022</v>
      </c>
      <c r="I92" s="1">
        <f t="shared" si="10"/>
        <v>54.097478151663935</v>
      </c>
      <c r="J92" s="1">
        <f t="shared" si="11"/>
        <v>37692.491460862009</v>
      </c>
      <c r="K92" s="1">
        <f t="shared" si="12"/>
        <v>169.29123444141237</v>
      </c>
      <c r="L92" s="1">
        <f t="shared" si="17"/>
        <v>125.64163820287337</v>
      </c>
      <c r="M92" s="1">
        <f t="shared" si="13"/>
        <v>5.320543438006279</v>
      </c>
      <c r="N92" s="1">
        <f t="shared" si="18"/>
        <v>753.8498292172402</v>
      </c>
      <c r="O92" s="1">
        <f t="shared" si="14"/>
        <v>15.472419074092819</v>
      </c>
      <c r="P92" s="1">
        <f t="shared" si="19"/>
        <v>7538.4982921724022</v>
      </c>
      <c r="Q92" s="1">
        <f t="shared" si="15"/>
        <v>48.92808518676685</v>
      </c>
    </row>
    <row r="93" spans="1:17">
      <c r="A93" s="1">
        <v>9.5000000000000005E-15</v>
      </c>
      <c r="B93" s="1">
        <f t="shared" si="16"/>
        <v>5.7388947491316604E-4</v>
      </c>
      <c r="C93" s="1">
        <f t="shared" si="6"/>
        <v>1836.3008660419953</v>
      </c>
      <c r="D93" s="1">
        <f t="shared" si="7"/>
        <v>119.35955629272969</v>
      </c>
      <c r="E93" s="1">
        <f t="shared" si="8"/>
        <v>5.4516316076978049</v>
      </c>
      <c r="F93" s="1">
        <f t="shared" si="1"/>
        <v>716.15733775637818</v>
      </c>
      <c r="G93" s="1">
        <f t="shared" si="9"/>
        <v>16.411830794026784</v>
      </c>
      <c r="H93" s="1">
        <f t="shared" si="2"/>
        <v>7161.5733775637818</v>
      </c>
      <c r="I93" s="1">
        <f t="shared" si="10"/>
        <v>51.898765882414374</v>
      </c>
      <c r="J93" s="1">
        <f t="shared" si="11"/>
        <v>35807.866887818906</v>
      </c>
      <c r="K93" s="1">
        <f t="shared" si="12"/>
        <v>163.97381540745093</v>
      </c>
      <c r="L93" s="1">
        <f t="shared" si="17"/>
        <v>119.35955629272969</v>
      </c>
      <c r="M93" s="1">
        <f t="shared" si="13"/>
        <v>5.0832297888309874</v>
      </c>
      <c r="N93" s="1">
        <f t="shared" si="18"/>
        <v>716.15733775637818</v>
      </c>
      <c r="O93" s="1">
        <f t="shared" si="14"/>
        <v>14.816901770691675</v>
      </c>
      <c r="P93" s="1">
        <f t="shared" si="19"/>
        <v>7161.5733775637818</v>
      </c>
      <c r="Q93" s="1">
        <f t="shared" si="15"/>
        <v>46.855157462367579</v>
      </c>
    </row>
    <row r="94" spans="1:17">
      <c r="A94" s="1">
        <v>8.9999999999999995E-15</v>
      </c>
      <c r="B94" s="1">
        <f t="shared" si="16"/>
        <v>5.4368476570720999E-4</v>
      </c>
      <c r="C94" s="1">
        <f t="shared" si="6"/>
        <v>1739.6534520397852</v>
      </c>
      <c r="D94" s="1">
        <f t="shared" si="7"/>
        <v>113.07747438258605</v>
      </c>
      <c r="E94" s="1">
        <f t="shared" si="8"/>
        <v>5.1988820570322209</v>
      </c>
      <c r="F94" s="1">
        <f t="shared" ref="F94:F157" si="20">C94*$C$11*1</f>
        <v>678.46484629551628</v>
      </c>
      <c r="G94" s="1">
        <f t="shared" si="9"/>
        <v>15.7042587721497</v>
      </c>
      <c r="H94" s="1">
        <f t="shared" ref="H94:H157" si="21">C94*$C$11*10</f>
        <v>6784.6484629551633</v>
      </c>
      <c r="I94" s="1">
        <f t="shared" si="10"/>
        <v>49.6612266846723</v>
      </c>
      <c r="J94" s="1">
        <f t="shared" si="11"/>
        <v>33923.242314775816</v>
      </c>
      <c r="K94" s="1">
        <f t="shared" si="12"/>
        <v>158.50729099059174</v>
      </c>
      <c r="L94" s="1">
        <f t="shared" ref="L94:L125" si="22">C94*$C$11/6</f>
        <v>113.07747438258605</v>
      </c>
      <c r="M94" s="1">
        <f t="shared" si="13"/>
        <v>4.843362583194196</v>
      </c>
      <c r="N94" s="1">
        <f t="shared" ref="N94:N125" si="23">C94*$C$11*1</f>
        <v>678.46484629551628</v>
      </c>
      <c r="O94" s="1">
        <f t="shared" si="14"/>
        <v>14.151693608192369</v>
      </c>
      <c r="P94" s="1">
        <f t="shared" ref="P94:P125" si="24">C94*$C$11*10</f>
        <v>6784.6484629551633</v>
      </c>
      <c r="Q94" s="1">
        <f t="shared" si="15"/>
        <v>44.751584550734378</v>
      </c>
    </row>
    <row r="95" spans="1:17">
      <c r="A95" s="1">
        <v>8.5000000000000001E-15</v>
      </c>
      <c r="B95" s="1">
        <f t="shared" si="16"/>
        <v>5.1348005650125395E-4</v>
      </c>
      <c r="C95" s="1">
        <f t="shared" ref="C95:C158" si="25">B95*PI()*($C$6/2)^2*$C$7^3*$C$8*$C$9*$C$10*3600</f>
        <v>1643.0060380375751</v>
      </c>
      <c r="D95" s="1">
        <f t="shared" ref="D95:D158" si="26">C95*$C$11/6</f>
        <v>106.79539247244237</v>
      </c>
      <c r="E95" s="1">
        <f t="shared" ref="E95:E158" si="27">D95/SQRT(D95+($C$24+$C$20)*2)</f>
        <v>4.9429843538065166</v>
      </c>
      <c r="F95" s="1">
        <f t="shared" si="20"/>
        <v>640.77235483465427</v>
      </c>
      <c r="G95" s="1">
        <f t="shared" ref="G95:G158" si="28">F95/SQRT(F95+($C$25+$C$21)*2)</f>
        <v>14.983868139206109</v>
      </c>
      <c r="H95" s="1">
        <f t="shared" si="21"/>
        <v>6407.7235483465429</v>
      </c>
      <c r="I95" s="1">
        <f t="shared" ref="I95:I158" si="29">H95/SQRT(H95+($C$26+$C$22)*2)</f>
        <v>47.383151479520222</v>
      </c>
      <c r="J95" s="1">
        <f t="shared" ref="J95:J158" si="30">C95*$C$11*50</f>
        <v>32038.617741732713</v>
      </c>
      <c r="K95" s="1">
        <f t="shared" ref="K95:K158" si="31">J95/SQRT(J95+($C$26+$C$22)*2)</f>
        <v>152.87956535103078</v>
      </c>
      <c r="L95" s="1">
        <f t="shared" si="22"/>
        <v>106.79539247244237</v>
      </c>
      <c r="M95" s="1">
        <f t="shared" ref="M95:M158" si="32">L95/SQRT(L95+($D$24+$C$20)*2)</f>
        <v>4.6008765396157703</v>
      </c>
      <c r="N95" s="1">
        <f t="shared" si="23"/>
        <v>640.77235483465427</v>
      </c>
      <c r="O95" s="1">
        <f t="shared" ref="O95:O158" si="33">N95/SQRT(N95+($D$25+$C$21)*2)</f>
        <v>13.476445196857005</v>
      </c>
      <c r="P95" s="1">
        <f t="shared" si="24"/>
        <v>6407.7235483465429</v>
      </c>
      <c r="Q95" s="1">
        <f t="shared" ref="Q95:Q158" si="34">P95/SQRT(P95+($D$26+$C$22)*2)</f>
        <v>42.616261584504372</v>
      </c>
    </row>
    <row r="96" spans="1:17">
      <c r="A96" s="1">
        <v>8.0000000000000006E-15</v>
      </c>
      <c r="B96" s="1">
        <f t="shared" si="16"/>
        <v>4.832753472952978E-4</v>
      </c>
      <c r="C96" s="1">
        <f t="shared" si="25"/>
        <v>1546.3586240353648</v>
      </c>
      <c r="D96" s="1">
        <f t="shared" si="26"/>
        <v>100.51331056229871</v>
      </c>
      <c r="E96" s="1">
        <f t="shared" si="27"/>
        <v>4.6838446645893477</v>
      </c>
      <c r="F96" s="1">
        <f t="shared" si="20"/>
        <v>603.07986337379225</v>
      </c>
      <c r="G96" s="1">
        <f t="shared" si="28"/>
        <v>14.250081629450946</v>
      </c>
      <c r="H96" s="1">
        <f t="shared" si="21"/>
        <v>6030.7986337379225</v>
      </c>
      <c r="I96" s="1">
        <f t="shared" si="29"/>
        <v>45.06271479238854</v>
      </c>
      <c r="J96" s="1">
        <f t="shared" si="30"/>
        <v>30153.993168689613</v>
      </c>
      <c r="K96" s="1">
        <f t="shared" si="31"/>
        <v>147.07691353270408</v>
      </c>
      <c r="L96" s="1">
        <f t="shared" si="22"/>
        <v>100.51331056229871</v>
      </c>
      <c r="M96" s="1">
        <f t="shared" si="32"/>
        <v>4.3557038467097078</v>
      </c>
      <c r="N96" s="1">
        <f t="shared" si="23"/>
        <v>603.07986337379225</v>
      </c>
      <c r="O96" s="1">
        <f t="shared" si="33"/>
        <v>12.790787838907534</v>
      </c>
      <c r="P96" s="1">
        <f t="shared" si="24"/>
        <v>6030.7986337379225</v>
      </c>
      <c r="Q96" s="1">
        <f t="shared" si="34"/>
        <v>40.448022638930681</v>
      </c>
    </row>
    <row r="97" spans="1:17">
      <c r="A97" s="1">
        <v>7.4999999999999996E-15</v>
      </c>
      <c r="B97" s="1">
        <f t="shared" si="16"/>
        <v>4.5307063808934159E-4</v>
      </c>
      <c r="C97" s="1">
        <f t="shared" si="25"/>
        <v>1449.711210033154</v>
      </c>
      <c r="D97" s="1">
        <f t="shared" si="26"/>
        <v>94.231228652155025</v>
      </c>
      <c r="E97" s="1">
        <f t="shared" si="27"/>
        <v>4.4213649016532539</v>
      </c>
      <c r="F97" s="1">
        <f t="shared" si="20"/>
        <v>565.38737191293012</v>
      </c>
      <c r="G97" s="1">
        <f t="shared" si="28"/>
        <v>13.502281777128161</v>
      </c>
      <c r="H97" s="1">
        <f t="shared" si="21"/>
        <v>5653.8737191293012</v>
      </c>
      <c r="I97" s="1">
        <f t="shared" si="29"/>
        <v>42.697964025110991</v>
      </c>
      <c r="J97" s="1">
        <f t="shared" si="30"/>
        <v>28269.368595646505</v>
      </c>
      <c r="K97" s="1">
        <f t="shared" si="31"/>
        <v>141.08367006452457</v>
      </c>
      <c r="L97" s="1">
        <f t="shared" si="22"/>
        <v>94.231228652155025</v>
      </c>
      <c r="M97" s="1">
        <f t="shared" si="32"/>
        <v>4.1077740323692016</v>
      </c>
      <c r="N97" s="1">
        <f t="shared" si="23"/>
        <v>565.38737191293012</v>
      </c>
      <c r="O97" s="1">
        <f t="shared" si="33"/>
        <v>12.094332093805226</v>
      </c>
      <c r="P97" s="1">
        <f t="shared" si="24"/>
        <v>5653.8737191293012</v>
      </c>
      <c r="Q97" s="1">
        <f t="shared" si="34"/>
        <v>38.245636194897735</v>
      </c>
    </row>
    <row r="98" spans="1:17">
      <c r="A98" s="1">
        <v>7.0000000000000001E-15</v>
      </c>
      <c r="B98" s="1">
        <f t="shared" si="16"/>
        <v>4.2286592888338554E-4</v>
      </c>
      <c r="C98" s="1">
        <f t="shared" si="25"/>
        <v>1353.0637960309441</v>
      </c>
      <c r="D98" s="1">
        <f t="shared" si="26"/>
        <v>87.949146742011365</v>
      </c>
      <c r="E98" s="1">
        <f t="shared" si="27"/>
        <v>4.1554424649328645</v>
      </c>
      <c r="F98" s="1">
        <f t="shared" si="20"/>
        <v>527.69488045206822</v>
      </c>
      <c r="G98" s="1">
        <f t="shared" si="28"/>
        <v>12.739807127706586</v>
      </c>
      <c r="H98" s="1">
        <f t="shared" si="21"/>
        <v>5276.9488045206817</v>
      </c>
      <c r="I98" s="1">
        <f t="shared" si="29"/>
        <v>40.286807474800419</v>
      </c>
      <c r="J98" s="1">
        <f t="shared" si="30"/>
        <v>26384.744022603412</v>
      </c>
      <c r="K98" s="1">
        <f t="shared" si="31"/>
        <v>134.88183911490961</v>
      </c>
      <c r="L98" s="1">
        <f t="shared" si="22"/>
        <v>87.949146742011365</v>
      </c>
      <c r="M98" s="1">
        <f t="shared" si="32"/>
        <v>3.8570138244825904</v>
      </c>
      <c r="N98" s="1">
        <f t="shared" si="23"/>
        <v>527.69488045206822</v>
      </c>
      <c r="O98" s="1">
        <f t="shared" si="33"/>
        <v>11.386666209154583</v>
      </c>
      <c r="P98" s="1">
        <f t="shared" si="24"/>
        <v>5276.9488045206817</v>
      </c>
      <c r="Q98" s="1">
        <f t="shared" si="34"/>
        <v>36.007800177003702</v>
      </c>
    </row>
    <row r="99" spans="1:17">
      <c r="A99" s="1">
        <v>6.4999999999999999E-15</v>
      </c>
      <c r="B99" s="1">
        <f t="shared" si="16"/>
        <v>3.9266121967742939E-4</v>
      </c>
      <c r="C99" s="1">
        <f t="shared" si="25"/>
        <v>1256.4163820287338</v>
      </c>
      <c r="D99" s="1">
        <f t="shared" si="26"/>
        <v>81.667064831867705</v>
      </c>
      <c r="E99" s="1">
        <f t="shared" si="27"/>
        <v>3.8859699643391008</v>
      </c>
      <c r="F99" s="1">
        <f t="shared" si="20"/>
        <v>490.0023889912062</v>
      </c>
      <c r="G99" s="1">
        <f t="shared" si="28"/>
        <v>11.961947996429002</v>
      </c>
      <c r="H99" s="1">
        <f t="shared" si="21"/>
        <v>4900.0238899120623</v>
      </c>
      <c r="I99" s="1">
        <f t="shared" si="29"/>
        <v>37.827000921203343</v>
      </c>
      <c r="J99" s="1">
        <f t="shared" si="30"/>
        <v>24500.119449560309</v>
      </c>
      <c r="K99" s="1">
        <f t="shared" si="31"/>
        <v>128.45060124133542</v>
      </c>
      <c r="L99" s="1">
        <f t="shared" si="22"/>
        <v>81.667064831867705</v>
      </c>
      <c r="M99" s="1">
        <f t="shared" si="32"/>
        <v>3.6033470025197682</v>
      </c>
      <c r="N99" s="1">
        <f t="shared" si="23"/>
        <v>490.0023889912062</v>
      </c>
      <c r="O99" s="1">
        <f t="shared" si="33"/>
        <v>10.667354401978319</v>
      </c>
      <c r="P99" s="1">
        <f t="shared" si="24"/>
        <v>4900.0238899120623</v>
      </c>
      <c r="Q99" s="1">
        <f t="shared" si="34"/>
        <v>33.733136518474865</v>
      </c>
    </row>
    <row r="100" spans="1:17">
      <c r="A100" s="1">
        <v>5.9999999999999997E-15</v>
      </c>
      <c r="B100" s="1">
        <f t="shared" si="16"/>
        <v>3.6245651047147335E-4</v>
      </c>
      <c r="C100" s="1">
        <f t="shared" si="25"/>
        <v>1159.7689680265237</v>
      </c>
      <c r="D100" s="1">
        <f t="shared" si="26"/>
        <v>75.384982921724045</v>
      </c>
      <c r="E100" s="1">
        <f t="shared" si="27"/>
        <v>3.6128349206240662</v>
      </c>
      <c r="F100" s="1">
        <f t="shared" si="20"/>
        <v>452.30989753034424</v>
      </c>
      <c r="G100" s="1">
        <f t="shared" si="28"/>
        <v>11.167941708257072</v>
      </c>
      <c r="H100" s="1">
        <f t="shared" si="21"/>
        <v>4523.0989753034428</v>
      </c>
      <c r="I100" s="1">
        <f t="shared" si="29"/>
        <v>35.316132574084023</v>
      </c>
      <c r="J100" s="1">
        <f t="shared" si="30"/>
        <v>22615.494876517212</v>
      </c>
      <c r="K100" s="1">
        <f t="shared" si="31"/>
        <v>121.76568201726501</v>
      </c>
      <c r="L100" s="1">
        <f t="shared" si="22"/>
        <v>75.384982921724045</v>
      </c>
      <c r="M100" s="1">
        <f t="shared" si="32"/>
        <v>3.3466942392683405</v>
      </c>
      <c r="N100" s="1">
        <f t="shared" si="23"/>
        <v>452.30989753034424</v>
      </c>
      <c r="O100" s="1">
        <f t="shared" si="33"/>
        <v>9.9359349730666757</v>
      </c>
      <c r="P100" s="1">
        <f t="shared" si="24"/>
        <v>4523.0989753034428</v>
      </c>
      <c r="Q100" s="1">
        <f t="shared" si="34"/>
        <v>31.420185198214455</v>
      </c>
    </row>
    <row r="101" spans="1:17">
      <c r="A101" s="1">
        <v>5.5000000000000002E-15</v>
      </c>
      <c r="B101" s="1">
        <f t="shared" si="16"/>
        <v>3.3225180126551725E-4</v>
      </c>
      <c r="C101" s="1">
        <f t="shared" si="25"/>
        <v>1063.1215540243131</v>
      </c>
      <c r="D101" s="1">
        <f t="shared" si="26"/>
        <v>69.102901011580357</v>
      </c>
      <c r="E101" s="1">
        <f t="shared" si="27"/>
        <v>3.33591944279627</v>
      </c>
      <c r="F101" s="1">
        <f t="shared" si="20"/>
        <v>414.61740606948212</v>
      </c>
      <c r="G101" s="1">
        <f t="shared" si="28"/>
        <v>10.35696724190281</v>
      </c>
      <c r="H101" s="1">
        <f t="shared" si="21"/>
        <v>4146.1740606948215</v>
      </c>
      <c r="I101" s="1">
        <f t="shared" si="29"/>
        <v>32.751606136164973</v>
      </c>
      <c r="J101" s="1">
        <f t="shared" si="30"/>
        <v>20730.870303474105</v>
      </c>
      <c r="K101" s="1">
        <f t="shared" si="31"/>
        <v>114.79853345445603</v>
      </c>
      <c r="L101" s="1">
        <f t="shared" si="22"/>
        <v>69.102901011580357</v>
      </c>
      <c r="M101" s="1">
        <f t="shared" si="32"/>
        <v>3.0869729319319696</v>
      </c>
      <c r="N101" s="1">
        <f t="shared" si="23"/>
        <v>414.61740606948212</v>
      </c>
      <c r="O101" s="1">
        <f t="shared" si="33"/>
        <v>9.1919182347436248</v>
      </c>
      <c r="P101" s="1">
        <f t="shared" si="24"/>
        <v>4146.1740606948215</v>
      </c>
      <c r="Q101" s="1">
        <f t="shared" si="34"/>
        <v>29.067397687824133</v>
      </c>
    </row>
    <row r="102" spans="1:17">
      <c r="A102" s="1">
        <v>5E-15</v>
      </c>
      <c r="B102" s="1">
        <f t="shared" si="16"/>
        <v>3.020470920595611E-4</v>
      </c>
      <c r="C102" s="1">
        <f t="shared" si="25"/>
        <v>966.4741400221028</v>
      </c>
      <c r="D102" s="1">
        <f t="shared" si="26"/>
        <v>62.820819101436683</v>
      </c>
      <c r="E102" s="1">
        <f t="shared" si="27"/>
        <v>3.0550998798664355</v>
      </c>
      <c r="F102" s="1">
        <f t="shared" si="20"/>
        <v>376.9249146086201</v>
      </c>
      <c r="G102" s="1">
        <f t="shared" si="28"/>
        <v>9.5281391869538687</v>
      </c>
      <c r="H102" s="1">
        <f t="shared" si="21"/>
        <v>3769.2491460862011</v>
      </c>
      <c r="I102" s="1">
        <f t="shared" si="29"/>
        <v>30.130621693879124</v>
      </c>
      <c r="J102" s="1">
        <f t="shared" si="30"/>
        <v>18846.245730431005</v>
      </c>
      <c r="K102" s="1">
        <f t="shared" si="31"/>
        <v>107.51525758058517</v>
      </c>
      <c r="L102" s="1">
        <f t="shared" si="22"/>
        <v>62.820819101436683</v>
      </c>
      <c r="M102" s="1">
        <f t="shared" si="32"/>
        <v>2.8240970217295471</v>
      </c>
      <c r="N102" s="1">
        <f t="shared" si="23"/>
        <v>376.9249146086201</v>
      </c>
      <c r="O102" s="1">
        <f t="shared" si="33"/>
        <v>8.4347842296591384</v>
      </c>
      <c r="P102" s="1">
        <f t="shared" si="24"/>
        <v>3769.2491460862011</v>
      </c>
      <c r="Q102" s="1">
        <f t="shared" si="34"/>
        <v>26.673129737791648</v>
      </c>
    </row>
    <row r="103" spans="1:17">
      <c r="A103" s="1">
        <v>4.4999999999999998E-15</v>
      </c>
      <c r="B103" s="1">
        <f t="shared" si="16"/>
        <v>2.71842382853605E-4</v>
      </c>
      <c r="C103" s="1">
        <f t="shared" si="25"/>
        <v>869.82672601989259</v>
      </c>
      <c r="D103" s="1">
        <f t="shared" si="26"/>
        <v>56.538737191293023</v>
      </c>
      <c r="E103" s="1">
        <f t="shared" si="27"/>
        <v>2.7702464444570434</v>
      </c>
      <c r="F103" s="1">
        <f t="shared" si="20"/>
        <v>339.23242314775814</v>
      </c>
      <c r="G103" s="1">
        <f t="shared" si="28"/>
        <v>8.6805009065940233</v>
      </c>
      <c r="H103" s="1">
        <f t="shared" si="21"/>
        <v>3392.3242314775816</v>
      </c>
      <c r="I103" s="1">
        <f t="shared" si="29"/>
        <v>27.450154095993646</v>
      </c>
      <c r="J103" s="1">
        <f t="shared" si="30"/>
        <v>16961.621157387908</v>
      </c>
      <c r="K103" s="1">
        <f t="shared" si="31"/>
        <v>99.875168472744136</v>
      </c>
      <c r="L103" s="1">
        <f t="shared" si="22"/>
        <v>56.538737191293023</v>
      </c>
      <c r="M103" s="1">
        <f t="shared" si="32"/>
        <v>2.5579768010519355</v>
      </c>
      <c r="N103" s="1">
        <f t="shared" si="23"/>
        <v>339.23242314775814</v>
      </c>
      <c r="O103" s="1">
        <f t="shared" si="33"/>
        <v>7.6639802150425176</v>
      </c>
      <c r="P103" s="1">
        <f t="shared" si="24"/>
        <v>3392.3242314775816</v>
      </c>
      <c r="Q103" s="1">
        <f t="shared" si="34"/>
        <v>24.235633422001406</v>
      </c>
    </row>
    <row r="104" spans="1:17">
      <c r="A104" s="1">
        <v>4.0000000000000003E-15</v>
      </c>
      <c r="B104" s="1">
        <f t="shared" si="16"/>
        <v>2.416376736476489E-4</v>
      </c>
      <c r="C104" s="1">
        <f t="shared" si="25"/>
        <v>773.17931201768238</v>
      </c>
      <c r="D104" s="1">
        <f t="shared" si="26"/>
        <v>50.256655281149357</v>
      </c>
      <c r="E104" s="1">
        <f t="shared" si="27"/>
        <v>2.481222805529872</v>
      </c>
      <c r="F104" s="1">
        <f t="shared" si="20"/>
        <v>301.53993168689613</v>
      </c>
      <c r="G104" s="1">
        <f t="shared" si="28"/>
        <v>7.8130167784253013</v>
      </c>
      <c r="H104" s="1">
        <f t="shared" si="21"/>
        <v>3015.3993168689613</v>
      </c>
      <c r="I104" s="1">
        <f t="shared" si="29"/>
        <v>24.70692841693505</v>
      </c>
      <c r="J104" s="1">
        <f t="shared" si="30"/>
        <v>15076.996584344806</v>
      </c>
      <c r="K104" s="1">
        <f t="shared" si="31"/>
        <v>91.828837120428346</v>
      </c>
      <c r="L104" s="1">
        <f t="shared" si="22"/>
        <v>50.256655281149357</v>
      </c>
      <c r="M104" s="1">
        <f t="shared" si="32"/>
        <v>2.2885187071422646</v>
      </c>
      <c r="N104" s="1">
        <f t="shared" si="23"/>
        <v>301.53993168689613</v>
      </c>
      <c r="O104" s="1">
        <f t="shared" si="33"/>
        <v>6.8789178831565883</v>
      </c>
      <c r="P104" s="1">
        <f t="shared" si="24"/>
        <v>3015.3993168689613</v>
      </c>
      <c r="Q104" s="1">
        <f t="shared" si="34"/>
        <v>21.753048348038838</v>
      </c>
    </row>
    <row r="105" spans="1:17">
      <c r="A105" s="1">
        <v>3.5000000000000001E-15</v>
      </c>
      <c r="B105" s="1">
        <f t="shared" si="16"/>
        <v>2.1143296444169277E-4</v>
      </c>
      <c r="C105" s="1">
        <f t="shared" si="25"/>
        <v>676.53189801547205</v>
      </c>
      <c r="D105" s="1">
        <f t="shared" si="26"/>
        <v>43.974573371005683</v>
      </c>
      <c r="E105" s="1">
        <f t="shared" si="27"/>
        <v>2.1878856471705639</v>
      </c>
      <c r="F105" s="1">
        <f t="shared" si="20"/>
        <v>263.84744022603411</v>
      </c>
      <c r="G105" s="1">
        <f t="shared" si="28"/>
        <v>6.9245633615650446</v>
      </c>
      <c r="H105" s="1">
        <f t="shared" si="21"/>
        <v>2638.4744022603409</v>
      </c>
      <c r="I105" s="1">
        <f t="shared" si="29"/>
        <v>21.897392024697595</v>
      </c>
      <c r="J105" s="1">
        <f t="shared" si="30"/>
        <v>13192.372011301706</v>
      </c>
      <c r="K105" s="1">
        <f t="shared" si="31"/>
        <v>83.315379710127544</v>
      </c>
      <c r="L105" s="1">
        <f t="shared" si="22"/>
        <v>43.974573371005683</v>
      </c>
      <c r="M105" s="1">
        <f t="shared" si="32"/>
        <v>2.0156251011648956</v>
      </c>
      <c r="N105" s="1">
        <f t="shared" si="23"/>
        <v>263.84744022603411</v>
      </c>
      <c r="O105" s="1">
        <f t="shared" si="33"/>
        <v>6.0789702843777746</v>
      </c>
      <c r="P105" s="1">
        <f t="shared" si="24"/>
        <v>2638.4744022603409</v>
      </c>
      <c r="Q105" s="1">
        <f t="shared" si="34"/>
        <v>19.223391927115255</v>
      </c>
    </row>
    <row r="106" spans="1:17">
      <c r="A106" s="1">
        <v>2.9999999999999998E-15</v>
      </c>
      <c r="B106" s="1">
        <f t="shared" si="16"/>
        <v>1.8122825523573667E-4</v>
      </c>
      <c r="C106" s="1">
        <f t="shared" si="25"/>
        <v>579.88448401326184</v>
      </c>
      <c r="D106" s="1">
        <f t="shared" si="26"/>
        <v>37.692491460862023</v>
      </c>
      <c r="E106" s="1">
        <f t="shared" si="27"/>
        <v>1.8900841900122052</v>
      </c>
      <c r="F106" s="1">
        <f t="shared" si="20"/>
        <v>226.15494876517212</v>
      </c>
      <c r="G106" s="1">
        <f t="shared" si="28"/>
        <v>6.013919308438723</v>
      </c>
      <c r="H106" s="1">
        <f t="shared" si="21"/>
        <v>2261.5494876517214</v>
      </c>
      <c r="I106" s="1">
        <f t="shared" si="29"/>
        <v>19.017682679131045</v>
      </c>
      <c r="J106" s="1">
        <f t="shared" si="30"/>
        <v>11307.747438258606</v>
      </c>
      <c r="K106" s="1">
        <f t="shared" si="31"/>
        <v>74.258610592690246</v>
      </c>
      <c r="L106" s="1">
        <f t="shared" si="22"/>
        <v>37.692491460862023</v>
      </c>
      <c r="M106" s="1">
        <f t="shared" si="32"/>
        <v>1.7391940314159655</v>
      </c>
      <c r="N106" s="1">
        <f t="shared" si="23"/>
        <v>226.15494876517212</v>
      </c>
      <c r="O106" s="1">
        <f t="shared" si="33"/>
        <v>5.2634684142746488</v>
      </c>
      <c r="P106" s="1">
        <f t="shared" si="24"/>
        <v>2261.5494876517214</v>
      </c>
      <c r="Q106" s="1">
        <f t="shared" si="34"/>
        <v>16.644548581462605</v>
      </c>
    </row>
    <row r="107" spans="1:17">
      <c r="A107" s="1">
        <v>2.5E-15</v>
      </c>
      <c r="B107" s="1">
        <f t="shared" si="16"/>
        <v>1.5102354602978055E-4</v>
      </c>
      <c r="C107" s="1">
        <f t="shared" si="25"/>
        <v>483.2370700110514</v>
      </c>
      <c r="D107" s="1">
        <f t="shared" si="26"/>
        <v>31.410409550718342</v>
      </c>
      <c r="E107" s="1">
        <f t="shared" si="27"/>
        <v>1.5876596714747875</v>
      </c>
      <c r="F107" s="1">
        <f t="shared" si="20"/>
        <v>188.46245730431005</v>
      </c>
      <c r="G107" s="1">
        <f t="shared" si="28"/>
        <v>5.0797538031282805</v>
      </c>
      <c r="H107" s="1">
        <f t="shared" si="21"/>
        <v>1884.6245730431006</v>
      </c>
      <c r="I107" s="1">
        <f t="shared" si="29"/>
        <v>16.063591970787925</v>
      </c>
      <c r="J107" s="1">
        <f t="shared" si="30"/>
        <v>9423.1228652155023</v>
      </c>
      <c r="K107" s="1">
        <f t="shared" si="31"/>
        <v>64.561441373188572</v>
      </c>
      <c r="L107" s="1">
        <f t="shared" si="22"/>
        <v>31.410409550718342</v>
      </c>
      <c r="M107" s="1">
        <f t="shared" si="32"/>
        <v>1.4591189793034856</v>
      </c>
      <c r="N107" s="1">
        <f t="shared" si="23"/>
        <v>188.46245730431005</v>
      </c>
      <c r="O107" s="1">
        <f t="shared" si="33"/>
        <v>4.4316974201230597</v>
      </c>
      <c r="P107" s="1">
        <f t="shared" si="24"/>
        <v>1884.6245730431006</v>
      </c>
      <c r="Q107" s="1">
        <f t="shared" si="34"/>
        <v>14.014257748280992</v>
      </c>
    </row>
    <row r="108" spans="1:17">
      <c r="A108" s="1">
        <v>2.0000000000000002E-15</v>
      </c>
      <c r="B108" s="1">
        <f t="shared" ref="B108:B171" si="35">A108*$C$4/($C$2*$C$3/(1.2*10^-7))</f>
        <v>1.2081883682382445E-4</v>
      </c>
      <c r="C108" s="1">
        <f t="shared" si="25"/>
        <v>386.58965600884119</v>
      </c>
      <c r="D108" s="1">
        <f t="shared" si="26"/>
        <v>25.128327640574678</v>
      </c>
      <c r="E108" s="1">
        <f t="shared" si="27"/>
        <v>1.2804447805369013</v>
      </c>
      <c r="F108" s="1">
        <f t="shared" si="20"/>
        <v>150.76996584344806</v>
      </c>
      <c r="G108" s="1">
        <f t="shared" si="28"/>
        <v>4.1206132629724843</v>
      </c>
      <c r="H108" s="1">
        <f t="shared" si="21"/>
        <v>1507.6996584344806</v>
      </c>
      <c r="I108" s="1">
        <f t="shared" si="29"/>
        <v>13.030523267691418</v>
      </c>
      <c r="J108" s="1">
        <f t="shared" si="30"/>
        <v>7538.4982921724031</v>
      </c>
      <c r="K108" s="1">
        <f t="shared" si="31"/>
        <v>54.097478151663935</v>
      </c>
      <c r="L108" s="1">
        <f t="shared" si="22"/>
        <v>25.128327640574678</v>
      </c>
      <c r="M108" s="1">
        <f t="shared" si="32"/>
        <v>1.175288586585592</v>
      </c>
      <c r="N108" s="1">
        <f t="shared" si="23"/>
        <v>150.76996584344806</v>
      </c>
      <c r="O108" s="1">
        <f t="shared" si="33"/>
        <v>3.582892375303254</v>
      </c>
      <c r="P108" s="1">
        <f t="shared" si="24"/>
        <v>1507.6996584344806</v>
      </c>
      <c r="Q108" s="1">
        <f t="shared" si="34"/>
        <v>11.3301005172091</v>
      </c>
    </row>
    <row r="109" spans="1:17">
      <c r="A109" s="1">
        <v>1.4999999999999999E-15</v>
      </c>
      <c r="B109" s="1">
        <f t="shared" si="35"/>
        <v>9.0614127617868337E-5</v>
      </c>
      <c r="C109" s="1">
        <f t="shared" si="25"/>
        <v>289.94224200663092</v>
      </c>
      <c r="D109" s="1">
        <f t="shared" si="26"/>
        <v>18.846245730431011</v>
      </c>
      <c r="E109" s="1">
        <f t="shared" si="27"/>
        <v>0.9682630422313101</v>
      </c>
      <c r="F109" s="1">
        <f t="shared" si="20"/>
        <v>113.07747438258606</v>
      </c>
      <c r="G109" s="1">
        <f t="shared" si="28"/>
        <v>3.1349059840179372</v>
      </c>
      <c r="H109" s="1">
        <f t="shared" si="21"/>
        <v>1130.7747438258607</v>
      </c>
      <c r="I109" s="1">
        <f t="shared" si="29"/>
        <v>9.9134431599880948</v>
      </c>
      <c r="J109" s="1">
        <f t="shared" si="30"/>
        <v>5653.873719129303</v>
      </c>
      <c r="K109" s="1">
        <f t="shared" si="31"/>
        <v>42.697964025110998</v>
      </c>
      <c r="L109" s="1">
        <f t="shared" si="22"/>
        <v>18.846245730431011</v>
      </c>
      <c r="M109" s="1">
        <f t="shared" si="32"/>
        <v>0.88758636219982256</v>
      </c>
      <c r="N109" s="1">
        <f t="shared" si="23"/>
        <v>113.07747438258606</v>
      </c>
      <c r="O109" s="1">
        <f t="shared" si="33"/>
        <v>2.7162335617576905</v>
      </c>
      <c r="P109" s="1">
        <f t="shared" si="24"/>
        <v>1130.7747438258607</v>
      </c>
      <c r="Q109" s="1">
        <f t="shared" si="34"/>
        <v>8.5894847121459339</v>
      </c>
    </row>
    <row r="110" spans="1:17">
      <c r="A110" s="1">
        <v>1.0000000000000001E-15</v>
      </c>
      <c r="B110" s="1">
        <f t="shared" si="35"/>
        <v>6.0409418411912224E-5</v>
      </c>
      <c r="C110" s="1">
        <f t="shared" si="25"/>
        <v>193.29482800442059</v>
      </c>
      <c r="D110" s="1">
        <f t="shared" si="26"/>
        <v>12.564163820287339</v>
      </c>
      <c r="E110" s="1">
        <f t="shared" si="27"/>
        <v>0.65092814645724273</v>
      </c>
      <c r="F110" s="1">
        <f t="shared" si="20"/>
        <v>75.384982921724031</v>
      </c>
      <c r="G110" s="1">
        <f t="shared" si="28"/>
        <v>2.1208843408345754</v>
      </c>
      <c r="H110" s="1">
        <f t="shared" si="21"/>
        <v>753.84982921724031</v>
      </c>
      <c r="I110" s="1">
        <f t="shared" si="29"/>
        <v>6.7068251708221176</v>
      </c>
      <c r="J110" s="1">
        <f t="shared" si="30"/>
        <v>3769.2491460862016</v>
      </c>
      <c r="K110" s="1">
        <f t="shared" si="31"/>
        <v>30.130621693879128</v>
      </c>
      <c r="L110" s="1">
        <f t="shared" si="22"/>
        <v>12.564163820287339</v>
      </c>
      <c r="M110" s="1">
        <f t="shared" si="32"/>
        <v>0.59589036684217511</v>
      </c>
      <c r="N110" s="1">
        <f t="shared" si="23"/>
        <v>75.384982921724031</v>
      </c>
      <c r="O110" s="1">
        <f t="shared" si="33"/>
        <v>1.830841190881989</v>
      </c>
      <c r="P110" s="1">
        <f t="shared" si="24"/>
        <v>753.84982921724031</v>
      </c>
      <c r="Q110" s="1">
        <f t="shared" si="34"/>
        <v>5.7896281972421857</v>
      </c>
    </row>
    <row r="111" spans="1:17">
      <c r="A111" s="1">
        <v>9.5000000000000005E-16</v>
      </c>
      <c r="B111" s="1">
        <f t="shared" si="35"/>
        <v>5.7388947491316613E-5</v>
      </c>
      <c r="C111" s="1">
        <f t="shared" si="25"/>
        <v>183.63008660419953</v>
      </c>
      <c r="D111" s="1">
        <f t="shared" si="26"/>
        <v>11.93595562927297</v>
      </c>
      <c r="E111" s="1">
        <f t="shared" si="27"/>
        <v>0.61890374913572388</v>
      </c>
      <c r="F111" s="1">
        <f t="shared" si="20"/>
        <v>71.615733775637821</v>
      </c>
      <c r="G111" s="1">
        <f t="shared" si="28"/>
        <v>2.0178524557836304</v>
      </c>
      <c r="H111" s="1">
        <f t="shared" si="21"/>
        <v>716.15733775637818</v>
      </c>
      <c r="I111" s="1">
        <f t="shared" si="29"/>
        <v>6.3810097424404768</v>
      </c>
      <c r="J111" s="1">
        <f t="shared" si="30"/>
        <v>3580.7866887818909</v>
      </c>
      <c r="K111" s="1">
        <f t="shared" si="31"/>
        <v>28.798021808689615</v>
      </c>
      <c r="L111" s="1">
        <f t="shared" si="22"/>
        <v>11.93595562927297</v>
      </c>
      <c r="M111" s="1">
        <f t="shared" si="32"/>
        <v>0.56649624446131797</v>
      </c>
      <c r="N111" s="1">
        <f t="shared" si="23"/>
        <v>71.615733775637821</v>
      </c>
      <c r="O111" s="1">
        <f t="shared" si="33"/>
        <v>1.7412358016375418</v>
      </c>
      <c r="P111" s="1">
        <f t="shared" si="24"/>
        <v>716.15733775637818</v>
      </c>
      <c r="Q111" s="1">
        <f t="shared" si="34"/>
        <v>5.5062710766037775</v>
      </c>
    </row>
    <row r="112" spans="1:17">
      <c r="A112" s="1">
        <v>9.0000000000000003E-16</v>
      </c>
      <c r="B112" s="1">
        <f t="shared" si="35"/>
        <v>5.4368476570720995E-5</v>
      </c>
      <c r="C112" s="1">
        <f t="shared" si="25"/>
        <v>173.96534520397853</v>
      </c>
      <c r="D112" s="1">
        <f t="shared" si="26"/>
        <v>11.307747438258604</v>
      </c>
      <c r="E112" s="1">
        <f t="shared" si="27"/>
        <v>0.58682565790566255</v>
      </c>
      <c r="F112" s="1">
        <f t="shared" si="20"/>
        <v>67.846484629551625</v>
      </c>
      <c r="G112" s="1">
        <f t="shared" si="28"/>
        <v>1.9145163214082295</v>
      </c>
      <c r="H112" s="1">
        <f t="shared" si="21"/>
        <v>678.46484629551628</v>
      </c>
      <c r="I112" s="1">
        <f t="shared" si="29"/>
        <v>6.0542321932169898</v>
      </c>
      <c r="J112" s="1">
        <f t="shared" si="30"/>
        <v>3392.3242314775812</v>
      </c>
      <c r="K112" s="1">
        <f t="shared" si="31"/>
        <v>27.450154095993643</v>
      </c>
      <c r="L112" s="1">
        <f t="shared" si="22"/>
        <v>11.307747438258604</v>
      </c>
      <c r="M112" s="1">
        <f t="shared" si="32"/>
        <v>0.53706078115450917</v>
      </c>
      <c r="N112" s="1">
        <f t="shared" si="23"/>
        <v>67.846484629551625</v>
      </c>
      <c r="O112" s="1">
        <f t="shared" si="33"/>
        <v>1.6514326948675098</v>
      </c>
      <c r="P112" s="1">
        <f t="shared" si="24"/>
        <v>678.46484629551628</v>
      </c>
      <c r="Q112" s="1">
        <f t="shared" si="34"/>
        <v>5.2222887182511908</v>
      </c>
    </row>
    <row r="113" spans="1:17">
      <c r="A113" s="1">
        <v>8.5000000000000001E-16</v>
      </c>
      <c r="B113" s="1">
        <f t="shared" si="35"/>
        <v>5.1348005650125384E-5</v>
      </c>
      <c r="C113" s="1">
        <f t="shared" si="25"/>
        <v>164.3006038037575</v>
      </c>
      <c r="D113" s="1">
        <f t="shared" si="26"/>
        <v>10.679539247244238</v>
      </c>
      <c r="E113" s="1">
        <f t="shared" si="27"/>
        <v>0.5546936686994085</v>
      </c>
      <c r="F113" s="1">
        <f t="shared" si="20"/>
        <v>64.077235483465429</v>
      </c>
      <c r="G113" s="1">
        <f t="shared" si="28"/>
        <v>1.8108738891837266</v>
      </c>
      <c r="H113" s="1">
        <f t="shared" si="21"/>
        <v>640.77235483465427</v>
      </c>
      <c r="I113" s="1">
        <f t="shared" si="29"/>
        <v>5.7264860451479267</v>
      </c>
      <c r="J113" s="1">
        <f t="shared" si="30"/>
        <v>3203.8617741732714</v>
      </c>
      <c r="K113" s="1">
        <f t="shared" si="31"/>
        <v>26.086601194449216</v>
      </c>
      <c r="L113" s="1">
        <f t="shared" si="22"/>
        <v>10.679539247244238</v>
      </c>
      <c r="M113" s="1">
        <f t="shared" si="32"/>
        <v>0.50758384528526013</v>
      </c>
      <c r="N113" s="1">
        <f t="shared" si="23"/>
        <v>64.077235483465429</v>
      </c>
      <c r="O113" s="1">
        <f t="shared" si="33"/>
        <v>1.5614308792632445</v>
      </c>
      <c r="P113" s="1">
        <f t="shared" si="24"/>
        <v>640.77235483465427</v>
      </c>
      <c r="Q113" s="1">
        <f t="shared" si="34"/>
        <v>4.9376779873912282</v>
      </c>
    </row>
    <row r="114" spans="1:17">
      <c r="A114" s="1">
        <v>7.9999999999999998E-16</v>
      </c>
      <c r="B114" s="1">
        <f t="shared" si="35"/>
        <v>4.832753472952978E-5</v>
      </c>
      <c r="C114" s="1">
        <f t="shared" si="25"/>
        <v>154.63586240353649</v>
      </c>
      <c r="D114" s="1">
        <f t="shared" si="26"/>
        <v>10.051331056229872</v>
      </c>
      <c r="E114" s="1">
        <f t="shared" si="27"/>
        <v>0.52250757629670352</v>
      </c>
      <c r="F114" s="1">
        <f t="shared" si="20"/>
        <v>60.307986337379234</v>
      </c>
      <c r="G114" s="1">
        <f t="shared" si="28"/>
        <v>1.7069230900366368</v>
      </c>
      <c r="H114" s="1">
        <f t="shared" si="21"/>
        <v>603.07986337379236</v>
      </c>
      <c r="I114" s="1">
        <f t="shared" si="29"/>
        <v>5.3977647552484349</v>
      </c>
      <c r="J114" s="1">
        <f t="shared" si="30"/>
        <v>3015.3993168689617</v>
      </c>
      <c r="K114" s="1">
        <f t="shared" si="31"/>
        <v>24.706928416935053</v>
      </c>
      <c r="L114" s="1">
        <f t="shared" si="22"/>
        <v>10.051331056229872</v>
      </c>
      <c r="M114" s="1">
        <f t="shared" si="32"/>
        <v>0.47806530459448426</v>
      </c>
      <c r="N114" s="1">
        <f t="shared" si="23"/>
        <v>60.307986337379234</v>
      </c>
      <c r="O114" s="1">
        <f t="shared" si="33"/>
        <v>1.4712293561221979</v>
      </c>
      <c r="P114" s="1">
        <f t="shared" si="24"/>
        <v>603.07986337379236</v>
      </c>
      <c r="Q114" s="1">
        <f t="shared" si="34"/>
        <v>4.6524357258491351</v>
      </c>
    </row>
    <row r="115" spans="1:17">
      <c r="A115" s="1">
        <v>7.4999999999999996E-16</v>
      </c>
      <c r="B115" s="1">
        <f t="shared" si="35"/>
        <v>4.5307063808934168E-5</v>
      </c>
      <c r="C115" s="1">
        <f t="shared" si="25"/>
        <v>144.97112100331546</v>
      </c>
      <c r="D115" s="1">
        <f t="shared" si="26"/>
        <v>9.4231228652155057</v>
      </c>
      <c r="E115" s="1">
        <f t="shared" si="27"/>
        <v>0.49026717431611699</v>
      </c>
      <c r="F115" s="1">
        <f t="shared" si="20"/>
        <v>56.538737191293031</v>
      </c>
      <c r="G115" s="1">
        <f t="shared" si="28"/>
        <v>1.6026618340729952</v>
      </c>
      <c r="H115" s="1">
        <f t="shared" si="21"/>
        <v>565.38737191293035</v>
      </c>
      <c r="I115" s="1">
        <f t="shared" si="29"/>
        <v>5.0680617146935152</v>
      </c>
      <c r="J115" s="1">
        <f t="shared" si="30"/>
        <v>2826.9368595646515</v>
      </c>
      <c r="K115" s="1">
        <f t="shared" si="31"/>
        <v>23.310682789696159</v>
      </c>
      <c r="L115" s="1">
        <f t="shared" si="22"/>
        <v>9.4231228652155057</v>
      </c>
      <c r="M115" s="1">
        <f t="shared" si="32"/>
        <v>0.44850502619662536</v>
      </c>
      <c r="N115" s="1">
        <f t="shared" si="23"/>
        <v>56.538737191293031</v>
      </c>
      <c r="O115" s="1">
        <f t="shared" si="33"/>
        <v>1.3808271192753194</v>
      </c>
      <c r="P115" s="1">
        <f t="shared" si="24"/>
        <v>565.38737191293035</v>
      </c>
      <c r="Q115" s="1">
        <f t="shared" si="34"/>
        <v>4.3665587518390012</v>
      </c>
    </row>
    <row r="116" spans="1:17">
      <c r="A116" s="1">
        <v>7.0000000000000003E-16</v>
      </c>
      <c r="B116" s="1">
        <f t="shared" si="35"/>
        <v>4.2286592888338557E-5</v>
      </c>
      <c r="C116" s="1">
        <f t="shared" si="25"/>
        <v>135.3063796030944</v>
      </c>
      <c r="D116" s="1">
        <f t="shared" si="26"/>
        <v>8.7949146742011362</v>
      </c>
      <c r="E116" s="1">
        <f t="shared" si="27"/>
        <v>0.45797225520640272</v>
      </c>
      <c r="F116" s="1">
        <f t="shared" si="20"/>
        <v>52.76948804520682</v>
      </c>
      <c r="G116" s="1">
        <f t="shared" si="28"/>
        <v>1.4980880103022647</v>
      </c>
      <c r="H116" s="1">
        <f t="shared" si="21"/>
        <v>527.69488045206822</v>
      </c>
      <c r="I116" s="1">
        <f t="shared" si="29"/>
        <v>4.7373702479449484</v>
      </c>
      <c r="J116" s="1">
        <f t="shared" si="30"/>
        <v>2638.4744022603409</v>
      </c>
      <c r="K116" s="1">
        <f t="shared" si="31"/>
        <v>21.897392024697595</v>
      </c>
      <c r="L116" s="1">
        <f t="shared" si="22"/>
        <v>8.7949146742011362</v>
      </c>
      <c r="M116" s="1">
        <f t="shared" si="32"/>
        <v>0.41890287657575476</v>
      </c>
      <c r="N116" s="1">
        <f t="shared" si="23"/>
        <v>52.76948804520682</v>
      </c>
      <c r="O116" s="1">
        <f t="shared" si="33"/>
        <v>1.2902231550135745</v>
      </c>
      <c r="P116" s="1">
        <f t="shared" si="24"/>
        <v>527.69488045206822</v>
      </c>
      <c r="Q116" s="1">
        <f t="shared" si="34"/>
        <v>4.0800438597313908</v>
      </c>
    </row>
    <row r="117" spans="1:17">
      <c r="A117" s="1">
        <v>6.5000000000000001E-16</v>
      </c>
      <c r="B117" s="1">
        <f t="shared" si="35"/>
        <v>3.9266121967742946E-5</v>
      </c>
      <c r="C117" s="1">
        <f t="shared" si="25"/>
        <v>125.64163820287335</v>
      </c>
      <c r="D117" s="1">
        <f t="shared" si="26"/>
        <v>8.1667064831867684</v>
      </c>
      <c r="E117" s="1">
        <f t="shared" si="27"/>
        <v>0.42562261023777753</v>
      </c>
      <c r="F117" s="1">
        <f t="shared" si="20"/>
        <v>49.00023889912061</v>
      </c>
      <c r="G117" s="1">
        <f t="shared" si="28"/>
        <v>1.3931994863567101</v>
      </c>
      <c r="H117" s="1">
        <f t="shared" si="21"/>
        <v>490.00238899120609</v>
      </c>
      <c r="I117" s="1">
        <f t="shared" si="29"/>
        <v>4.4056836118638847</v>
      </c>
      <c r="J117" s="1">
        <f t="shared" si="30"/>
        <v>2450.0119449560307</v>
      </c>
      <c r="K117" s="1">
        <f t="shared" si="31"/>
        <v>20.46656341958894</v>
      </c>
      <c r="L117" s="1">
        <f t="shared" si="22"/>
        <v>8.1667064831867684</v>
      </c>
      <c r="M117" s="1">
        <f t="shared" si="32"/>
        <v>0.38925872158164032</v>
      </c>
      <c r="N117" s="1">
        <f t="shared" si="23"/>
        <v>49.00023889912061</v>
      </c>
      <c r="O117" s="1">
        <f t="shared" si="33"/>
        <v>1.1994164420135642</v>
      </c>
      <c r="P117" s="1">
        <f t="shared" si="24"/>
        <v>490.00238899120609</v>
      </c>
      <c r="Q117" s="1">
        <f t="shared" si="34"/>
        <v>3.7928878198181368</v>
      </c>
    </row>
    <row r="118" spans="1:17">
      <c r="A118" s="1">
        <v>5.9999999999999999E-16</v>
      </c>
      <c r="B118" s="1">
        <f t="shared" si="35"/>
        <v>3.6245651047147335E-5</v>
      </c>
      <c r="C118" s="1">
        <f t="shared" si="25"/>
        <v>115.97689680265235</v>
      </c>
      <c r="D118" s="1">
        <f t="shared" si="26"/>
        <v>7.5384982921724024</v>
      </c>
      <c r="E118" s="1">
        <f t="shared" si="27"/>
        <v>0.39321802949311796</v>
      </c>
      <c r="F118" s="1">
        <f t="shared" si="20"/>
        <v>45.230989753034414</v>
      </c>
      <c r="G118" s="1">
        <f t="shared" si="28"/>
        <v>1.2879941082061466</v>
      </c>
      <c r="H118" s="1">
        <f t="shared" si="21"/>
        <v>452.30989753034413</v>
      </c>
      <c r="I118" s="1">
        <f t="shared" si="29"/>
        <v>4.0729949948087922</v>
      </c>
      <c r="J118" s="1">
        <f t="shared" si="30"/>
        <v>2261.5494876517209</v>
      </c>
      <c r="K118" s="1">
        <f t="shared" si="31"/>
        <v>19.017682679131042</v>
      </c>
      <c r="L118" s="1">
        <f t="shared" si="22"/>
        <v>7.5384982921724024</v>
      </c>
      <c r="M118" s="1">
        <f t="shared" si="32"/>
        <v>0.35957242642578296</v>
      </c>
      <c r="N118" s="1">
        <f t="shared" si="23"/>
        <v>45.230989753034414</v>
      </c>
      <c r="O118" s="1">
        <f t="shared" si="33"/>
        <v>1.1084059512622391</v>
      </c>
      <c r="P118" s="1">
        <f t="shared" si="24"/>
        <v>452.30989753034413</v>
      </c>
      <c r="Q118" s="1">
        <f t="shared" si="34"/>
        <v>3.5050873780742604</v>
      </c>
    </row>
    <row r="119" spans="1:17">
      <c r="A119" s="1">
        <v>5.4999999999999996E-16</v>
      </c>
      <c r="B119" s="1">
        <f t="shared" si="35"/>
        <v>3.3225180126551717E-5</v>
      </c>
      <c r="C119" s="1">
        <f t="shared" si="25"/>
        <v>106.3121554024313</v>
      </c>
      <c r="D119" s="1">
        <f t="shared" si="26"/>
        <v>6.9102901011580355</v>
      </c>
      <c r="E119" s="1">
        <f t="shared" si="27"/>
        <v>0.36075830185907592</v>
      </c>
      <c r="F119" s="1">
        <f t="shared" si="20"/>
        <v>41.461740606948212</v>
      </c>
      <c r="G119" s="1">
        <f t="shared" si="28"/>
        <v>1.1824696998679765</v>
      </c>
      <c r="H119" s="1">
        <f t="shared" si="21"/>
        <v>414.61740606948212</v>
      </c>
      <c r="I119" s="1">
        <f t="shared" si="29"/>
        <v>3.7392975157185107</v>
      </c>
      <c r="J119" s="1">
        <f t="shared" si="30"/>
        <v>2073.0870303474107</v>
      </c>
      <c r="K119" s="1">
        <f t="shared" si="31"/>
        <v>17.550212651323545</v>
      </c>
      <c r="L119" s="1">
        <f t="shared" si="22"/>
        <v>6.9102901011580355</v>
      </c>
      <c r="M119" s="1">
        <f t="shared" si="32"/>
        <v>0.32984385567742391</v>
      </c>
      <c r="N119" s="1">
        <f t="shared" si="23"/>
        <v>41.461740606948212</v>
      </c>
      <c r="O119" s="1">
        <f t="shared" si="33"/>
        <v>1.0171906459806901</v>
      </c>
      <c r="P119" s="1">
        <f t="shared" si="24"/>
        <v>414.61740606948212</v>
      </c>
      <c r="Q119" s="1">
        <f t="shared" si="34"/>
        <v>3.2166392559169781</v>
      </c>
    </row>
    <row r="120" spans="1:17">
      <c r="A120" s="1">
        <v>5.0000000000000004E-16</v>
      </c>
      <c r="B120" s="1">
        <f t="shared" si="35"/>
        <v>3.0204709205956112E-5</v>
      </c>
      <c r="C120" s="1">
        <f t="shared" si="25"/>
        <v>96.647414002210297</v>
      </c>
      <c r="D120" s="1">
        <f t="shared" si="26"/>
        <v>6.2820819101436696</v>
      </c>
      <c r="E120" s="1">
        <f t="shared" si="27"/>
        <v>0.3282432150171134</v>
      </c>
      <c r="F120" s="1">
        <f t="shared" si="20"/>
        <v>37.692491460862016</v>
      </c>
      <c r="G120" s="1">
        <f t="shared" si="28"/>
        <v>1.0766240631124171</v>
      </c>
      <c r="H120" s="1">
        <f t="shared" si="21"/>
        <v>376.92491460862016</v>
      </c>
      <c r="I120" s="1">
        <f t="shared" si="29"/>
        <v>3.4045842231801076</v>
      </c>
      <c r="J120" s="1">
        <f t="shared" si="30"/>
        <v>1884.6245730431008</v>
      </c>
      <c r="K120" s="1">
        <f t="shared" si="31"/>
        <v>16.063591970787929</v>
      </c>
      <c r="L120" s="1">
        <f t="shared" si="22"/>
        <v>6.2820819101436696</v>
      </c>
      <c r="M120" s="1">
        <f t="shared" si="32"/>
        <v>0.30007287325952142</v>
      </c>
      <c r="N120" s="1">
        <f t="shared" si="23"/>
        <v>37.692491460862016</v>
      </c>
      <c r="O120" s="1">
        <f t="shared" si="33"/>
        <v>0.92576948154700667</v>
      </c>
      <c r="P120" s="1">
        <f t="shared" si="24"/>
        <v>376.92491460862016</v>
      </c>
      <c r="Q120" s="1">
        <f t="shared" si="34"/>
        <v>2.9275401499617622</v>
      </c>
    </row>
    <row r="121" spans="1:17">
      <c r="A121" s="1">
        <v>4.5000000000000002E-16</v>
      </c>
      <c r="B121" s="1">
        <f t="shared" si="35"/>
        <v>2.7184238285360498E-5</v>
      </c>
      <c r="C121" s="1">
        <f t="shared" si="25"/>
        <v>86.982672601989265</v>
      </c>
      <c r="D121" s="1">
        <f t="shared" si="26"/>
        <v>5.6538737191293018</v>
      </c>
      <c r="E121" s="1">
        <f t="shared" si="27"/>
        <v>0.29567255543445231</v>
      </c>
      <c r="F121" s="1">
        <f t="shared" si="20"/>
        <v>33.923242314775813</v>
      </c>
      <c r="G121" s="1">
        <f t="shared" si="28"/>
        <v>0.97045497716282503</v>
      </c>
      <c r="H121" s="1">
        <f t="shared" si="21"/>
        <v>339.23242314775814</v>
      </c>
      <c r="I121" s="1">
        <f t="shared" si="29"/>
        <v>3.0688480944812162</v>
      </c>
      <c r="J121" s="1">
        <f t="shared" si="30"/>
        <v>1696.1621157387906</v>
      </c>
      <c r="K121" s="1">
        <f t="shared" si="31"/>
        <v>14.557233601197375</v>
      </c>
      <c r="L121" s="1">
        <f t="shared" si="22"/>
        <v>5.6538737191293018</v>
      </c>
      <c r="M121" s="1">
        <f t="shared" si="32"/>
        <v>0.27025934244469468</v>
      </c>
      <c r="N121" s="1">
        <f t="shared" si="23"/>
        <v>33.923242314775813</v>
      </c>
      <c r="O121" s="1">
        <f t="shared" si="33"/>
        <v>0.83414140541818671</v>
      </c>
      <c r="P121" s="1">
        <f t="shared" si="24"/>
        <v>339.23242314775814</v>
      </c>
      <c r="Q121" s="1">
        <f t="shared" si="34"/>
        <v>2.6377867317753871</v>
      </c>
    </row>
    <row r="122" spans="1:17">
      <c r="A122" s="1">
        <v>3.9999999999999999E-16</v>
      </c>
      <c r="B122" s="1">
        <f t="shared" si="35"/>
        <v>2.416376736476489E-5</v>
      </c>
      <c r="C122" s="1">
        <f t="shared" si="25"/>
        <v>77.317931201768246</v>
      </c>
      <c r="D122" s="1">
        <f t="shared" si="26"/>
        <v>5.0256655281149358</v>
      </c>
      <c r="E122" s="1">
        <f t="shared" si="27"/>
        <v>0.26304610835494174</v>
      </c>
      <c r="F122" s="1">
        <f t="shared" si="20"/>
        <v>30.153993168689617</v>
      </c>
      <c r="G122" s="1">
        <f t="shared" si="28"/>
        <v>0.86396019839102367</v>
      </c>
      <c r="H122" s="1">
        <f t="shared" si="21"/>
        <v>301.53993168689618</v>
      </c>
      <c r="I122" s="1">
        <f t="shared" si="29"/>
        <v>2.7320820346465755</v>
      </c>
      <c r="J122" s="1">
        <f t="shared" si="30"/>
        <v>1507.6996584344809</v>
      </c>
      <c r="K122" s="1">
        <f t="shared" si="31"/>
        <v>13.03052326769142</v>
      </c>
      <c r="L122" s="1">
        <f t="shared" si="22"/>
        <v>5.0256655281149358</v>
      </c>
      <c r="M122" s="1">
        <f t="shared" si="32"/>
        <v>0.24040312585113846</v>
      </c>
      <c r="N122" s="1">
        <f t="shared" si="23"/>
        <v>30.153993168689617</v>
      </c>
      <c r="O122" s="1">
        <f t="shared" si="33"/>
        <v>0.74230535705108192</v>
      </c>
      <c r="P122" s="1">
        <f t="shared" si="24"/>
        <v>301.53993168689618</v>
      </c>
      <c r="Q122" s="1">
        <f t="shared" si="34"/>
        <v>2.3473756476259489</v>
      </c>
    </row>
    <row r="123" spans="1:17">
      <c r="A123" s="1">
        <v>3.5000000000000002E-16</v>
      </c>
      <c r="B123" s="1">
        <f t="shared" si="35"/>
        <v>2.1143296444169279E-5</v>
      </c>
      <c r="C123" s="1">
        <f t="shared" si="25"/>
        <v>67.6531898015472</v>
      </c>
      <c r="D123" s="1">
        <f t="shared" si="26"/>
        <v>4.3974573371005681</v>
      </c>
      <c r="E123" s="1">
        <f t="shared" si="27"/>
        <v>0.23036365778983919</v>
      </c>
      <c r="F123" s="1">
        <f t="shared" si="20"/>
        <v>26.38474402260341</v>
      </c>
      <c r="G123" s="1">
        <f t="shared" si="28"/>
        <v>0.75713746000752913</v>
      </c>
      <c r="H123" s="1">
        <f t="shared" si="21"/>
        <v>263.84744022603411</v>
      </c>
      <c r="I123" s="1">
        <f t="shared" si="29"/>
        <v>2.3942788754584394</v>
      </c>
      <c r="J123" s="1">
        <f t="shared" si="30"/>
        <v>1319.2372011301704</v>
      </c>
      <c r="K123" s="1">
        <f t="shared" si="31"/>
        <v>11.482817769257295</v>
      </c>
      <c r="L123" s="1">
        <f t="shared" si="22"/>
        <v>4.3974573371005681</v>
      </c>
      <c r="M123" s="1">
        <f t="shared" si="32"/>
        <v>0.21050408543850374</v>
      </c>
      <c r="N123" s="1">
        <f t="shared" si="23"/>
        <v>26.38474402260341</v>
      </c>
      <c r="O123" s="1">
        <f t="shared" si="33"/>
        <v>0.65026026782236934</v>
      </c>
      <c r="P123" s="1">
        <f t="shared" si="24"/>
        <v>263.84744022603411</v>
      </c>
      <c r="Q123" s="1">
        <f t="shared" si="34"/>
        <v>2.056303518229786</v>
      </c>
    </row>
    <row r="124" spans="1:17">
      <c r="A124" s="1">
        <v>2.9999999999999999E-16</v>
      </c>
      <c r="B124" s="1">
        <f t="shared" si="35"/>
        <v>1.8122825523573667E-5</v>
      </c>
      <c r="C124" s="1">
        <f t="shared" si="25"/>
        <v>57.988448401326174</v>
      </c>
      <c r="D124" s="1">
        <f t="shared" si="26"/>
        <v>3.7692491460862012</v>
      </c>
      <c r="E124" s="1">
        <f t="shared" si="27"/>
        <v>0.19762498650850677</v>
      </c>
      <c r="F124" s="1">
        <f t="shared" si="20"/>
        <v>22.615494876517207</v>
      </c>
      <c r="G124" s="1">
        <f t="shared" si="28"/>
        <v>0.64998447174657614</v>
      </c>
      <c r="H124" s="1">
        <f t="shared" si="21"/>
        <v>226.15494876517207</v>
      </c>
      <c r="I124" s="1">
        <f t="shared" si="29"/>
        <v>2.055431374460543</v>
      </c>
      <c r="J124" s="1">
        <f t="shared" si="30"/>
        <v>1130.7747438258605</v>
      </c>
      <c r="K124" s="1">
        <f t="shared" si="31"/>
        <v>9.913443159988093</v>
      </c>
      <c r="L124" s="1">
        <f t="shared" si="22"/>
        <v>3.7692491460862012</v>
      </c>
      <c r="M124" s="1">
        <f t="shared" si="32"/>
        <v>0.18056208250374828</v>
      </c>
      <c r="N124" s="1">
        <f t="shared" si="23"/>
        <v>22.615494876517207</v>
      </c>
      <c r="O124" s="1">
        <f t="shared" si="33"/>
        <v>0.55800506094753188</v>
      </c>
      <c r="P124" s="1">
        <f t="shared" si="24"/>
        <v>226.15494876517207</v>
      </c>
      <c r="Q124" s="1">
        <f t="shared" si="34"/>
        <v>1.7645669384952751</v>
      </c>
    </row>
    <row r="125" spans="1:17">
      <c r="A125" s="1">
        <v>2.5000000000000002E-16</v>
      </c>
      <c r="B125" s="1">
        <f t="shared" si="35"/>
        <v>1.5102354602978056E-5</v>
      </c>
      <c r="C125" s="1">
        <f t="shared" si="25"/>
        <v>48.323707001105149</v>
      </c>
      <c r="D125" s="1">
        <f t="shared" si="26"/>
        <v>3.1410409550718348</v>
      </c>
      <c r="E125" s="1">
        <f t="shared" si="27"/>
        <v>0.16482987602901972</v>
      </c>
      <c r="F125" s="1">
        <f t="shared" si="20"/>
        <v>18.846245730431008</v>
      </c>
      <c r="G125" s="1">
        <f t="shared" si="28"/>
        <v>0.54249891954583929</v>
      </c>
      <c r="H125" s="1">
        <f t="shared" si="21"/>
        <v>188.46245730431008</v>
      </c>
      <c r="I125" s="1">
        <f t="shared" si="29"/>
        <v>1.7155322139452907</v>
      </c>
      <c r="J125" s="1">
        <f t="shared" si="30"/>
        <v>942.31228652155039</v>
      </c>
      <c r="K125" s="1">
        <f t="shared" si="31"/>
        <v>8.321692786923256</v>
      </c>
      <c r="L125" s="1">
        <f t="shared" si="22"/>
        <v>3.1410409550718348</v>
      </c>
      <c r="M125" s="1">
        <f t="shared" si="32"/>
        <v>0.15057697767695344</v>
      </c>
      <c r="N125" s="1">
        <f t="shared" si="23"/>
        <v>18.846245730431008</v>
      </c>
      <c r="O125" s="1">
        <f t="shared" si="33"/>
        <v>0.46553865139883244</v>
      </c>
      <c r="P125" s="1">
        <f t="shared" si="24"/>
        <v>188.46245730431008</v>
      </c>
      <c r="Q125" s="1">
        <f t="shared" si="34"/>
        <v>1.4721624772634427</v>
      </c>
    </row>
    <row r="126" spans="1:17">
      <c r="A126" s="1">
        <v>2E-16</v>
      </c>
      <c r="B126" s="1">
        <f t="shared" si="35"/>
        <v>1.2081883682382445E-5</v>
      </c>
      <c r="C126" s="1">
        <f t="shared" si="25"/>
        <v>38.658965600884123</v>
      </c>
      <c r="D126" s="1">
        <f t="shared" si="26"/>
        <v>2.5128327640574679</v>
      </c>
      <c r="E126" s="1">
        <f t="shared" si="27"/>
        <v>0.13197810660868772</v>
      </c>
      <c r="F126" s="1">
        <f t="shared" si="20"/>
        <v>15.076996584344808</v>
      </c>
      <c r="G126" s="1">
        <f t="shared" si="28"/>
        <v>0.43467846522074177</v>
      </c>
      <c r="H126" s="1">
        <f t="shared" si="21"/>
        <v>150.76996584344809</v>
      </c>
      <c r="I126" s="1">
        <f t="shared" si="29"/>
        <v>1.3745739999238296</v>
      </c>
      <c r="J126" s="1">
        <f t="shared" si="30"/>
        <v>753.84982921724043</v>
      </c>
      <c r="K126" s="1">
        <f t="shared" si="31"/>
        <v>6.7068251708221185</v>
      </c>
      <c r="L126" s="1">
        <f t="shared" ref="L126:L157" si="36">C126*$C$11/6</f>
        <v>2.5128327640574679</v>
      </c>
      <c r="M126" s="1">
        <f t="shared" si="32"/>
        <v>0.1205486309171091</v>
      </c>
      <c r="N126" s="1">
        <f t="shared" ref="N126:N157" si="37">C126*$C$11*1</f>
        <v>15.076996584344808</v>
      </c>
      <c r="O126" s="1">
        <f t="shared" si="33"/>
        <v>0.37285994582226861</v>
      </c>
      <c r="P126" s="1">
        <f t="shared" ref="P126:P159" si="38">C126*$C$11*10</f>
        <v>150.76996584344809</v>
      </c>
      <c r="Q126" s="1">
        <f t="shared" si="34"/>
        <v>1.1790866770453523</v>
      </c>
    </row>
    <row r="127" spans="1:17">
      <c r="A127" s="1">
        <v>1.5E-16</v>
      </c>
      <c r="B127" s="1">
        <f t="shared" si="35"/>
        <v>9.0614127617868337E-6</v>
      </c>
      <c r="C127" s="1">
        <f t="shared" si="25"/>
        <v>28.994224200663087</v>
      </c>
      <c r="D127" s="1">
        <f t="shared" si="26"/>
        <v>1.8846245730431006</v>
      </c>
      <c r="E127" s="1">
        <f t="shared" si="27"/>
        <v>9.9069457234487332E-2</v>
      </c>
      <c r="F127" s="1">
        <f t="shared" si="20"/>
        <v>11.307747438258604</v>
      </c>
      <c r="G127" s="1">
        <f t="shared" si="28"/>
        <v>0.32652074613324478</v>
      </c>
      <c r="H127" s="1">
        <f t="shared" si="21"/>
        <v>113.07747438258603</v>
      </c>
      <c r="I127" s="1">
        <f t="shared" si="29"/>
        <v>1.0325492610786706</v>
      </c>
      <c r="J127" s="1">
        <f t="shared" si="30"/>
        <v>565.38737191293023</v>
      </c>
      <c r="K127" s="1">
        <f t="shared" si="31"/>
        <v>5.0680617146935134</v>
      </c>
      <c r="L127" s="1">
        <f t="shared" si="36"/>
        <v>1.8846245730431006</v>
      </c>
      <c r="M127" s="1">
        <f t="shared" si="32"/>
        <v>9.047690150786547E-2</v>
      </c>
      <c r="N127" s="1">
        <f t="shared" si="37"/>
        <v>11.307747438258604</v>
      </c>
      <c r="O127" s="1">
        <f t="shared" si="33"/>
        <v>0.27996784245349254</v>
      </c>
      <c r="P127" s="1">
        <f t="shared" si="38"/>
        <v>113.07747438258603</v>
      </c>
      <c r="Q127" s="1">
        <f t="shared" si="34"/>
        <v>0.88533605375621971</v>
      </c>
    </row>
    <row r="128" spans="1:17">
      <c r="A128" s="1">
        <v>9.9999999999999998E-17</v>
      </c>
      <c r="B128" s="1">
        <f t="shared" si="35"/>
        <v>6.0409418411912224E-6</v>
      </c>
      <c r="C128" s="1">
        <f t="shared" si="25"/>
        <v>19.329482800442062</v>
      </c>
      <c r="D128" s="1">
        <f t="shared" si="26"/>
        <v>1.256416382028734</v>
      </c>
      <c r="E128" s="1">
        <f t="shared" si="27"/>
        <v>6.6103705613404479E-2</v>
      </c>
      <c r="F128" s="1">
        <f t="shared" si="20"/>
        <v>7.5384982921724042</v>
      </c>
      <c r="G128" s="1">
        <f t="shared" si="28"/>
        <v>0.21802337485500525</v>
      </c>
      <c r="H128" s="1">
        <f t="shared" si="21"/>
        <v>75.384982921724045</v>
      </c>
      <c r="I128" s="1">
        <f t="shared" si="29"/>
        <v>0.6894504476984995</v>
      </c>
      <c r="J128" s="1">
        <f t="shared" si="30"/>
        <v>376.92491460862021</v>
      </c>
      <c r="K128" s="1">
        <f t="shared" si="31"/>
        <v>3.404584223180108</v>
      </c>
      <c r="L128" s="1">
        <f t="shared" si="36"/>
        <v>1.256416382028734</v>
      </c>
      <c r="M128" s="1">
        <f t="shared" si="32"/>
        <v>6.0361648053251678E-2</v>
      </c>
      <c r="N128" s="1">
        <f t="shared" si="37"/>
        <v>7.5384982921724042</v>
      </c>
      <c r="O128" s="1">
        <f t="shared" si="33"/>
        <v>0.18686123103268004</v>
      </c>
      <c r="P128" s="1">
        <f t="shared" si="38"/>
        <v>75.384982921724045</v>
      </c>
      <c r="Q128" s="1">
        <f t="shared" si="34"/>
        <v>0.59090709644620643</v>
      </c>
    </row>
    <row r="129" spans="1:17">
      <c r="A129" s="1">
        <v>9.5000000000000003E-17</v>
      </c>
      <c r="B129" s="1">
        <f t="shared" si="35"/>
        <v>5.7388947491316617E-6</v>
      </c>
      <c r="C129" s="1">
        <f t="shared" si="25"/>
        <v>18.363008660419954</v>
      </c>
      <c r="D129" s="1">
        <f t="shared" si="26"/>
        <v>1.1935955629272972</v>
      </c>
      <c r="E129" s="1">
        <f t="shared" si="27"/>
        <v>6.2803981231006722E-2</v>
      </c>
      <c r="F129" s="1">
        <f t="shared" si="20"/>
        <v>7.1615733775637826</v>
      </c>
      <c r="G129" s="1">
        <f t="shared" si="28"/>
        <v>0.2071548641926578</v>
      </c>
      <c r="H129" s="1">
        <f t="shared" si="21"/>
        <v>71.615733775637821</v>
      </c>
      <c r="I129" s="1">
        <f t="shared" si="29"/>
        <v>0.6550811992316562</v>
      </c>
      <c r="J129" s="1">
        <f t="shared" si="30"/>
        <v>358.07866887818915</v>
      </c>
      <c r="K129" s="1">
        <f t="shared" si="31"/>
        <v>3.2368444550816147</v>
      </c>
      <c r="L129" s="1">
        <f t="shared" si="36"/>
        <v>1.1935955629272972</v>
      </c>
      <c r="M129" s="1">
        <f t="shared" si="32"/>
        <v>5.7347723421166411E-2</v>
      </c>
      <c r="N129" s="1">
        <f t="shared" si="37"/>
        <v>7.1615733775637826</v>
      </c>
      <c r="O129" s="1">
        <f t="shared" si="33"/>
        <v>0.17753872894714473</v>
      </c>
      <c r="P129" s="1">
        <f t="shared" si="38"/>
        <v>71.615733775637821</v>
      </c>
      <c r="Q129" s="1">
        <f t="shared" si="34"/>
        <v>0.56142675636424499</v>
      </c>
    </row>
    <row r="130" spans="1:17">
      <c r="A130" s="1">
        <v>8.9999999999999996E-17</v>
      </c>
      <c r="B130" s="1">
        <f t="shared" si="35"/>
        <v>5.4368476570721E-6</v>
      </c>
      <c r="C130" s="1">
        <f t="shared" si="25"/>
        <v>17.396534520397854</v>
      </c>
      <c r="D130" s="1">
        <f t="shared" si="26"/>
        <v>1.1307747438258604</v>
      </c>
      <c r="E130" s="1">
        <f t="shared" si="27"/>
        <v>5.9503683367089666E-2</v>
      </c>
      <c r="F130" s="1">
        <f t="shared" si="20"/>
        <v>6.7846484629551629</v>
      </c>
      <c r="G130" s="1">
        <f t="shared" si="28"/>
        <v>0.19628293047732309</v>
      </c>
      <c r="H130" s="1">
        <f t="shared" si="21"/>
        <v>67.846484629551625</v>
      </c>
      <c r="I130" s="1">
        <f t="shared" si="29"/>
        <v>0.62070112612082184</v>
      </c>
      <c r="J130" s="1">
        <f t="shared" si="30"/>
        <v>339.23242314775814</v>
      </c>
      <c r="K130" s="1">
        <f t="shared" si="31"/>
        <v>3.0688480944812162</v>
      </c>
      <c r="L130" s="1">
        <f t="shared" si="36"/>
        <v>1.1307747438258604</v>
      </c>
      <c r="M130" s="1">
        <f t="shared" si="32"/>
        <v>5.4333361985938806E-2</v>
      </c>
      <c r="N130" s="1">
        <f t="shared" si="37"/>
        <v>6.7846484629551629</v>
      </c>
      <c r="O130" s="1">
        <f t="shared" si="33"/>
        <v>0.16821406947623821</v>
      </c>
      <c r="P130" s="1">
        <f t="shared" si="38"/>
        <v>67.846484629551625</v>
      </c>
      <c r="Q130" s="1">
        <f t="shared" si="34"/>
        <v>0.53193959403071966</v>
      </c>
    </row>
    <row r="131" spans="1:17">
      <c r="A131" s="1">
        <v>8.5000000000000001E-17</v>
      </c>
      <c r="B131" s="1">
        <f t="shared" si="35"/>
        <v>5.1348005650125393E-6</v>
      </c>
      <c r="C131" s="1">
        <f t="shared" si="25"/>
        <v>16.43006038037575</v>
      </c>
      <c r="D131" s="1">
        <f t="shared" si="26"/>
        <v>1.0679539247244236</v>
      </c>
      <c r="E131" s="1">
        <f t="shared" si="27"/>
        <v>5.6202811797228192E-2</v>
      </c>
      <c r="F131" s="1">
        <f t="shared" si="20"/>
        <v>6.4077235483465422</v>
      </c>
      <c r="G131" s="1">
        <f t="shared" si="28"/>
        <v>0.18540757127996055</v>
      </c>
      <c r="H131" s="1">
        <f t="shared" si="21"/>
        <v>64.077235483465415</v>
      </c>
      <c r="I131" s="1">
        <f t="shared" si="29"/>
        <v>0.58631022068469552</v>
      </c>
      <c r="J131" s="1">
        <f t="shared" si="30"/>
        <v>320.38617741732713</v>
      </c>
      <c r="K131" s="1">
        <f t="shared" si="31"/>
        <v>2.9005942522412611</v>
      </c>
      <c r="L131" s="1">
        <f t="shared" si="36"/>
        <v>1.0679539247244236</v>
      </c>
      <c r="M131" s="1">
        <f t="shared" si="32"/>
        <v>5.1318563605042632E-2</v>
      </c>
      <c r="N131" s="1">
        <f t="shared" si="37"/>
        <v>6.4077235483465422</v>
      </c>
      <c r="O131" s="1">
        <f t="shared" si="33"/>
        <v>0.15888725149550495</v>
      </c>
      <c r="P131" s="1">
        <f t="shared" si="38"/>
        <v>64.077235483465415</v>
      </c>
      <c r="Q131" s="1">
        <f t="shared" si="34"/>
        <v>0.50244560588979015</v>
      </c>
    </row>
    <row r="132" spans="1:17">
      <c r="A132" s="1">
        <v>8.0000000000000006E-17</v>
      </c>
      <c r="B132" s="1">
        <f t="shared" si="35"/>
        <v>4.8327534729529785E-6</v>
      </c>
      <c r="C132" s="1">
        <f t="shared" si="25"/>
        <v>15.463586240353651</v>
      </c>
      <c r="D132" s="1">
        <f t="shared" si="26"/>
        <v>1.0051331056229873</v>
      </c>
      <c r="E132" s="1">
        <f t="shared" si="27"/>
        <v>5.2901366296867036E-2</v>
      </c>
      <c r="F132" s="1">
        <f t="shared" si="20"/>
        <v>6.0307986337379242</v>
      </c>
      <c r="G132" s="1">
        <f t="shared" si="28"/>
        <v>0.17452878416897469</v>
      </c>
      <c r="H132" s="1">
        <f t="shared" si="21"/>
        <v>60.307986337379241</v>
      </c>
      <c r="I132" s="1">
        <f t="shared" si="29"/>
        <v>0.5519084752338973</v>
      </c>
      <c r="J132" s="1">
        <f t="shared" si="30"/>
        <v>301.53993168689624</v>
      </c>
      <c r="K132" s="1">
        <f t="shared" si="31"/>
        <v>2.732082034646576</v>
      </c>
      <c r="L132" s="1">
        <f t="shared" si="36"/>
        <v>1.0051331056229873</v>
      </c>
      <c r="M132" s="1">
        <f t="shared" si="32"/>
        <v>4.8303328135882721E-2</v>
      </c>
      <c r="N132" s="1">
        <f t="shared" si="37"/>
        <v>6.0307986337379242</v>
      </c>
      <c r="O132" s="1">
        <f t="shared" si="33"/>
        <v>0.14955827387962103</v>
      </c>
      <c r="P132" s="1">
        <f t="shared" si="38"/>
        <v>60.307986337379241</v>
      </c>
      <c r="Q132" s="1">
        <f t="shared" si="34"/>
        <v>0.47294478838286963</v>
      </c>
    </row>
    <row r="133" spans="1:17">
      <c r="A133" s="1">
        <v>7.4999999999999998E-17</v>
      </c>
      <c r="B133" s="1">
        <f t="shared" si="35"/>
        <v>4.5307063808934168E-6</v>
      </c>
      <c r="C133" s="1">
        <f t="shared" si="25"/>
        <v>14.497112100331544</v>
      </c>
      <c r="D133" s="1">
        <f t="shared" si="26"/>
        <v>0.9423122865215503</v>
      </c>
      <c r="E133" s="1">
        <f t="shared" si="27"/>
        <v>4.9599346641320624E-2</v>
      </c>
      <c r="F133" s="1">
        <f t="shared" si="20"/>
        <v>5.6538737191293018</v>
      </c>
      <c r="G133" s="1">
        <f t="shared" si="28"/>
        <v>0.16364656671021113</v>
      </c>
      <c r="H133" s="1">
        <f t="shared" si="21"/>
        <v>56.538737191293016</v>
      </c>
      <c r="I133" s="1">
        <f t="shared" si="29"/>
        <v>0.51749588207095498</v>
      </c>
      <c r="J133" s="1">
        <f t="shared" si="30"/>
        <v>282.69368595646512</v>
      </c>
      <c r="K133" s="1">
        <f t="shared" si="31"/>
        <v>2.5633105433734591</v>
      </c>
      <c r="L133" s="1">
        <f t="shared" si="36"/>
        <v>0.9423122865215503</v>
      </c>
      <c r="M133" s="1">
        <f t="shared" si="32"/>
        <v>4.5287655435794903E-2</v>
      </c>
      <c r="N133" s="1">
        <f t="shared" si="37"/>
        <v>5.6538737191293018</v>
      </c>
      <c r="O133" s="1">
        <f t="shared" si="33"/>
        <v>0.14022713550239266</v>
      </c>
      <c r="P133" s="1">
        <f t="shared" si="38"/>
        <v>56.538737191293016</v>
      </c>
      <c r="Q133" s="1">
        <f t="shared" si="34"/>
        <v>0.4434371379486205</v>
      </c>
    </row>
    <row r="134" spans="1:17">
      <c r="A134" s="1">
        <v>7.0000000000000003E-17</v>
      </c>
      <c r="B134" s="1">
        <f t="shared" si="35"/>
        <v>4.2286592888338561E-6</v>
      </c>
      <c r="C134" s="1">
        <f t="shared" si="25"/>
        <v>13.530637960309443</v>
      </c>
      <c r="D134" s="1">
        <f t="shared" si="26"/>
        <v>0.87949146742011386</v>
      </c>
      <c r="E134" s="1">
        <f t="shared" si="27"/>
        <v>4.6296752605773109E-2</v>
      </c>
      <c r="F134" s="1">
        <f t="shared" si="20"/>
        <v>5.2769488045206829</v>
      </c>
      <c r="G134" s="1">
        <f t="shared" si="28"/>
        <v>0.15276091646695372</v>
      </c>
      <c r="H134" s="1">
        <f t="shared" si="21"/>
        <v>52.769488045206828</v>
      </c>
      <c r="I134" s="1">
        <f t="shared" si="29"/>
        <v>0.48307243349029566</v>
      </c>
      <c r="J134" s="1">
        <f t="shared" si="30"/>
        <v>263.84744022603417</v>
      </c>
      <c r="K134" s="1">
        <f t="shared" si="31"/>
        <v>2.3942788754584399</v>
      </c>
      <c r="L134" s="1">
        <f t="shared" si="36"/>
        <v>0.87949146742011386</v>
      </c>
      <c r="M134" s="1">
        <f t="shared" si="32"/>
        <v>4.2271545362046109E-2</v>
      </c>
      <c r="N134" s="1">
        <f t="shared" si="37"/>
        <v>5.2769488045206829</v>
      </c>
      <c r="O134" s="1">
        <f t="shared" si="33"/>
        <v>0.13089383523675602</v>
      </c>
      <c r="P134" s="1">
        <f t="shared" si="38"/>
        <v>52.769488045206828</v>
      </c>
      <c r="Q134" s="1">
        <f t="shared" si="34"/>
        <v>0.41392265102295417</v>
      </c>
    </row>
    <row r="135" spans="1:17">
      <c r="A135" s="1">
        <v>6.4999999999999996E-17</v>
      </c>
      <c r="B135" s="1">
        <f t="shared" si="35"/>
        <v>3.9266121967742944E-6</v>
      </c>
      <c r="C135" s="1">
        <f t="shared" si="25"/>
        <v>12.564163820287341</v>
      </c>
      <c r="D135" s="1">
        <f t="shared" si="26"/>
        <v>0.81667064831867719</v>
      </c>
      <c r="E135" s="1">
        <f t="shared" si="27"/>
        <v>4.2993583965278109E-2</v>
      </c>
      <c r="F135" s="1">
        <f t="shared" si="20"/>
        <v>4.9000238899120632</v>
      </c>
      <c r="G135" s="1">
        <f t="shared" si="28"/>
        <v>0.14187183099992043</v>
      </c>
      <c r="H135" s="1">
        <f t="shared" si="21"/>
        <v>49.000238899120632</v>
      </c>
      <c r="I135" s="1">
        <f t="shared" si="29"/>
        <v>0.44863812177823215</v>
      </c>
      <c r="J135" s="1">
        <f t="shared" si="30"/>
        <v>245.00119449560316</v>
      </c>
      <c r="K135" s="1">
        <f t="shared" si="31"/>
        <v>2.2249861232667487</v>
      </c>
      <c r="L135" s="1">
        <f t="shared" si="36"/>
        <v>0.81667064831867719</v>
      </c>
      <c r="M135" s="1">
        <f t="shared" si="32"/>
        <v>3.9254997771834103E-2</v>
      </c>
      <c r="N135" s="1">
        <f t="shared" si="37"/>
        <v>4.9000238899120632</v>
      </c>
      <c r="O135" s="1">
        <f t="shared" si="33"/>
        <v>0.12155837195477577</v>
      </c>
      <c r="P135" s="1">
        <f t="shared" si="38"/>
        <v>49.000238899120632</v>
      </c>
      <c r="Q135" s="1">
        <f t="shared" si="34"/>
        <v>0.38440132403902588</v>
      </c>
    </row>
    <row r="136" spans="1:17">
      <c r="A136" s="1">
        <v>6.0000000000000001E-17</v>
      </c>
      <c r="B136" s="1">
        <f t="shared" si="35"/>
        <v>3.6245651047147332E-6</v>
      </c>
      <c r="C136" s="1">
        <f t="shared" si="25"/>
        <v>11.597689680265233</v>
      </c>
      <c r="D136" s="1">
        <f t="shared" si="26"/>
        <v>0.75384982921724009</v>
      </c>
      <c r="E136" s="1">
        <f t="shared" si="27"/>
        <v>3.9689840494758731E-2</v>
      </c>
      <c r="F136" s="1">
        <f t="shared" si="20"/>
        <v>4.5230989753034407</v>
      </c>
      <c r="G136" s="1">
        <f t="shared" si="28"/>
        <v>0.13097930786725986</v>
      </c>
      <c r="H136" s="1">
        <f t="shared" si="21"/>
        <v>45.230989753034407</v>
      </c>
      <c r="I136" s="1">
        <f t="shared" si="29"/>
        <v>0.41419293921295236</v>
      </c>
      <c r="J136" s="1">
        <f t="shared" si="30"/>
        <v>226.15494876517204</v>
      </c>
      <c r="K136" s="1">
        <f t="shared" si="31"/>
        <v>2.055431374460543</v>
      </c>
      <c r="L136" s="1">
        <f t="shared" si="36"/>
        <v>0.75384982921724009</v>
      </c>
      <c r="M136" s="1">
        <f t="shared" si="32"/>
        <v>3.623801252228763E-2</v>
      </c>
      <c r="N136" s="1">
        <f t="shared" si="37"/>
        <v>4.5230989753034407</v>
      </c>
      <c r="O136" s="1">
        <f t="shared" si="33"/>
        <v>0.11222074452764444</v>
      </c>
      <c r="P136" s="1">
        <f t="shared" si="38"/>
        <v>45.230989753034407</v>
      </c>
      <c r="Q136" s="1">
        <f t="shared" si="34"/>
        <v>0.35487315342723291</v>
      </c>
    </row>
    <row r="137" spans="1:17">
      <c r="A137" s="1">
        <v>5.5E-17</v>
      </c>
      <c r="B137" s="1">
        <f t="shared" si="35"/>
        <v>3.322518012655172E-6</v>
      </c>
      <c r="C137" s="1">
        <f t="shared" si="25"/>
        <v>10.631215540243129</v>
      </c>
      <c r="D137" s="1">
        <f t="shared" si="26"/>
        <v>0.69102901011580353</v>
      </c>
      <c r="E137" s="1">
        <f t="shared" si="27"/>
        <v>3.6385521969007482E-2</v>
      </c>
      <c r="F137" s="1">
        <f t="shared" si="20"/>
        <v>4.146174060694821</v>
      </c>
      <c r="G137" s="1">
        <f t="shared" si="28"/>
        <v>0.12008334462454823</v>
      </c>
      <c r="H137" s="1">
        <f t="shared" si="21"/>
        <v>41.461740606948212</v>
      </c>
      <c r="I137" s="1">
        <f t="shared" si="29"/>
        <v>0.37973687806450951</v>
      </c>
      <c r="J137" s="1">
        <f t="shared" si="30"/>
        <v>207.30870303474106</v>
      </c>
      <c r="K137" s="1">
        <f t="shared" si="31"/>
        <v>1.8856137119668599</v>
      </c>
      <c r="L137" s="1">
        <f t="shared" si="36"/>
        <v>0.69102901011580353</v>
      </c>
      <c r="M137" s="1">
        <f t="shared" si="32"/>
        <v>3.3220589470466313E-2</v>
      </c>
      <c r="N137" s="1">
        <f t="shared" si="37"/>
        <v>4.146174060694821</v>
      </c>
      <c r="O137" s="1">
        <f t="shared" si="33"/>
        <v>0.10288095182568166</v>
      </c>
      <c r="P137" s="1">
        <f t="shared" si="38"/>
        <v>41.461740606948212</v>
      </c>
      <c r="Q137" s="1">
        <f t="shared" si="34"/>
        <v>0.32533813561521235</v>
      </c>
    </row>
    <row r="138" spans="1:17">
      <c r="A138" s="1">
        <v>4.9999999999999999E-17</v>
      </c>
      <c r="B138" s="1">
        <f t="shared" si="35"/>
        <v>3.0204709205956112E-6</v>
      </c>
      <c r="C138" s="1">
        <f t="shared" si="25"/>
        <v>9.6647414002210308</v>
      </c>
      <c r="D138" s="1">
        <f t="shared" si="26"/>
        <v>0.62820819101436698</v>
      </c>
      <c r="E138" s="1">
        <f t="shared" si="27"/>
        <v>3.3080628162686039E-2</v>
      </c>
      <c r="F138" s="1">
        <f t="shared" si="20"/>
        <v>3.7692491460862021</v>
      </c>
      <c r="G138" s="1">
        <f t="shared" si="28"/>
        <v>0.10918393882478505</v>
      </c>
      <c r="H138" s="1">
        <f t="shared" si="21"/>
        <v>37.692491460862023</v>
      </c>
      <c r="I138" s="1">
        <f t="shared" si="29"/>
        <v>0.34526993059480876</v>
      </c>
      <c r="J138" s="1">
        <f t="shared" si="30"/>
        <v>188.46245730431011</v>
      </c>
      <c r="K138" s="1">
        <f t="shared" si="31"/>
        <v>1.7155322139452911</v>
      </c>
      <c r="L138" s="1">
        <f t="shared" si="36"/>
        <v>0.62820819101436698</v>
      </c>
      <c r="M138" s="1">
        <f t="shared" si="32"/>
        <v>3.0202728473360561E-2</v>
      </c>
      <c r="N138" s="1">
        <f t="shared" si="37"/>
        <v>3.7692491460862021</v>
      </c>
      <c r="O138" s="1">
        <f t="shared" si="33"/>
        <v>9.3538992718332964E-2</v>
      </c>
      <c r="P138" s="1">
        <f t="shared" si="38"/>
        <v>37.692491460862023</v>
      </c>
      <c r="Q138" s="1">
        <f t="shared" si="34"/>
        <v>0.29579626702783701</v>
      </c>
    </row>
    <row r="139" spans="1:17">
      <c r="A139" s="1">
        <v>4.4999999999999998E-17</v>
      </c>
      <c r="B139" s="1">
        <f t="shared" si="35"/>
        <v>2.71842382853605E-6</v>
      </c>
      <c r="C139" s="1">
        <f t="shared" si="25"/>
        <v>8.6982672601989268</v>
      </c>
      <c r="D139" s="1">
        <f t="shared" si="26"/>
        <v>0.5653873719129302</v>
      </c>
      <c r="E139" s="1">
        <f t="shared" si="27"/>
        <v>2.9775158850325244E-2</v>
      </c>
      <c r="F139" s="1">
        <f t="shared" si="20"/>
        <v>3.3923242314775814</v>
      </c>
      <c r="G139" s="1">
        <f t="shared" si="28"/>
        <v>9.8281088018390056E-2</v>
      </c>
      <c r="H139" s="1">
        <f t="shared" si="21"/>
        <v>33.923242314775813</v>
      </c>
      <c r="I139" s="1">
        <f t="shared" si="29"/>
        <v>0.31079208905759709</v>
      </c>
      <c r="J139" s="1">
        <f t="shared" si="30"/>
        <v>169.61621157387907</v>
      </c>
      <c r="K139" s="1">
        <f t="shared" si="31"/>
        <v>1.5451859537553945</v>
      </c>
      <c r="L139" s="1">
        <f t="shared" si="36"/>
        <v>0.5653873719129302</v>
      </c>
      <c r="M139" s="1">
        <f t="shared" si="32"/>
        <v>2.7184429387891548E-2</v>
      </c>
      <c r="N139" s="1">
        <f t="shared" si="37"/>
        <v>3.3923242314775814</v>
      </c>
      <c r="O139" s="1">
        <f t="shared" si="33"/>
        <v>8.4194866074169039E-2</v>
      </c>
      <c r="P139" s="1">
        <f t="shared" si="38"/>
        <v>33.923242314775813</v>
      </c>
      <c r="Q139" s="1">
        <f t="shared" si="34"/>
        <v>0.26624754408721335</v>
      </c>
    </row>
    <row r="140" spans="1:17">
      <c r="A140" s="1">
        <v>4.0000000000000003E-17</v>
      </c>
      <c r="B140" s="1">
        <f t="shared" si="35"/>
        <v>2.4163767364764892E-6</v>
      </c>
      <c r="C140" s="1">
        <f t="shared" si="25"/>
        <v>7.7317931201768255</v>
      </c>
      <c r="D140" s="1">
        <f t="shared" si="26"/>
        <v>0.50256655281149365</v>
      </c>
      <c r="E140" s="1">
        <f t="shared" si="27"/>
        <v>2.6469113806325027E-2</v>
      </c>
      <c r="F140" s="1">
        <f t="shared" si="20"/>
        <v>3.0153993168689621</v>
      </c>
      <c r="G140" s="1">
        <f t="shared" si="28"/>
        <v>8.7374789753199539E-2</v>
      </c>
      <c r="H140" s="1">
        <f t="shared" si="21"/>
        <v>30.15399316868962</v>
      </c>
      <c r="I140" s="1">
        <f t="shared" si="29"/>
        <v>0.27630334569845194</v>
      </c>
      <c r="J140" s="1">
        <f t="shared" si="30"/>
        <v>150.76996584344812</v>
      </c>
      <c r="K140" s="1">
        <f t="shared" si="31"/>
        <v>1.3745739999238298</v>
      </c>
      <c r="L140" s="1">
        <f t="shared" si="36"/>
        <v>0.50256655281149365</v>
      </c>
      <c r="M140" s="1">
        <f t="shared" si="32"/>
        <v>2.4165692070911227E-2</v>
      </c>
      <c r="N140" s="1">
        <f t="shared" si="37"/>
        <v>3.0153993168689621</v>
      </c>
      <c r="O140" s="1">
        <f t="shared" si="33"/>
        <v>7.4848570760885011E-2</v>
      </c>
      <c r="P140" s="1">
        <f t="shared" si="38"/>
        <v>30.15399316868962</v>
      </c>
      <c r="Q140" s="1">
        <f t="shared" si="34"/>
        <v>0.23669196321267882</v>
      </c>
    </row>
    <row r="141" spans="1:17">
      <c r="A141" s="1">
        <v>3.5000000000000002E-17</v>
      </c>
      <c r="B141" s="1">
        <f t="shared" si="35"/>
        <v>2.114329644416928E-6</v>
      </c>
      <c r="C141" s="1">
        <f t="shared" si="25"/>
        <v>6.7653189801547216</v>
      </c>
      <c r="D141" s="1">
        <f t="shared" si="26"/>
        <v>0.43974573371005693</v>
      </c>
      <c r="E141" s="1">
        <f t="shared" si="27"/>
        <v>2.3162492804954225E-2</v>
      </c>
      <c r="F141" s="1">
        <f t="shared" si="20"/>
        <v>2.6384744022603415</v>
      </c>
      <c r="G141" s="1">
        <f t="shared" si="28"/>
        <v>7.6465041574462655E-2</v>
      </c>
      <c r="H141" s="1">
        <f t="shared" si="21"/>
        <v>26.384744022603414</v>
      </c>
      <c r="I141" s="1">
        <f t="shared" si="29"/>
        <v>0.24180369275476962</v>
      </c>
      <c r="J141" s="1">
        <f t="shared" si="30"/>
        <v>131.92372011301708</v>
      </c>
      <c r="K141" s="1">
        <f t="shared" si="31"/>
        <v>1.2036954161112083</v>
      </c>
      <c r="L141" s="1">
        <f t="shared" si="36"/>
        <v>0.43974573371005693</v>
      </c>
      <c r="M141" s="1">
        <f t="shared" si="32"/>
        <v>2.1146516379202202E-2</v>
      </c>
      <c r="N141" s="1">
        <f t="shared" si="37"/>
        <v>2.6384744022603415</v>
      </c>
      <c r="O141" s="1">
        <f t="shared" si="33"/>
        <v>6.5500105645299234E-2</v>
      </c>
      <c r="P141" s="1">
        <f t="shared" si="38"/>
        <v>26.384744022603414</v>
      </c>
      <c r="Q141" s="1">
        <f t="shared" si="34"/>
        <v>0.20712952082079847</v>
      </c>
    </row>
    <row r="142" spans="1:17">
      <c r="A142" s="1">
        <v>3.0000000000000001E-17</v>
      </c>
      <c r="B142" s="1">
        <f t="shared" si="35"/>
        <v>1.8122825523573666E-6</v>
      </c>
      <c r="C142" s="1">
        <f t="shared" si="25"/>
        <v>5.7988448401326167</v>
      </c>
      <c r="D142" s="1">
        <f t="shared" si="26"/>
        <v>0.37692491460862004</v>
      </c>
      <c r="E142" s="1">
        <f t="shared" si="27"/>
        <v>1.9855295620350554E-2</v>
      </c>
      <c r="F142" s="1">
        <f t="shared" si="20"/>
        <v>2.2615494876517204</v>
      </c>
      <c r="G142" s="1">
        <f t="shared" si="28"/>
        <v>6.5551841024837992E-2</v>
      </c>
      <c r="H142" s="1">
        <f t="shared" si="21"/>
        <v>22.615494876517204</v>
      </c>
      <c r="I142" s="1">
        <f t="shared" si="29"/>
        <v>0.20729312245575424</v>
      </c>
      <c r="J142" s="1">
        <f t="shared" si="30"/>
        <v>113.07747438258602</v>
      </c>
      <c r="K142" s="1">
        <f t="shared" si="31"/>
        <v>1.0325492610786706</v>
      </c>
      <c r="L142" s="1">
        <f t="shared" si="36"/>
        <v>0.37692491460862004</v>
      </c>
      <c r="M142" s="1">
        <f t="shared" si="32"/>
        <v>1.8126902169477734E-2</v>
      </c>
      <c r="N142" s="1">
        <f t="shared" si="37"/>
        <v>2.2615494876517204</v>
      </c>
      <c r="O142" s="1">
        <f t="shared" si="33"/>
        <v>5.6149469593352659E-2</v>
      </c>
      <c r="P142" s="1">
        <f t="shared" si="38"/>
        <v>22.615494876517204</v>
      </c>
      <c r="Q142" s="1">
        <f t="shared" si="34"/>
        <v>0.17756021332536279</v>
      </c>
    </row>
    <row r="143" spans="1:17">
      <c r="A143" s="1">
        <v>2.4999999999999999E-17</v>
      </c>
      <c r="B143" s="1">
        <f t="shared" si="35"/>
        <v>1.5102354602978056E-6</v>
      </c>
      <c r="C143" s="1">
        <f t="shared" si="25"/>
        <v>4.8323707001105154</v>
      </c>
      <c r="D143" s="1">
        <f t="shared" si="26"/>
        <v>0.31410409550718349</v>
      </c>
      <c r="E143" s="1">
        <f t="shared" si="27"/>
        <v>1.6547522026520489E-2</v>
      </c>
      <c r="F143" s="1">
        <f t="shared" si="20"/>
        <v>1.884624573043101</v>
      </c>
      <c r="G143" s="1">
        <f t="shared" si="28"/>
        <v>5.4635185644389919E-2</v>
      </c>
      <c r="H143" s="1">
        <f t="shared" si="21"/>
        <v>18.846245730431011</v>
      </c>
      <c r="I143" s="1">
        <f t="shared" si="29"/>
        <v>0.17277162702240639</v>
      </c>
      <c r="J143" s="1">
        <f t="shared" si="30"/>
        <v>94.231228652155053</v>
      </c>
      <c r="K143" s="1">
        <f t="shared" si="31"/>
        <v>0.86113458865417536</v>
      </c>
      <c r="L143" s="1">
        <f t="shared" si="36"/>
        <v>0.31410409550718349</v>
      </c>
      <c r="M143" s="1">
        <f t="shared" si="32"/>
        <v>1.5106849298381717E-2</v>
      </c>
      <c r="N143" s="1">
        <f t="shared" si="37"/>
        <v>1.884624573043101</v>
      </c>
      <c r="O143" s="1">
        <f t="shared" si="33"/>
        <v>4.67966614701079E-2</v>
      </c>
      <c r="P143" s="1">
        <f t="shared" si="38"/>
        <v>18.846245730431011</v>
      </c>
      <c r="Q143" s="1">
        <f t="shared" si="34"/>
        <v>0.14798403713738456</v>
      </c>
    </row>
    <row r="144" spans="1:17">
      <c r="A144" s="1">
        <v>2.0000000000000001E-17</v>
      </c>
      <c r="B144" s="1">
        <f t="shared" si="35"/>
        <v>1.2081883682382446E-6</v>
      </c>
      <c r="C144" s="1">
        <f t="shared" si="25"/>
        <v>3.8658965600884128</v>
      </c>
      <c r="D144" s="1">
        <f t="shared" si="26"/>
        <v>0.25128327640574682</v>
      </c>
      <c r="E144" s="1">
        <f t="shared" si="27"/>
        <v>1.3239171797339121E-2</v>
      </c>
      <c r="F144" s="1">
        <f t="shared" si="20"/>
        <v>1.5076996584344811</v>
      </c>
      <c r="G144" s="1">
        <f t="shared" si="28"/>
        <v>4.3715072970584905E-2</v>
      </c>
      <c r="H144" s="1">
        <f t="shared" si="21"/>
        <v>15.07699658434481</v>
      </c>
      <c r="I144" s="1">
        <f t="shared" si="29"/>
        <v>0.13823919866751119</v>
      </c>
      <c r="J144" s="1">
        <f t="shared" si="30"/>
        <v>75.38498292172406</v>
      </c>
      <c r="K144" s="1">
        <f t="shared" si="31"/>
        <v>0.68945044769849961</v>
      </c>
      <c r="L144" s="1">
        <f t="shared" si="36"/>
        <v>0.25128327640574682</v>
      </c>
      <c r="M144" s="1">
        <f t="shared" si="32"/>
        <v>1.2086357622488556E-2</v>
      </c>
      <c r="N144" s="1">
        <f t="shared" si="37"/>
        <v>1.5076996584344811</v>
      </c>
      <c r="O144" s="1">
        <f t="shared" si="33"/>
        <v>3.7441680139748162E-2</v>
      </c>
      <c r="P144" s="1">
        <f t="shared" si="38"/>
        <v>15.07699658434481</v>
      </c>
      <c r="Q144" s="1">
        <f t="shared" si="34"/>
        <v>0.1184009886650957</v>
      </c>
    </row>
    <row r="145" spans="1:17">
      <c r="A145" s="1">
        <v>1.5E-17</v>
      </c>
      <c r="B145" s="1">
        <f t="shared" si="35"/>
        <v>9.061412761786833E-7</v>
      </c>
      <c r="C145" s="1">
        <f t="shared" si="25"/>
        <v>2.8994224200663083</v>
      </c>
      <c r="D145" s="1">
        <f t="shared" si="26"/>
        <v>0.18846245730431002</v>
      </c>
      <c r="E145" s="1">
        <f t="shared" si="27"/>
        <v>9.9302447065501079E-3</v>
      </c>
      <c r="F145" s="1">
        <f t="shared" si="20"/>
        <v>1.1307747438258602</v>
      </c>
      <c r="G145" s="1">
        <f t="shared" si="28"/>
        <v>3.279150053828802E-2</v>
      </c>
      <c r="H145" s="1">
        <f t="shared" si="21"/>
        <v>11.307747438258602</v>
      </c>
      <c r="I145" s="1">
        <f t="shared" si="29"/>
        <v>0.10369582959562758</v>
      </c>
      <c r="J145" s="1">
        <f t="shared" si="30"/>
        <v>56.538737191293009</v>
      </c>
      <c r="K145" s="1">
        <f t="shared" si="31"/>
        <v>0.51749588207095487</v>
      </c>
      <c r="L145" s="1">
        <f t="shared" si="36"/>
        <v>0.18846245730431002</v>
      </c>
      <c r="M145" s="1">
        <f t="shared" si="32"/>
        <v>9.0654269983031794E-3</v>
      </c>
      <c r="N145" s="1">
        <f t="shared" si="37"/>
        <v>1.1307747438258602</v>
      </c>
      <c r="O145" s="1">
        <f t="shared" si="33"/>
        <v>2.8084524465576542E-2</v>
      </c>
      <c r="P145" s="1">
        <f t="shared" si="38"/>
        <v>11.307747438258602</v>
      </c>
      <c r="Q145" s="1">
        <f t="shared" si="34"/>
        <v>8.881106431394499E-2</v>
      </c>
    </row>
    <row r="146" spans="1:17">
      <c r="A146" s="1">
        <v>1.0000000000000001E-17</v>
      </c>
      <c r="B146" s="1">
        <f t="shared" si="35"/>
        <v>6.0409418411912231E-7</v>
      </c>
      <c r="C146" s="1">
        <f t="shared" si="25"/>
        <v>1.9329482800442064</v>
      </c>
      <c r="D146" s="1">
        <f t="shared" si="26"/>
        <v>0.12564163820287341</v>
      </c>
      <c r="E146" s="1">
        <f t="shared" si="27"/>
        <v>6.6207405277655751E-3</v>
      </c>
      <c r="F146" s="1">
        <f t="shared" si="20"/>
        <v>0.75384982921724053</v>
      </c>
      <c r="G146" s="1">
        <f t="shared" si="28"/>
        <v>2.1864465879759376E-2</v>
      </c>
      <c r="H146" s="1">
        <f t="shared" si="21"/>
        <v>7.5384982921724051</v>
      </c>
      <c r="I146" s="1">
        <f t="shared" si="29"/>
        <v>6.9141512003076833E-2</v>
      </c>
      <c r="J146" s="1">
        <f t="shared" si="30"/>
        <v>37.69249146086203</v>
      </c>
      <c r="K146" s="1">
        <f t="shared" si="31"/>
        <v>0.34526993059480887</v>
      </c>
      <c r="L146" s="1">
        <f t="shared" si="36"/>
        <v>0.12564163820287341</v>
      </c>
      <c r="M146" s="1">
        <f t="shared" si="32"/>
        <v>6.0440572822610186E-3</v>
      </c>
      <c r="N146" s="1">
        <f t="shared" si="37"/>
        <v>0.75384982921724053</v>
      </c>
      <c r="O146" s="1">
        <f t="shared" si="33"/>
        <v>1.8725193310015098E-2</v>
      </c>
      <c r="P146" s="1">
        <f t="shared" si="38"/>
        <v>7.5384982921724051</v>
      </c>
      <c r="Q146" s="1">
        <f t="shared" si="34"/>
        <v>5.921426048659513E-2</v>
      </c>
    </row>
    <row r="147" spans="1:17">
      <c r="A147" s="1">
        <v>9.5000000000000003E-18</v>
      </c>
      <c r="B147" s="1">
        <f t="shared" si="35"/>
        <v>5.7388947491316617E-7</v>
      </c>
      <c r="C147" s="1">
        <f t="shared" si="25"/>
        <v>1.8363008660419955</v>
      </c>
      <c r="D147" s="1">
        <f t="shared" si="26"/>
        <v>0.11935955629272971</v>
      </c>
      <c r="E147" s="1">
        <f t="shared" si="27"/>
        <v>6.2897583613275047E-3</v>
      </c>
      <c r="F147" s="1">
        <f t="shared" si="20"/>
        <v>0.71615733775637824</v>
      </c>
      <c r="G147" s="1">
        <f t="shared" si="28"/>
        <v>2.0771571896377947E-2</v>
      </c>
      <c r="H147" s="1">
        <f t="shared" si="21"/>
        <v>7.1615733775637826</v>
      </c>
      <c r="I147" s="1">
        <f t="shared" si="29"/>
        <v>6.568547777449732E-2</v>
      </c>
      <c r="J147" s="1">
        <f t="shared" si="30"/>
        <v>35.807866887818911</v>
      </c>
      <c r="K147" s="1">
        <f t="shared" si="31"/>
        <v>0.32803237206910152</v>
      </c>
      <c r="L147" s="1">
        <f t="shared" si="36"/>
        <v>0.11935955629272971</v>
      </c>
      <c r="M147" s="1">
        <f t="shared" si="32"/>
        <v>5.7418961550753638E-3</v>
      </c>
      <c r="N147" s="1">
        <f t="shared" si="37"/>
        <v>0.71615733775637824</v>
      </c>
      <c r="O147" s="1">
        <f t="shared" si="33"/>
        <v>1.7789140499159441E-2</v>
      </c>
      <c r="P147" s="1">
        <f t="shared" si="38"/>
        <v>7.1615733775637826</v>
      </c>
      <c r="Q147" s="1">
        <f t="shared" si="34"/>
        <v>5.6254201594088477E-2</v>
      </c>
    </row>
    <row r="148" spans="1:17">
      <c r="A148" s="1">
        <v>8.9999999999999999E-18</v>
      </c>
      <c r="B148" s="1">
        <f t="shared" si="35"/>
        <v>5.4368476570721002E-7</v>
      </c>
      <c r="C148" s="1">
        <f t="shared" si="25"/>
        <v>1.7396534520397855</v>
      </c>
      <c r="D148" s="1">
        <f t="shared" si="26"/>
        <v>0.11307747438258607</v>
      </c>
      <c r="E148" s="1">
        <f t="shared" si="27"/>
        <v>5.9587704215178037E-3</v>
      </c>
      <c r="F148" s="1">
        <f t="shared" si="20"/>
        <v>0.6784648462955164</v>
      </c>
      <c r="G148" s="1">
        <f t="shared" si="28"/>
        <v>1.9678643263561099E-2</v>
      </c>
      <c r="H148" s="1">
        <f t="shared" si="21"/>
        <v>6.7846484629551638</v>
      </c>
      <c r="I148" s="1">
        <f t="shared" si="29"/>
        <v>6.2229333974782232E-2</v>
      </c>
      <c r="J148" s="1">
        <f t="shared" si="30"/>
        <v>33.92324231477582</v>
      </c>
      <c r="K148" s="1">
        <f t="shared" si="31"/>
        <v>0.31079208905759714</v>
      </c>
      <c r="L148" s="1">
        <f t="shared" si="36"/>
        <v>0.11307747438258607</v>
      </c>
      <c r="M148" s="1">
        <f t="shared" si="32"/>
        <v>5.4397306353911878E-3</v>
      </c>
      <c r="N148" s="1">
        <f t="shared" si="37"/>
        <v>0.6784648462955164</v>
      </c>
      <c r="O148" s="1">
        <f t="shared" si="33"/>
        <v>1.6853065920967081E-2</v>
      </c>
      <c r="P148" s="1">
        <f t="shared" si="38"/>
        <v>6.7846484629551638</v>
      </c>
      <c r="Q148" s="1">
        <f t="shared" si="34"/>
        <v>5.3294073867219231E-2</v>
      </c>
    </row>
    <row r="149" spans="1:17">
      <c r="A149" s="1">
        <v>8.4999999999999995E-18</v>
      </c>
      <c r="B149" s="1">
        <f t="shared" si="35"/>
        <v>5.1348005650125388E-7</v>
      </c>
      <c r="C149" s="1">
        <f t="shared" si="25"/>
        <v>1.6430060380375751</v>
      </c>
      <c r="D149" s="1">
        <f t="shared" si="26"/>
        <v>0.10679539247244239</v>
      </c>
      <c r="E149" s="1">
        <f t="shared" si="27"/>
        <v>5.6277767081098599E-3</v>
      </c>
      <c r="F149" s="1">
        <f t="shared" si="20"/>
        <v>0.64077235483465433</v>
      </c>
      <c r="G149" s="1">
        <f t="shared" si="28"/>
        <v>1.8585679978836769E-2</v>
      </c>
      <c r="H149" s="1">
        <f t="shared" si="21"/>
        <v>6.4077235483465431</v>
      </c>
      <c r="I149" s="1">
        <f t="shared" si="29"/>
        <v>5.8773080596114219E-2</v>
      </c>
      <c r="J149" s="1">
        <f t="shared" si="30"/>
        <v>32.038617741732715</v>
      </c>
      <c r="K149" s="1">
        <f t="shared" si="31"/>
        <v>0.29354908059073703</v>
      </c>
      <c r="L149" s="1">
        <f t="shared" si="36"/>
        <v>0.10679539247244239</v>
      </c>
      <c r="M149" s="1">
        <f t="shared" si="32"/>
        <v>5.1375607230648053E-3</v>
      </c>
      <c r="N149" s="1">
        <f t="shared" si="37"/>
        <v>0.64077235483465433</v>
      </c>
      <c r="O149" s="1">
        <f t="shared" si="33"/>
        <v>1.5916969574298966E-2</v>
      </c>
      <c r="P149" s="1">
        <f t="shared" si="38"/>
        <v>6.4077235483465431</v>
      </c>
      <c r="Q149" s="1">
        <f t="shared" si="34"/>
        <v>5.0333877302385414E-2</v>
      </c>
    </row>
    <row r="150" spans="1:17">
      <c r="A150" s="1">
        <v>8.0000000000000006E-18</v>
      </c>
      <c r="B150" s="1">
        <f t="shared" si="35"/>
        <v>4.8327534729529785E-7</v>
      </c>
      <c r="C150" s="1">
        <f t="shared" si="25"/>
        <v>1.5463586240353648</v>
      </c>
      <c r="D150" s="1">
        <f t="shared" si="26"/>
        <v>0.10051331056229872</v>
      </c>
      <c r="E150" s="1">
        <f t="shared" si="27"/>
        <v>5.2967772208770605E-3</v>
      </c>
      <c r="F150" s="1">
        <f t="shared" si="20"/>
        <v>0.60307986337379227</v>
      </c>
      <c r="G150" s="1">
        <f t="shared" si="28"/>
        <v>1.749268203973265E-2</v>
      </c>
      <c r="H150" s="1">
        <f t="shared" si="21"/>
        <v>6.0307986337379225</v>
      </c>
      <c r="I150" s="1">
        <f t="shared" si="29"/>
        <v>5.5316717630675194E-2</v>
      </c>
      <c r="J150" s="1">
        <f t="shared" si="30"/>
        <v>30.153993168689613</v>
      </c>
      <c r="K150" s="1">
        <f t="shared" si="31"/>
        <v>0.27630334569845189</v>
      </c>
      <c r="L150" s="1">
        <f t="shared" si="36"/>
        <v>0.10051331056229872</v>
      </c>
      <c r="M150" s="1">
        <f t="shared" si="32"/>
        <v>4.8353864179525325E-3</v>
      </c>
      <c r="N150" s="1">
        <f t="shared" si="37"/>
        <v>0.60307986337379227</v>
      </c>
      <c r="O150" s="1">
        <f t="shared" si="33"/>
        <v>1.4980851458015983E-2</v>
      </c>
      <c r="P150" s="1">
        <f t="shared" si="38"/>
        <v>6.0307986337379225</v>
      </c>
      <c r="Q150" s="1">
        <f t="shared" si="34"/>
        <v>4.7373611895984831E-2</v>
      </c>
    </row>
    <row r="151" spans="1:17">
      <c r="A151" s="1">
        <v>7.5000000000000002E-18</v>
      </c>
      <c r="B151" s="1">
        <f t="shared" si="35"/>
        <v>4.5307063808934165E-7</v>
      </c>
      <c r="C151" s="1">
        <f t="shared" si="25"/>
        <v>1.4497112100331542</v>
      </c>
      <c r="D151" s="1">
        <f t="shared" si="26"/>
        <v>9.4231228652155011E-2</v>
      </c>
      <c r="E151" s="1">
        <f t="shared" si="27"/>
        <v>4.9657719595927697E-3</v>
      </c>
      <c r="F151" s="1">
        <f t="shared" si="20"/>
        <v>0.56538737191293009</v>
      </c>
      <c r="G151" s="1">
        <f t="shared" si="28"/>
        <v>1.6399649443776171E-2</v>
      </c>
      <c r="H151" s="1">
        <f t="shared" si="21"/>
        <v>5.6538737191293009</v>
      </c>
      <c r="I151" s="1">
        <f t="shared" si="29"/>
        <v>5.1860245070646176E-2</v>
      </c>
      <c r="J151" s="1">
        <f t="shared" si="30"/>
        <v>28.269368595646505</v>
      </c>
      <c r="K151" s="1">
        <f t="shared" si="31"/>
        <v>0.25905488341016042</v>
      </c>
      <c r="L151" s="1">
        <f t="shared" si="36"/>
        <v>9.4231228652155011E-2</v>
      </c>
      <c r="M151" s="1">
        <f t="shared" si="32"/>
        <v>4.5332077199106745E-3</v>
      </c>
      <c r="N151" s="1">
        <f t="shared" si="37"/>
        <v>0.56538737191293009</v>
      </c>
      <c r="O151" s="1">
        <f t="shared" si="33"/>
        <v>1.4044711570978911E-2</v>
      </c>
      <c r="P151" s="1">
        <f t="shared" si="38"/>
        <v>5.6538737191293009</v>
      </c>
      <c r="Q151" s="1">
        <f t="shared" si="34"/>
        <v>4.441327764441496E-2</v>
      </c>
    </row>
    <row r="152" spans="1:17">
      <c r="A152" s="1">
        <v>6.9999999999999997E-18</v>
      </c>
      <c r="B152" s="1">
        <f t="shared" si="35"/>
        <v>4.2286592888338551E-7</v>
      </c>
      <c r="C152" s="1">
        <f t="shared" si="25"/>
        <v>1.3530637960309442</v>
      </c>
      <c r="D152" s="1">
        <f t="shared" si="26"/>
        <v>8.7949146742011375E-2</v>
      </c>
      <c r="E152" s="1">
        <f t="shared" si="27"/>
        <v>4.6347609240303496E-3</v>
      </c>
      <c r="F152" s="1">
        <f t="shared" si="20"/>
        <v>0.52769488045206825</v>
      </c>
      <c r="G152" s="1">
        <f t="shared" si="28"/>
        <v>1.5306582188494521E-2</v>
      </c>
      <c r="H152" s="1">
        <f t="shared" si="21"/>
        <v>5.276948804520682</v>
      </c>
      <c r="I152" s="1">
        <f t="shared" si="29"/>
        <v>4.840366290820744E-2</v>
      </c>
      <c r="J152" s="1">
        <f t="shared" si="30"/>
        <v>26.384744022603414</v>
      </c>
      <c r="K152" s="1">
        <f t="shared" si="31"/>
        <v>0.24180369275476962</v>
      </c>
      <c r="L152" s="1">
        <f t="shared" si="36"/>
        <v>8.7949146742011375E-2</v>
      </c>
      <c r="M152" s="1">
        <f t="shared" si="32"/>
        <v>4.2310246287955364E-3</v>
      </c>
      <c r="N152" s="1">
        <f t="shared" si="37"/>
        <v>0.52769488045206825</v>
      </c>
      <c r="O152" s="1">
        <f t="shared" si="33"/>
        <v>1.3108549912048474E-2</v>
      </c>
      <c r="P152" s="1">
        <f t="shared" si="38"/>
        <v>5.276948804520682</v>
      </c>
      <c r="Q152" s="1">
        <f t="shared" si="34"/>
        <v>4.1452874544073058E-2</v>
      </c>
    </row>
    <row r="153" spans="1:17">
      <c r="A153" s="1">
        <v>6.5000000000000001E-18</v>
      </c>
      <c r="B153" s="1">
        <f t="shared" si="35"/>
        <v>3.9266121967742942E-7</v>
      </c>
      <c r="C153" s="1">
        <f t="shared" si="25"/>
        <v>1.2564163820287337</v>
      </c>
      <c r="D153" s="1">
        <f t="shared" si="26"/>
        <v>8.1667064831867697E-2</v>
      </c>
      <c r="E153" s="1">
        <f t="shared" si="27"/>
        <v>4.3037441139631349E-3</v>
      </c>
      <c r="F153" s="1">
        <f t="shared" si="20"/>
        <v>0.49000238899120618</v>
      </c>
      <c r="G153" s="1">
        <f t="shared" si="28"/>
        <v>1.4213480271414589E-2</v>
      </c>
      <c r="H153" s="1">
        <f t="shared" si="21"/>
        <v>4.9000238899120614</v>
      </c>
      <c r="I153" s="1">
        <f t="shared" si="29"/>
        <v>4.4946971135538347E-2</v>
      </c>
      <c r="J153" s="1">
        <f t="shared" si="30"/>
        <v>24.500119449560309</v>
      </c>
      <c r="K153" s="1">
        <f t="shared" si="31"/>
        <v>0.22454977276067364</v>
      </c>
      <c r="L153" s="1">
        <f t="shared" si="36"/>
        <v>8.1667064831867697E-2</v>
      </c>
      <c r="M153" s="1">
        <f t="shared" si="32"/>
        <v>3.928837144463404E-3</v>
      </c>
      <c r="N153" s="1">
        <f t="shared" si="37"/>
        <v>0.49000238899120618</v>
      </c>
      <c r="O153" s="1">
        <f t="shared" si="33"/>
        <v>1.2172366480085265E-2</v>
      </c>
      <c r="P153" s="1">
        <f t="shared" si="38"/>
        <v>4.9000238899120614</v>
      </c>
      <c r="Q153" s="1">
        <f t="shared" si="34"/>
        <v>3.8492402591356036E-2</v>
      </c>
    </row>
    <row r="154" spans="1:17">
      <c r="A154" s="1">
        <v>5.9999999999999997E-18</v>
      </c>
      <c r="B154" s="1">
        <f t="shared" si="35"/>
        <v>3.6245651047147333E-7</v>
      </c>
      <c r="C154" s="1">
        <f t="shared" si="25"/>
        <v>1.1597689680265233</v>
      </c>
      <c r="D154" s="1">
        <f t="shared" si="26"/>
        <v>7.538498292172402E-2</v>
      </c>
      <c r="E154" s="1">
        <f t="shared" si="27"/>
        <v>3.9727215291644581E-3</v>
      </c>
      <c r="F154" s="1">
        <f t="shared" si="20"/>
        <v>0.45230989753034412</v>
      </c>
      <c r="G154" s="1">
        <f t="shared" si="28"/>
        <v>1.3120343690063031E-2</v>
      </c>
      <c r="H154" s="1">
        <f t="shared" si="21"/>
        <v>4.5230989753034407</v>
      </c>
      <c r="I154" s="1">
        <f t="shared" si="29"/>
        <v>4.1490169744817479E-2</v>
      </c>
      <c r="J154" s="1">
        <f t="shared" si="30"/>
        <v>22.615494876517207</v>
      </c>
      <c r="K154" s="1">
        <f t="shared" si="31"/>
        <v>0.20729312245575426</v>
      </c>
      <c r="L154" s="1">
        <f t="shared" si="36"/>
        <v>7.538498292172402E-2</v>
      </c>
      <c r="M154" s="1">
        <f t="shared" si="32"/>
        <v>3.6266452667705674E-3</v>
      </c>
      <c r="N154" s="1">
        <f t="shared" si="37"/>
        <v>0.45230989753034412</v>
      </c>
      <c r="O154" s="1">
        <f t="shared" si="33"/>
        <v>1.1236161273949812E-2</v>
      </c>
      <c r="P154" s="1">
        <f t="shared" si="38"/>
        <v>4.5230989753034407</v>
      </c>
      <c r="Q154" s="1">
        <f t="shared" si="34"/>
        <v>3.5531861782660559E-2</v>
      </c>
    </row>
    <row r="155" spans="1:17">
      <c r="A155" s="1">
        <v>5.5E-18</v>
      </c>
      <c r="B155" s="1">
        <f t="shared" si="35"/>
        <v>3.3225180126551724E-7</v>
      </c>
      <c r="C155" s="1">
        <f t="shared" si="25"/>
        <v>1.0631215540243133</v>
      </c>
      <c r="D155" s="1">
        <f t="shared" si="26"/>
        <v>6.910290101158037E-2</v>
      </c>
      <c r="E155" s="1">
        <f t="shared" si="27"/>
        <v>3.641693169407636E-3</v>
      </c>
      <c r="F155" s="1">
        <f t="shared" si="20"/>
        <v>0.41461740606948222</v>
      </c>
      <c r="G155" s="1">
        <f t="shared" si="28"/>
        <v>1.2027172441966234E-2</v>
      </c>
      <c r="H155" s="1">
        <f t="shared" si="21"/>
        <v>4.1461740606948219</v>
      </c>
      <c r="I155" s="1">
        <f t="shared" si="29"/>
        <v>3.8033258728222594E-2</v>
      </c>
      <c r="J155" s="1">
        <f t="shared" si="30"/>
        <v>20.730870303474109</v>
      </c>
      <c r="K155" s="1">
        <f t="shared" si="31"/>
        <v>0.19003374086738015</v>
      </c>
      <c r="L155" s="1">
        <f t="shared" si="36"/>
        <v>6.910290101158037E-2</v>
      </c>
      <c r="M155" s="1">
        <f t="shared" si="32"/>
        <v>3.3244489955733046E-3</v>
      </c>
      <c r="N155" s="1">
        <f t="shared" si="37"/>
        <v>0.41461740606948222</v>
      </c>
      <c r="O155" s="1">
        <f t="shared" si="33"/>
        <v>1.0299934292502561E-2</v>
      </c>
      <c r="P155" s="1">
        <f t="shared" si="38"/>
        <v>4.1461740606948219</v>
      </c>
      <c r="Q155" s="1">
        <f t="shared" si="34"/>
        <v>3.2571252114383047E-2</v>
      </c>
    </row>
    <row r="156" spans="1:17">
      <c r="A156" s="1">
        <v>5.0000000000000004E-18</v>
      </c>
      <c r="B156" s="1">
        <f t="shared" si="35"/>
        <v>3.0204709205956115E-7</v>
      </c>
      <c r="C156" s="1">
        <f t="shared" si="25"/>
        <v>0.96647414002210319</v>
      </c>
      <c r="D156" s="1">
        <f t="shared" si="26"/>
        <v>6.2820819101436706E-2</v>
      </c>
      <c r="E156" s="1">
        <f t="shared" si="27"/>
        <v>3.3106590344659688E-3</v>
      </c>
      <c r="F156" s="1">
        <f t="shared" si="20"/>
        <v>0.37692491460862027</v>
      </c>
      <c r="G156" s="1">
        <f t="shared" si="28"/>
        <v>1.0933966524650316E-2</v>
      </c>
      <c r="H156" s="1">
        <f t="shared" si="21"/>
        <v>3.7692491460862025</v>
      </c>
      <c r="I156" s="1">
        <f t="shared" si="29"/>
        <v>3.4576238077930595E-2</v>
      </c>
      <c r="J156" s="1">
        <f t="shared" si="30"/>
        <v>18.846245730431015</v>
      </c>
      <c r="K156" s="1">
        <f t="shared" si="31"/>
        <v>0.17277162702240642</v>
      </c>
      <c r="L156" s="1">
        <f t="shared" si="36"/>
        <v>6.2820819101436706E-2</v>
      </c>
      <c r="M156" s="1">
        <f t="shared" si="32"/>
        <v>3.022248330727886E-3</v>
      </c>
      <c r="N156" s="1">
        <f t="shared" si="37"/>
        <v>0.37692491460862027</v>
      </c>
      <c r="O156" s="1">
        <f t="shared" si="33"/>
        <v>9.3636855346038491E-3</v>
      </c>
      <c r="P156" s="1">
        <f t="shared" si="38"/>
        <v>3.7692491460862025</v>
      </c>
      <c r="Q156" s="1">
        <f t="shared" si="34"/>
        <v>2.9610573582919561E-2</v>
      </c>
    </row>
    <row r="157" spans="1:17">
      <c r="A157" s="1">
        <v>4.4999999999999999E-18</v>
      </c>
      <c r="B157" s="1">
        <f t="shared" si="35"/>
        <v>2.7184238285360501E-7</v>
      </c>
      <c r="C157" s="1">
        <f t="shared" si="25"/>
        <v>0.86982672601989275</v>
      </c>
      <c r="D157" s="1">
        <f t="shared" si="26"/>
        <v>5.6538737191293036E-2</v>
      </c>
      <c r="E157" s="1">
        <f t="shared" si="27"/>
        <v>2.9796191241127463E-3</v>
      </c>
      <c r="F157" s="1">
        <f t="shared" si="20"/>
        <v>0.3392324231477582</v>
      </c>
      <c r="G157" s="1">
        <f t="shared" si="28"/>
        <v>9.8407259356411442E-3</v>
      </c>
      <c r="H157" s="1">
        <f t="shared" si="21"/>
        <v>3.3923242314775819</v>
      </c>
      <c r="I157" s="1">
        <f t="shared" si="29"/>
        <v>3.1119107786117563E-2</v>
      </c>
      <c r="J157" s="1">
        <f t="shared" si="30"/>
        <v>16.96162115738791</v>
      </c>
      <c r="K157" s="1">
        <f t="shared" si="31"/>
        <v>0.15550677994717432</v>
      </c>
      <c r="L157" s="1">
        <f t="shared" si="36"/>
        <v>5.6538737191293036E-2</v>
      </c>
      <c r="M157" s="1">
        <f t="shared" si="32"/>
        <v>2.7200432720905767E-3</v>
      </c>
      <c r="N157" s="1">
        <f t="shared" si="37"/>
        <v>0.3392324231477582</v>
      </c>
      <c r="O157" s="1">
        <f t="shared" si="33"/>
        <v>8.4274149991139403E-3</v>
      </c>
      <c r="P157" s="1">
        <f t="shared" si="38"/>
        <v>3.3923242314775819</v>
      </c>
      <c r="Q157" s="1">
        <f t="shared" si="34"/>
        <v>2.6649826184665933E-2</v>
      </c>
    </row>
    <row r="158" spans="1:17">
      <c r="A158" s="1">
        <v>4.0000000000000003E-18</v>
      </c>
      <c r="B158" s="1">
        <f t="shared" si="35"/>
        <v>2.4163767364764892E-7</v>
      </c>
      <c r="C158" s="1">
        <f t="shared" si="25"/>
        <v>0.77317931201768242</v>
      </c>
      <c r="D158" s="1">
        <f t="shared" si="26"/>
        <v>5.0256655281149358E-2</v>
      </c>
      <c r="E158" s="1">
        <f t="shared" si="27"/>
        <v>2.648573438121245E-3</v>
      </c>
      <c r="F158" s="1">
        <f t="shared" ref="F158:F200" si="39">C158*$C$11*1</f>
        <v>0.30153993168689613</v>
      </c>
      <c r="G158" s="1">
        <f t="shared" si="28"/>
        <v>8.7474506724643172E-3</v>
      </c>
      <c r="H158" s="1">
        <f t="shared" ref="H158:H200" si="40">C158*$C$11*10</f>
        <v>3.0153993168689612</v>
      </c>
      <c r="I158" s="1">
        <f t="shared" si="29"/>
        <v>2.7661867844958776E-2</v>
      </c>
      <c r="J158" s="1">
        <f t="shared" si="30"/>
        <v>15.076996584344807</v>
      </c>
      <c r="K158" s="1">
        <f t="shared" si="31"/>
        <v>0.13823919866751117</v>
      </c>
      <c r="L158" s="1">
        <f t="shared" ref="L158:L189" si="41">C158*$C$11/6</f>
        <v>5.0256655281149358E-2</v>
      </c>
      <c r="M158" s="1">
        <f t="shared" si="32"/>
        <v>2.4178338195176359E-3</v>
      </c>
      <c r="N158" s="1">
        <f t="shared" ref="N158:N189" si="42">C158*$C$11*1</f>
        <v>0.30153993168689613</v>
      </c>
      <c r="O158" s="1">
        <f t="shared" si="33"/>
        <v>7.4911226848930037E-3</v>
      </c>
      <c r="P158" s="1">
        <f t="shared" si="38"/>
        <v>3.0153993168689612</v>
      </c>
      <c r="Q158" s="1">
        <f t="shared" si="34"/>
        <v>2.3689009916017717E-2</v>
      </c>
    </row>
    <row r="159" spans="1:17">
      <c r="A159" s="1">
        <v>3.4999999999999999E-18</v>
      </c>
      <c r="B159" s="1">
        <f t="shared" si="35"/>
        <v>2.1143296444169275E-7</v>
      </c>
      <c r="C159" s="1">
        <f t="shared" ref="C159:C200" si="43">B159*PI()*($C$6/2)^2*$C$7^3*$C$8*$C$9*$C$10*3600</f>
        <v>0.67653189801547209</v>
      </c>
      <c r="D159" s="1">
        <f t="shared" ref="D159:D200" si="44">C159*$C$11/6</f>
        <v>4.3974573371005687E-2</v>
      </c>
      <c r="E159" s="1">
        <f t="shared" ref="E159:E200" si="45">D159/SQRT(D159+($C$24+$C$20)*2)</f>
        <v>2.3175219762647283E-3</v>
      </c>
      <c r="F159" s="1">
        <f t="shared" si="39"/>
        <v>0.26384744022603412</v>
      </c>
      <c r="G159" s="1">
        <f t="shared" ref="G159:G200" si="46">F159/SQRT(F159+($C$25+$C$21)*2)</f>
        <v>7.6541407326451791E-3</v>
      </c>
      <c r="H159" s="1">
        <f t="shared" si="40"/>
        <v>2.638474402260341</v>
      </c>
      <c r="I159" s="1">
        <f t="shared" ref="I159:I200" si="47">H159/SQRT(H159+($C$26+$C$22)*2)</f>
        <v>2.4204518246628681E-2</v>
      </c>
      <c r="J159" s="1">
        <f t="shared" ref="J159:J200" si="48">C159*$C$11*50</f>
        <v>13.192372011301707</v>
      </c>
      <c r="K159" s="1">
        <f t="shared" ref="K159:K200" si="49">J159/SQRT(J159+($C$26+$C$22)*2)</f>
        <v>0.12096888220872966</v>
      </c>
      <c r="L159" s="1">
        <f t="shared" si="41"/>
        <v>4.3974573371005687E-2</v>
      </c>
      <c r="M159" s="1">
        <f t="shared" ref="M159:M200" si="50">L159/SQRT(L159+($D$24+$C$20)*2)</f>
        <v>2.1156199728653131E-3</v>
      </c>
      <c r="N159" s="1">
        <f t="shared" si="42"/>
        <v>0.26384744022603412</v>
      </c>
      <c r="O159" s="1">
        <f t="shared" ref="O159:O200" si="51">N159/SQRT(N159+($D$25+$C$21)*2)</f>
        <v>6.5548085908011281E-3</v>
      </c>
      <c r="P159" s="1">
        <f t="shared" si="38"/>
        <v>2.638474402260341</v>
      </c>
      <c r="Q159" s="1">
        <f t="shared" ref="Q159:Q200" si="52">P159/SQRT(P159+($D$26+$C$22)*2)</f>
        <v>2.0728124773370181E-2</v>
      </c>
    </row>
    <row r="160" spans="1:17">
      <c r="A160" s="1">
        <v>2.9999999999999998E-18</v>
      </c>
      <c r="B160" s="1">
        <f t="shared" si="35"/>
        <v>1.8122825523573667E-7</v>
      </c>
      <c r="C160" s="1">
        <f t="shared" si="43"/>
        <v>0.57988448401326165</v>
      </c>
      <c r="D160" s="1">
        <f t="shared" si="44"/>
        <v>3.769249146086201E-2</v>
      </c>
      <c r="E160" s="1">
        <f t="shared" si="45"/>
        <v>1.9864647383164452E-3</v>
      </c>
      <c r="F160" s="1">
        <f t="shared" si="39"/>
        <v>0.22615494876517206</v>
      </c>
      <c r="G160" s="1">
        <f t="shared" si="46"/>
        <v>6.5607961137088026E-3</v>
      </c>
      <c r="H160" s="1">
        <f t="shared" si="40"/>
        <v>2.2615494876517204</v>
      </c>
      <c r="I160" s="1">
        <f t="shared" si="47"/>
        <v>2.074705898330087E-2</v>
      </c>
      <c r="J160" s="1">
        <f t="shared" si="48"/>
        <v>11.307747438258604</v>
      </c>
      <c r="K160" s="1">
        <f t="shared" si="49"/>
        <v>0.10369582959562759</v>
      </c>
      <c r="L160" s="1">
        <f t="shared" si="41"/>
        <v>3.769249146086201E-2</v>
      </c>
      <c r="M160" s="1">
        <f t="shared" si="50"/>
        <v>1.8134017319898536E-3</v>
      </c>
      <c r="N160" s="1">
        <f t="shared" si="42"/>
        <v>0.22615494876517206</v>
      </c>
      <c r="O160" s="1">
        <f t="shared" si="51"/>
        <v>5.6184727156983012E-3</v>
      </c>
      <c r="P160" s="1">
        <f t="shared" ref="P160:P200" si="53">C160*$C$11*10</f>
        <v>2.2615494876517204</v>
      </c>
      <c r="Q160" s="1">
        <f t="shared" si="52"/>
        <v>1.7767170753118303E-2</v>
      </c>
    </row>
    <row r="161" spans="1:17">
      <c r="A161" s="1">
        <v>2.5000000000000002E-18</v>
      </c>
      <c r="B161" s="1">
        <f t="shared" si="35"/>
        <v>1.5102354602978058E-7</v>
      </c>
      <c r="C161" s="1">
        <f t="shared" si="43"/>
        <v>0.48323707001105159</v>
      </c>
      <c r="D161" s="1">
        <f t="shared" si="44"/>
        <v>3.1410409550718353E-2</v>
      </c>
      <c r="E161" s="1">
        <f t="shared" si="45"/>
        <v>1.6554017240496346E-3</v>
      </c>
      <c r="F161" s="1">
        <f t="shared" si="39"/>
        <v>0.18846245730431013</v>
      </c>
      <c r="G161" s="1">
        <f t="shared" si="46"/>
        <v>5.4674168131800122E-3</v>
      </c>
      <c r="H161" s="1">
        <f t="shared" si="40"/>
        <v>1.8846245730431013</v>
      </c>
      <c r="I161" s="1">
        <f t="shared" si="47"/>
        <v>1.7289490047148144E-2</v>
      </c>
      <c r="J161" s="1">
        <f t="shared" si="48"/>
        <v>9.4231228652155075</v>
      </c>
      <c r="K161" s="1">
        <f t="shared" si="49"/>
        <v>8.6420039852487696E-2</v>
      </c>
      <c r="L161" s="1">
        <f t="shared" si="41"/>
        <v>3.1410409550718353E-2</v>
      </c>
      <c r="M161" s="1">
        <f t="shared" si="50"/>
        <v>1.5111790967474946E-3</v>
      </c>
      <c r="N161" s="1">
        <f t="shared" si="42"/>
        <v>0.18846245730431013</v>
      </c>
      <c r="O161" s="1">
        <f t="shared" si="51"/>
        <v>4.6821150584444365E-3</v>
      </c>
      <c r="P161" s="1">
        <f t="shared" si="53"/>
        <v>1.8846245730431013</v>
      </c>
      <c r="Q161" s="1">
        <f t="shared" si="52"/>
        <v>1.4806147851656808E-2</v>
      </c>
    </row>
    <row r="162" spans="1:17">
      <c r="A162" s="1">
        <v>2.0000000000000001E-18</v>
      </c>
      <c r="B162" s="1">
        <f t="shared" si="35"/>
        <v>1.2081883682382446E-7</v>
      </c>
      <c r="C162" s="1">
        <f t="shared" si="43"/>
        <v>0.38658965600884121</v>
      </c>
      <c r="D162" s="1">
        <f t="shared" si="44"/>
        <v>2.5128327640574679E-2</v>
      </c>
      <c r="E162" s="1">
        <f t="shared" si="45"/>
        <v>1.3243329332375173E-3</v>
      </c>
      <c r="F162" s="1">
        <f t="shared" si="39"/>
        <v>0.15076996584344807</v>
      </c>
      <c r="G162" s="1">
        <f t="shared" si="46"/>
        <v>4.3740028285833522E-3</v>
      </c>
      <c r="H162" s="1">
        <f t="shared" si="40"/>
        <v>1.5076996584344806</v>
      </c>
      <c r="I162" s="1">
        <f t="shared" si="47"/>
        <v>1.3831811430342435E-2</v>
      </c>
      <c r="J162" s="1">
        <f t="shared" si="48"/>
        <v>7.5384982921724033</v>
      </c>
      <c r="K162" s="1">
        <f t="shared" si="49"/>
        <v>6.9141512003076819E-2</v>
      </c>
      <c r="L162" s="1">
        <f t="shared" si="41"/>
        <v>2.5128327640574679E-2</v>
      </c>
      <c r="M162" s="1">
        <f t="shared" si="50"/>
        <v>1.2089520669944646E-3</v>
      </c>
      <c r="N162" s="1">
        <f t="shared" si="42"/>
        <v>0.15076996584344807</v>
      </c>
      <c r="O162" s="1">
        <f t="shared" si="51"/>
        <v>3.7457356178993446E-3</v>
      </c>
      <c r="P162" s="1">
        <f t="shared" si="53"/>
        <v>1.5076996584344806</v>
      </c>
      <c r="Q162" s="1">
        <f t="shared" si="52"/>
        <v>1.1845056065380099E-2</v>
      </c>
    </row>
    <row r="163" spans="1:17">
      <c r="A163" s="1">
        <v>1.4999999999999999E-18</v>
      </c>
      <c r="B163" s="1">
        <f t="shared" si="35"/>
        <v>9.0614127617868333E-8</v>
      </c>
      <c r="C163" s="1">
        <f t="shared" si="43"/>
        <v>0.28994224200663082</v>
      </c>
      <c r="D163" s="1">
        <f t="shared" si="44"/>
        <v>1.8846245730431005E-2</v>
      </c>
      <c r="E163" s="1">
        <f t="shared" si="45"/>
        <v>9.9325836565330441E-4</v>
      </c>
      <c r="F163" s="1">
        <f t="shared" si="39"/>
        <v>0.11307747438258603</v>
      </c>
      <c r="G163" s="1">
        <f t="shared" si="46"/>
        <v>3.2805541574431208E-3</v>
      </c>
      <c r="H163" s="1">
        <f t="shared" si="40"/>
        <v>1.1307747438258602</v>
      </c>
      <c r="I163" s="1">
        <f t="shared" si="47"/>
        <v>1.0374023125054881E-2</v>
      </c>
      <c r="J163" s="1">
        <f t="shared" si="48"/>
        <v>5.6538737191293018</v>
      </c>
      <c r="K163" s="1">
        <f t="shared" si="49"/>
        <v>5.1860245070646183E-2</v>
      </c>
      <c r="L163" s="1">
        <f t="shared" si="41"/>
        <v>1.8846245730431005E-2</v>
      </c>
      <c r="M163" s="1">
        <f t="shared" si="50"/>
        <v>9.0672064258698738E-4</v>
      </c>
      <c r="N163" s="1">
        <f t="shared" si="42"/>
        <v>0.11307747438258603</v>
      </c>
      <c r="O163" s="1">
        <f t="shared" si="51"/>
        <v>2.8093343929227587E-3</v>
      </c>
      <c r="P163" s="1">
        <f t="shared" si="53"/>
        <v>1.1307747438258602</v>
      </c>
      <c r="Q163" s="1">
        <f t="shared" si="52"/>
        <v>8.8838953906823347E-3</v>
      </c>
    </row>
    <row r="164" spans="1:17">
      <c r="A164" s="1">
        <v>9.9999999999999892E-19</v>
      </c>
      <c r="B164" s="1">
        <f t="shared" si="35"/>
        <v>6.0409418411912151E-8</v>
      </c>
      <c r="C164" s="1">
        <f t="shared" si="43"/>
        <v>0.19329482800442035</v>
      </c>
      <c r="D164" s="1">
        <f t="shared" si="44"/>
        <v>1.2564163820287322E-2</v>
      </c>
      <c r="E164" s="1">
        <f t="shared" si="45"/>
        <v>6.6217802107019315E-4</v>
      </c>
      <c r="F164" s="1">
        <f t="shared" si="39"/>
        <v>7.5384982921723936E-2</v>
      </c>
      <c r="G164" s="1">
        <f t="shared" si="46"/>
        <v>2.1870707972833476E-3</v>
      </c>
      <c r="H164" s="1">
        <f t="shared" si="40"/>
        <v>0.75384982921723931</v>
      </c>
      <c r="I164" s="1">
        <f t="shared" si="47"/>
        <v>6.9161251234557755E-3</v>
      </c>
      <c r="J164" s="1">
        <f t="shared" si="48"/>
        <v>3.7692491460861968</v>
      </c>
      <c r="K164" s="1">
        <f t="shared" si="49"/>
        <v>3.4576238077930539E-2</v>
      </c>
      <c r="L164" s="1">
        <f t="shared" si="41"/>
        <v>1.2564163820287322E-2</v>
      </c>
      <c r="M164" s="1">
        <f t="shared" si="50"/>
        <v>6.0448482338127871E-4</v>
      </c>
      <c r="N164" s="1">
        <f t="shared" si="42"/>
        <v>7.5384982921723936E-2</v>
      </c>
      <c r="O164" s="1">
        <f t="shared" si="51"/>
        <v>1.8729113823743172E-3</v>
      </c>
      <c r="P164" s="1">
        <f t="shared" si="53"/>
        <v>0.75384982921723931</v>
      </c>
      <c r="Q164" s="1">
        <f t="shared" si="52"/>
        <v>5.9226658239573803E-3</v>
      </c>
    </row>
    <row r="165" spans="1:17">
      <c r="A165" s="1">
        <v>9.4999999999999995E-19</v>
      </c>
      <c r="B165" s="1">
        <f t="shared" si="35"/>
        <v>5.7388947491316609E-8</v>
      </c>
      <c r="C165" s="1">
        <f t="shared" si="43"/>
        <v>0.18363008660419952</v>
      </c>
      <c r="D165" s="1">
        <f t="shared" si="44"/>
        <v>1.193595562927297E-2</v>
      </c>
      <c r="E165" s="1">
        <f t="shared" si="45"/>
        <v>6.2906966886821115E-4</v>
      </c>
      <c r="F165" s="1">
        <f t="shared" si="39"/>
        <v>7.1615733775637819E-2</v>
      </c>
      <c r="G165" s="1">
        <f t="shared" si="46"/>
        <v>2.0777205532759658E-3</v>
      </c>
      <c r="H165" s="1">
        <f t="shared" si="40"/>
        <v>0.71615733775637813</v>
      </c>
      <c r="I165" s="1">
        <f t="shared" si="47"/>
        <v>6.5703292896972703E-3</v>
      </c>
      <c r="J165" s="1">
        <f t="shared" si="48"/>
        <v>3.5807866887818909</v>
      </c>
      <c r="K165" s="1">
        <f t="shared" si="49"/>
        <v>3.2847686637703218E-2</v>
      </c>
      <c r="L165" s="1">
        <f t="shared" si="41"/>
        <v>1.193595562927297E-2</v>
      </c>
      <c r="M165" s="1">
        <f t="shared" si="50"/>
        <v>5.7426099974127007E-4</v>
      </c>
      <c r="N165" s="1">
        <f t="shared" si="42"/>
        <v>7.1615733775637819E-2</v>
      </c>
      <c r="O165" s="1">
        <f t="shared" si="51"/>
        <v>1.7792678830691167E-3</v>
      </c>
      <c r="P165" s="1">
        <f t="shared" si="53"/>
        <v>0.71615733775637813</v>
      </c>
      <c r="Q165" s="1">
        <f t="shared" si="52"/>
        <v>5.6265390780845526E-3</v>
      </c>
    </row>
    <row r="166" spans="1:17">
      <c r="A166" s="1">
        <v>9.0000000000000003E-19</v>
      </c>
      <c r="B166" s="1">
        <f t="shared" si="35"/>
        <v>5.4368476570721E-8</v>
      </c>
      <c r="C166" s="1">
        <f t="shared" si="43"/>
        <v>0.17396534520397852</v>
      </c>
      <c r="D166" s="1">
        <f t="shared" si="44"/>
        <v>1.1307747438258605E-2</v>
      </c>
      <c r="E166" s="1">
        <f t="shared" si="45"/>
        <v>5.9596125889374444E-4</v>
      </c>
      <c r="F166" s="1">
        <f t="shared" si="39"/>
        <v>6.7846484629551632E-2</v>
      </c>
      <c r="G166" s="1">
        <f t="shared" si="46"/>
        <v>1.9683699623511473E-3</v>
      </c>
      <c r="H166" s="1">
        <f t="shared" si="40"/>
        <v>0.67846484629551629</v>
      </c>
      <c r="I166" s="1">
        <f t="shared" si="47"/>
        <v>6.2245323588895072E-3</v>
      </c>
      <c r="J166" s="1">
        <f t="shared" si="48"/>
        <v>3.3923242314775814</v>
      </c>
      <c r="K166" s="1">
        <f t="shared" si="49"/>
        <v>3.111910778611756E-2</v>
      </c>
      <c r="L166" s="1">
        <f t="shared" si="41"/>
        <v>1.1307747438258605E-2</v>
      </c>
      <c r="M166" s="1">
        <f t="shared" si="50"/>
        <v>5.4403713215169674E-4</v>
      </c>
      <c r="N166" s="1">
        <f t="shared" si="42"/>
        <v>6.7846484629551632E-2</v>
      </c>
      <c r="O166" s="1">
        <f t="shared" si="51"/>
        <v>1.6856241658956515E-3</v>
      </c>
      <c r="P166" s="1">
        <f t="shared" si="53"/>
        <v>0.67846484629551629</v>
      </c>
      <c r="Q166" s="1">
        <f t="shared" si="52"/>
        <v>5.3304116432517767E-3</v>
      </c>
    </row>
    <row r="167" spans="1:17">
      <c r="A167" s="1">
        <v>8.5E-19</v>
      </c>
      <c r="B167" s="1">
        <f t="shared" si="35"/>
        <v>5.1348005650125391E-8</v>
      </c>
      <c r="C167" s="1">
        <f t="shared" si="43"/>
        <v>0.16430060380375749</v>
      </c>
      <c r="D167" s="1">
        <f t="shared" si="44"/>
        <v>1.0679539247244239E-2</v>
      </c>
      <c r="E167" s="1">
        <f t="shared" si="45"/>
        <v>5.6285279114656696E-4</v>
      </c>
      <c r="F167" s="1">
        <f t="shared" si="39"/>
        <v>6.4077235483465431E-2</v>
      </c>
      <c r="G167" s="1">
        <f t="shared" si="46"/>
        <v>1.8590190245064192E-3</v>
      </c>
      <c r="H167" s="1">
        <f t="shared" si="40"/>
        <v>0.64077235483465433</v>
      </c>
      <c r="I167" s="1">
        <f t="shared" si="47"/>
        <v>5.8787343310246617E-3</v>
      </c>
      <c r="J167" s="1">
        <f t="shared" si="48"/>
        <v>3.2038617741732716</v>
      </c>
      <c r="K167" s="1">
        <f t="shared" si="49"/>
        <v>2.9390501522195467E-2</v>
      </c>
      <c r="L167" s="1">
        <f t="shared" si="41"/>
        <v>1.0679539247244239E-2</v>
      </c>
      <c r="M167" s="1">
        <f t="shared" si="50"/>
        <v>5.138132206124155E-4</v>
      </c>
      <c r="N167" s="1">
        <f t="shared" si="42"/>
        <v>6.4077235483465431E-2</v>
      </c>
      <c r="O167" s="1">
        <f t="shared" si="51"/>
        <v>1.5919802308527818E-3</v>
      </c>
      <c r="P167" s="1">
        <f t="shared" si="53"/>
        <v>0.64077235483465433</v>
      </c>
      <c r="Q167" s="1">
        <f t="shared" si="52"/>
        <v>5.0342835194554505E-3</v>
      </c>
    </row>
    <row r="168" spans="1:17">
      <c r="A168" s="1">
        <v>7.9999999999999998E-19</v>
      </c>
      <c r="B168" s="1">
        <f t="shared" si="35"/>
        <v>4.8327534729529775E-8</v>
      </c>
      <c r="C168" s="1">
        <f t="shared" si="43"/>
        <v>0.15463586240353647</v>
      </c>
      <c r="D168" s="1">
        <f t="shared" si="44"/>
        <v>1.005133105622987E-2</v>
      </c>
      <c r="E168" s="1">
        <f t="shared" si="45"/>
        <v>5.2974426562645179E-4</v>
      </c>
      <c r="F168" s="1">
        <f t="shared" si="39"/>
        <v>6.0307986337379223E-2</v>
      </c>
      <c r="G168" s="1">
        <f t="shared" si="46"/>
        <v>1.7496677397393033E-3</v>
      </c>
      <c r="H168" s="1">
        <f t="shared" si="40"/>
        <v>0.60307986337379227</v>
      </c>
      <c r="I168" s="1">
        <f t="shared" si="47"/>
        <v>5.5329352060949017E-3</v>
      </c>
      <c r="J168" s="1">
        <f t="shared" si="48"/>
        <v>3.0153993168689612</v>
      </c>
      <c r="K168" s="1">
        <f t="shared" si="49"/>
        <v>2.7661867844958776E-2</v>
      </c>
      <c r="L168" s="1">
        <f t="shared" si="41"/>
        <v>1.005133105622987E-2</v>
      </c>
      <c r="M168" s="1">
        <f t="shared" si="50"/>
        <v>4.8358926512328263E-4</v>
      </c>
      <c r="N168" s="1">
        <f t="shared" si="42"/>
        <v>6.0307986337379223E-2</v>
      </c>
      <c r="O168" s="1">
        <f t="shared" si="51"/>
        <v>1.4983360779393673E-3</v>
      </c>
      <c r="P168" s="1">
        <f t="shared" si="53"/>
        <v>0.60307986337379227</v>
      </c>
      <c r="Q168" s="1">
        <f t="shared" si="52"/>
        <v>4.7381547066919693E-3</v>
      </c>
    </row>
    <row r="169" spans="1:17">
      <c r="A169" s="1">
        <v>7.4999999999999996E-19</v>
      </c>
      <c r="B169" s="1">
        <f t="shared" si="35"/>
        <v>4.5307063808934167E-8</v>
      </c>
      <c r="C169" s="1">
        <f t="shared" si="43"/>
        <v>0.14497112100331541</v>
      </c>
      <c r="D169" s="1">
        <f t="shared" si="44"/>
        <v>9.4231228652155025E-3</v>
      </c>
      <c r="E169" s="1">
        <f t="shared" si="45"/>
        <v>4.9663568233317221E-4</v>
      </c>
      <c r="F169" s="1">
        <f t="shared" si="39"/>
        <v>5.6538737191293015E-2</v>
      </c>
      <c r="G169" s="1">
        <f t="shared" si="46"/>
        <v>1.6403161080473247E-3</v>
      </c>
      <c r="H169" s="1">
        <f t="shared" si="40"/>
        <v>0.56538737191293009</v>
      </c>
      <c r="I169" s="1">
        <f t="shared" si="47"/>
        <v>5.1871349840923965E-3</v>
      </c>
      <c r="J169" s="1">
        <f t="shared" si="48"/>
        <v>2.8269368595646509</v>
      </c>
      <c r="K169" s="1">
        <f t="shared" si="49"/>
        <v>2.5933206753429271E-2</v>
      </c>
      <c r="L169" s="1">
        <f t="shared" si="41"/>
        <v>9.4231228652155025E-3</v>
      </c>
      <c r="M169" s="1">
        <f t="shared" si="50"/>
        <v>4.5336526568415437E-4</v>
      </c>
      <c r="N169" s="1">
        <f t="shared" si="42"/>
        <v>5.6538737191293015E-2</v>
      </c>
      <c r="O169" s="1">
        <f t="shared" si="51"/>
        <v>1.4046917071542679E-3</v>
      </c>
      <c r="P169" s="1">
        <f t="shared" si="53"/>
        <v>0.56538737191293009</v>
      </c>
      <c r="Q169" s="1">
        <f t="shared" si="52"/>
        <v>4.442025204957724E-3</v>
      </c>
    </row>
    <row r="170" spans="1:17">
      <c r="A170" s="1">
        <v>7.0000000000000003E-19</v>
      </c>
      <c r="B170" s="1">
        <f t="shared" si="35"/>
        <v>4.2286592888338551E-8</v>
      </c>
      <c r="C170" s="1">
        <f t="shared" si="43"/>
        <v>0.13530637960309438</v>
      </c>
      <c r="D170" s="1">
        <f t="shared" si="44"/>
        <v>8.7949146742011351E-3</v>
      </c>
      <c r="E170" s="1">
        <f t="shared" si="45"/>
        <v>4.6352704126650137E-4</v>
      </c>
      <c r="F170" s="1">
        <f t="shared" si="39"/>
        <v>5.2769488045206814E-2</v>
      </c>
      <c r="G170" s="1">
        <f t="shared" si="46"/>
        <v>1.5309641294280066E-3</v>
      </c>
      <c r="H170" s="1">
        <f t="shared" si="40"/>
        <v>0.52769488045206814</v>
      </c>
      <c r="I170" s="1">
        <f t="shared" si="47"/>
        <v>4.8413336650093173E-3</v>
      </c>
      <c r="J170" s="1">
        <f t="shared" si="48"/>
        <v>2.6384744022603406</v>
      </c>
      <c r="K170" s="1">
        <f t="shared" si="49"/>
        <v>2.4204518246628677E-2</v>
      </c>
      <c r="L170" s="1">
        <f t="shared" si="41"/>
        <v>8.7949146742011351E-3</v>
      </c>
      <c r="M170" s="1">
        <f t="shared" si="50"/>
        <v>4.2314122229488701E-4</v>
      </c>
      <c r="N170" s="1">
        <f t="shared" si="42"/>
        <v>5.2769488045206814E-2</v>
      </c>
      <c r="O170" s="1">
        <f t="shared" si="51"/>
        <v>1.3110471184963432E-3</v>
      </c>
      <c r="P170" s="1">
        <f t="shared" si="53"/>
        <v>0.52769488045206814</v>
      </c>
      <c r="Q170" s="1">
        <f t="shared" si="52"/>
        <v>4.1458950142491124E-3</v>
      </c>
    </row>
    <row r="171" spans="1:17">
      <c r="A171" s="1">
        <v>6.5000000000000001E-19</v>
      </c>
      <c r="B171" s="1">
        <f t="shared" si="35"/>
        <v>3.9266121967742942E-8</v>
      </c>
      <c r="C171" s="1">
        <f t="shared" si="43"/>
        <v>0.12564163820287338</v>
      </c>
      <c r="D171" s="1">
        <f t="shared" si="44"/>
        <v>8.1667064831867694E-3</v>
      </c>
      <c r="E171" s="1">
        <f t="shared" si="45"/>
        <v>4.3041834242621245E-4</v>
      </c>
      <c r="F171" s="1">
        <f t="shared" si="39"/>
        <v>4.900023889912062E-2</v>
      </c>
      <c r="G171" s="1">
        <f t="shared" si="46"/>
        <v>1.4216118038788725E-3</v>
      </c>
      <c r="H171" s="1">
        <f t="shared" si="40"/>
        <v>0.49000238899120618</v>
      </c>
      <c r="I171" s="1">
        <f t="shared" si="47"/>
        <v>4.4955312488378302E-3</v>
      </c>
      <c r="J171" s="1">
        <f t="shared" si="48"/>
        <v>2.4500119449560311</v>
      </c>
      <c r="K171" s="1">
        <f t="shared" si="49"/>
        <v>2.2475802323578674E-2</v>
      </c>
      <c r="L171" s="1">
        <f t="shared" si="41"/>
        <v>8.1667064831867694E-3</v>
      </c>
      <c r="M171" s="1">
        <f t="shared" si="50"/>
        <v>3.9291713495533673E-4</v>
      </c>
      <c r="N171" s="1">
        <f t="shared" si="42"/>
        <v>4.900023889912062E-2</v>
      </c>
      <c r="O171" s="1">
        <f t="shared" si="51"/>
        <v>1.2174023119644528E-3</v>
      </c>
      <c r="P171" s="1">
        <f t="shared" si="53"/>
        <v>0.49000238899120618</v>
      </c>
      <c r="Q171" s="1">
        <f t="shared" si="52"/>
        <v>3.8497641345625242E-3</v>
      </c>
    </row>
    <row r="172" spans="1:17">
      <c r="A172" s="1">
        <v>6.0000000000000104E-19</v>
      </c>
      <c r="B172" s="1">
        <f t="shared" ref="B172:B200" si="54">A172*$C$4/($C$2*$C$3/(1.2*10^-7))</f>
        <v>3.6245651047147399E-8</v>
      </c>
      <c r="C172" s="1">
        <f t="shared" si="43"/>
        <v>0.11597689680265255</v>
      </c>
      <c r="D172" s="1">
        <f t="shared" si="44"/>
        <v>7.5384982921724158E-3</v>
      </c>
      <c r="E172" s="1">
        <f t="shared" si="45"/>
        <v>3.9730958581207933E-4</v>
      </c>
      <c r="F172" s="1">
        <f t="shared" si="39"/>
        <v>4.5230989753034495E-2</v>
      </c>
      <c r="G172" s="1">
        <f t="shared" si="46"/>
        <v>1.3122591313974479E-3</v>
      </c>
      <c r="H172" s="1">
        <f t="shared" si="40"/>
        <v>0.45230989753034495</v>
      </c>
      <c r="I172" s="1">
        <f t="shared" si="47"/>
        <v>4.1497277355701115E-3</v>
      </c>
      <c r="J172" s="1">
        <f t="shared" si="48"/>
        <v>2.2615494876517248</v>
      </c>
      <c r="K172" s="1">
        <f t="shared" si="49"/>
        <v>2.0747058983300908E-2</v>
      </c>
      <c r="L172" s="1">
        <f t="shared" si="41"/>
        <v>7.5384982921724158E-3</v>
      </c>
      <c r="M172" s="1">
        <f t="shared" si="50"/>
        <v>3.6269300366536015E-4</v>
      </c>
      <c r="N172" s="1">
        <f t="shared" si="42"/>
        <v>4.5230989753034495E-2</v>
      </c>
      <c r="O172" s="1">
        <f t="shared" si="51"/>
        <v>1.1237572875574572E-3</v>
      </c>
      <c r="P172" s="1">
        <f t="shared" si="53"/>
        <v>0.45230989753034495</v>
      </c>
      <c r="Q172" s="1">
        <f t="shared" si="52"/>
        <v>3.5536325658943602E-3</v>
      </c>
    </row>
    <row r="173" spans="1:17">
      <c r="A173" s="1">
        <v>5.5000000000000102E-19</v>
      </c>
      <c r="B173" s="1">
        <f t="shared" si="54"/>
        <v>3.3225180126551784E-8</v>
      </c>
      <c r="C173" s="1">
        <f t="shared" si="43"/>
        <v>0.10631215540243152</v>
      </c>
      <c r="D173" s="1">
        <f t="shared" si="44"/>
        <v>6.9102901011580493E-3</v>
      </c>
      <c r="E173" s="1">
        <f t="shared" si="45"/>
        <v>3.6420077142387374E-4</v>
      </c>
      <c r="F173" s="1">
        <f t="shared" si="39"/>
        <v>4.1461740606948294E-2</v>
      </c>
      <c r="G173" s="1">
        <f t="shared" si="46"/>
        <v>1.2029061119812516E-3</v>
      </c>
      <c r="H173" s="1">
        <f t="shared" si="40"/>
        <v>0.41461740606948294</v>
      </c>
      <c r="I173" s="1">
        <f t="shared" si="47"/>
        <v>3.8039231251983151E-3</v>
      </c>
      <c r="J173" s="1">
        <f t="shared" si="48"/>
        <v>2.0730870303474145</v>
      </c>
      <c r="K173" s="1">
        <f t="shared" si="49"/>
        <v>1.9018288224816892E-2</v>
      </c>
      <c r="L173" s="1">
        <f t="shared" si="41"/>
        <v>6.9102901011580493E-3</v>
      </c>
      <c r="M173" s="1">
        <f t="shared" si="50"/>
        <v>3.3246882842481241E-4</v>
      </c>
      <c r="N173" s="1">
        <f t="shared" si="42"/>
        <v>4.1461740606948294E-2</v>
      </c>
      <c r="O173" s="1">
        <f t="shared" si="51"/>
        <v>1.0301120452742127E-3</v>
      </c>
      <c r="P173" s="1">
        <f t="shared" si="53"/>
        <v>0.41461740606948294</v>
      </c>
      <c r="Q173" s="1">
        <f t="shared" si="52"/>
        <v>3.2575003082410008E-3</v>
      </c>
    </row>
    <row r="174" spans="1:17">
      <c r="A174" s="1">
        <v>5.00000000000001E-19</v>
      </c>
      <c r="B174" s="1">
        <f t="shared" si="54"/>
        <v>3.0204709205956168E-8</v>
      </c>
      <c r="C174" s="1">
        <f t="shared" si="43"/>
        <v>9.6647414002210469E-2</v>
      </c>
      <c r="D174" s="1">
        <f t="shared" si="44"/>
        <v>6.282081910143681E-3</v>
      </c>
      <c r="E174" s="1">
        <f t="shared" si="45"/>
        <v>3.3109189926136946E-4</v>
      </c>
      <c r="F174" s="1">
        <f t="shared" si="39"/>
        <v>3.7692491460862086E-2</v>
      </c>
      <c r="G174" s="1">
        <f t="shared" si="46"/>
        <v>1.0935527456278095E-3</v>
      </c>
      <c r="H174" s="1">
        <f t="shared" si="40"/>
        <v>0.37692491460862088</v>
      </c>
      <c r="I174" s="1">
        <f t="shared" si="47"/>
        <v>3.4581174177146165E-3</v>
      </c>
      <c r="J174" s="1">
        <f t="shared" si="48"/>
        <v>1.8846245730431044</v>
      </c>
      <c r="K174" s="1">
        <f t="shared" si="49"/>
        <v>1.7289490047148172E-2</v>
      </c>
      <c r="L174" s="1">
        <f t="shared" si="41"/>
        <v>6.282081910143681E-3</v>
      </c>
      <c r="M174" s="1">
        <f t="shared" si="50"/>
        <v>3.0224460923355013E-4</v>
      </c>
      <c r="N174" s="1">
        <f t="shared" si="42"/>
        <v>3.7692491460862086E-2</v>
      </c>
      <c r="O174" s="1">
        <f t="shared" si="51"/>
        <v>9.3646658511358015E-4</v>
      </c>
      <c r="P174" s="1">
        <f t="shared" si="53"/>
        <v>0.37692491460862088</v>
      </c>
      <c r="Q174" s="1">
        <f t="shared" si="52"/>
        <v>2.9613673615988454E-3</v>
      </c>
    </row>
    <row r="175" spans="1:17">
      <c r="A175" s="1">
        <v>4.5000000000000098E-19</v>
      </c>
      <c r="B175" s="1">
        <f t="shared" si="54"/>
        <v>2.7184238285360559E-8</v>
      </c>
      <c r="C175" s="1">
        <f t="shared" si="43"/>
        <v>8.6982672601989469E-2</v>
      </c>
      <c r="D175" s="1">
        <f t="shared" si="44"/>
        <v>5.6538737191293154E-3</v>
      </c>
      <c r="E175" s="1">
        <f t="shared" si="45"/>
        <v>2.9798296932433989E-4</v>
      </c>
      <c r="F175" s="1">
        <f t="shared" si="39"/>
        <v>3.3923242314775892E-2</v>
      </c>
      <c r="G175" s="1">
        <f t="shared" si="46"/>
        <v>9.8419903233464522E-4</v>
      </c>
      <c r="H175" s="1">
        <f t="shared" si="40"/>
        <v>0.33923242314775892</v>
      </c>
      <c r="I175" s="1">
        <f t="shared" si="47"/>
        <v>3.1123106131111852E-3</v>
      </c>
      <c r="J175" s="1">
        <f t="shared" si="48"/>
        <v>1.6961621157387947</v>
      </c>
      <c r="K175" s="1">
        <f t="shared" si="49"/>
        <v>1.556066444931623E-2</v>
      </c>
      <c r="L175" s="1">
        <f t="shared" si="41"/>
        <v>5.6538737191293154E-3</v>
      </c>
      <c r="M175" s="1">
        <f t="shared" si="50"/>
        <v>2.7202034609142986E-4</v>
      </c>
      <c r="N175" s="1">
        <f t="shared" si="42"/>
        <v>3.3923242314775892E-2</v>
      </c>
      <c r="O175" s="1">
        <f t="shared" si="51"/>
        <v>8.428209070744199E-4</v>
      </c>
      <c r="P175" s="1">
        <f t="shared" si="53"/>
        <v>0.33923242314775892</v>
      </c>
      <c r="Q175" s="1">
        <f t="shared" si="52"/>
        <v>2.6652337259642877E-3</v>
      </c>
    </row>
    <row r="176" spans="1:17">
      <c r="A176" s="1">
        <v>4.00000000000001E-19</v>
      </c>
      <c r="B176" s="1">
        <f t="shared" si="54"/>
        <v>2.4163767364764951E-8</v>
      </c>
      <c r="C176" s="1">
        <f t="shared" si="43"/>
        <v>7.73179312017684E-2</v>
      </c>
      <c r="D176" s="1">
        <f t="shared" si="44"/>
        <v>5.0256655281149462E-3</v>
      </c>
      <c r="E176" s="1">
        <f t="shared" si="45"/>
        <v>2.6487398161255789E-4</v>
      </c>
      <c r="F176" s="1">
        <f t="shared" si="39"/>
        <v>3.0153993168689677E-2</v>
      </c>
      <c r="G176" s="1">
        <f t="shared" si="46"/>
        <v>8.7484497209928144E-4</v>
      </c>
      <c r="H176" s="1">
        <f t="shared" si="40"/>
        <v>0.30153993168689674</v>
      </c>
      <c r="I176" s="1">
        <f t="shared" si="47"/>
        <v>2.7665027113801866E-3</v>
      </c>
      <c r="J176" s="1">
        <f t="shared" si="48"/>
        <v>1.5076996584344839</v>
      </c>
      <c r="K176" s="1">
        <f t="shared" si="49"/>
        <v>1.3831811430342464E-2</v>
      </c>
      <c r="L176" s="1">
        <f t="shared" si="41"/>
        <v>5.0256655281149462E-3</v>
      </c>
      <c r="M176" s="1">
        <f t="shared" si="50"/>
        <v>2.4179603899830742E-4</v>
      </c>
      <c r="N176" s="1">
        <f t="shared" si="42"/>
        <v>3.0153993168689677E-2</v>
      </c>
      <c r="O176" s="1">
        <f t="shared" si="51"/>
        <v>7.4917501115559005E-4</v>
      </c>
      <c r="P176" s="1">
        <f t="shared" si="53"/>
        <v>0.30153993168689674</v>
      </c>
      <c r="Q176" s="1">
        <f t="shared" si="52"/>
        <v>2.3690994013337188E-3</v>
      </c>
    </row>
    <row r="177" spans="1:17">
      <c r="A177" s="1">
        <v>3.5000000000000098E-19</v>
      </c>
      <c r="B177" s="1">
        <f t="shared" si="54"/>
        <v>2.1143296444169335E-8</v>
      </c>
      <c r="C177" s="1">
        <f t="shared" si="43"/>
        <v>6.7653189801547386E-2</v>
      </c>
      <c r="D177" s="1">
        <f t="shared" si="44"/>
        <v>4.3974573371005805E-3</v>
      </c>
      <c r="E177" s="1">
        <f t="shared" si="45"/>
        <v>2.31764936125797E-4</v>
      </c>
      <c r="F177" s="1">
        <f t="shared" si="39"/>
        <v>2.6384744022603483E-2</v>
      </c>
      <c r="G177" s="1">
        <f t="shared" si="46"/>
        <v>7.6549056491924232E-4</v>
      </c>
      <c r="H177" s="1">
        <f t="shared" si="40"/>
        <v>0.26384744022603485</v>
      </c>
      <c r="I177" s="1">
        <f t="shared" si="47"/>
        <v>2.420693712513793E-3</v>
      </c>
      <c r="J177" s="1">
        <f t="shared" si="48"/>
        <v>1.3192372011301741</v>
      </c>
      <c r="K177" s="1">
        <f t="shared" si="49"/>
        <v>1.2102930989248259E-2</v>
      </c>
      <c r="L177" s="1">
        <f t="shared" si="41"/>
        <v>4.3974573371005805E-3</v>
      </c>
      <c r="M177" s="1">
        <f t="shared" si="50"/>
        <v>2.1157168795403935E-4</v>
      </c>
      <c r="N177" s="1">
        <f t="shared" si="42"/>
        <v>2.6384744022603483E-2</v>
      </c>
      <c r="O177" s="1">
        <f t="shared" si="51"/>
        <v>6.5552889735595132E-4</v>
      </c>
      <c r="P177" s="1">
        <f t="shared" si="53"/>
        <v>0.26384744022603485</v>
      </c>
      <c r="Q177" s="1">
        <f t="shared" si="52"/>
        <v>2.0729643877035356E-3</v>
      </c>
    </row>
    <row r="178" spans="1:17">
      <c r="A178" s="1">
        <v>3.00000000000001E-19</v>
      </c>
      <c r="B178" s="1">
        <f t="shared" si="54"/>
        <v>1.8122825523573726E-8</v>
      </c>
      <c r="C178" s="1">
        <f t="shared" si="43"/>
        <v>5.7988448401326359E-2</v>
      </c>
      <c r="D178" s="1">
        <f t="shared" si="44"/>
        <v>3.7692491460862136E-3</v>
      </c>
      <c r="E178" s="1">
        <f t="shared" si="45"/>
        <v>1.9865583286383007E-4</v>
      </c>
      <c r="F178" s="1">
        <f t="shared" si="39"/>
        <v>2.2615494876517282E-2</v>
      </c>
      <c r="G178" s="1">
        <f t="shared" si="46"/>
        <v>6.5613581079205065E-4</v>
      </c>
      <c r="H178" s="1">
        <f t="shared" si="40"/>
        <v>0.22615494876517284</v>
      </c>
      <c r="I178" s="1">
        <f t="shared" si="47"/>
        <v>2.0748836165041689E-3</v>
      </c>
      <c r="J178" s="1">
        <f t="shared" si="48"/>
        <v>1.1307747438258642</v>
      </c>
      <c r="K178" s="1">
        <f t="shared" si="49"/>
        <v>1.0374023125054917E-2</v>
      </c>
      <c r="L178" s="1">
        <f t="shared" si="41"/>
        <v>3.7692491460862136E-3</v>
      </c>
      <c r="M178" s="1">
        <f t="shared" si="50"/>
        <v>1.8134729295848161E-4</v>
      </c>
      <c r="N178" s="1">
        <f t="shared" si="42"/>
        <v>2.2615494876517282E-2</v>
      </c>
      <c r="O178" s="1">
        <f t="shared" si="51"/>
        <v>5.6188256567436237E-4</v>
      </c>
      <c r="P178" s="1">
        <f t="shared" si="53"/>
        <v>0.22615494876517284</v>
      </c>
      <c r="Q178" s="1">
        <f t="shared" si="52"/>
        <v>1.7768286850701287E-3</v>
      </c>
    </row>
    <row r="179" spans="1:17">
      <c r="A179" s="1">
        <v>2.5000000000000098E-19</v>
      </c>
      <c r="B179" s="1">
        <f t="shared" si="54"/>
        <v>1.5102354602978114E-8</v>
      </c>
      <c r="C179" s="1">
        <f t="shared" si="43"/>
        <v>4.8323707001105332E-2</v>
      </c>
      <c r="D179" s="1">
        <f t="shared" si="44"/>
        <v>3.141040955071847E-3</v>
      </c>
      <c r="E179" s="1">
        <f t="shared" si="45"/>
        <v>1.6554667182643037E-4</v>
      </c>
      <c r="F179" s="1">
        <f t="shared" si="39"/>
        <v>1.8846245730431081E-2</v>
      </c>
      <c r="G179" s="1">
        <f t="shared" si="46"/>
        <v>5.4678070971523002E-4</v>
      </c>
      <c r="H179" s="1">
        <f t="shared" si="40"/>
        <v>0.18846245730431083</v>
      </c>
      <c r="I179" s="1">
        <f t="shared" si="47"/>
        <v>1.7290724233434832E-3</v>
      </c>
      <c r="J179" s="1">
        <f t="shared" si="48"/>
        <v>0.94231228652155408</v>
      </c>
      <c r="K179" s="1">
        <f t="shared" si="49"/>
        <v>8.6450878367837006E-3</v>
      </c>
      <c r="L179" s="1">
        <f t="shared" si="41"/>
        <v>3.141040955071847E-3</v>
      </c>
      <c r="M179" s="1">
        <f t="shared" si="50"/>
        <v>1.5112285401149049E-4</v>
      </c>
      <c r="N179" s="1">
        <f t="shared" si="42"/>
        <v>1.8846245730431081E-2</v>
      </c>
      <c r="O179" s="1">
        <f t="shared" si="51"/>
        <v>4.6823601610968273E-4</v>
      </c>
      <c r="P179" s="1">
        <f t="shared" si="53"/>
        <v>0.18846245730431083</v>
      </c>
      <c r="Q179" s="1">
        <f t="shared" si="52"/>
        <v>1.4806922934298911E-3</v>
      </c>
    </row>
    <row r="180" spans="1:17">
      <c r="A180" s="1">
        <v>2.0000000000000101E-19</v>
      </c>
      <c r="B180" s="1">
        <f t="shared" si="54"/>
        <v>1.2081883682382503E-8</v>
      </c>
      <c r="C180" s="1">
        <f t="shared" si="43"/>
        <v>3.8658965600884304E-2</v>
      </c>
      <c r="D180" s="1">
        <f t="shared" si="44"/>
        <v>2.5128327640574796E-3</v>
      </c>
      <c r="E180" s="1">
        <f t="shared" si="45"/>
        <v>1.3243745301337102E-4</v>
      </c>
      <c r="F180" s="1">
        <f t="shared" si="39"/>
        <v>1.5076996584344879E-2</v>
      </c>
      <c r="G180" s="1">
        <f t="shared" si="46"/>
        <v>4.3742526168630324E-4</v>
      </c>
      <c r="H180" s="1">
        <f t="shared" si="40"/>
        <v>0.15076996584344879</v>
      </c>
      <c r="I180" s="1">
        <f t="shared" si="47"/>
        <v>1.383260133023904E-3</v>
      </c>
      <c r="J180" s="1">
        <f t="shared" si="48"/>
        <v>0.75384982921724397</v>
      </c>
      <c r="K180" s="1">
        <f t="shared" si="49"/>
        <v>6.9161251234558189E-3</v>
      </c>
      <c r="L180" s="1">
        <f t="shared" si="41"/>
        <v>2.5128327640574796E-3</v>
      </c>
      <c r="M180" s="1">
        <f t="shared" si="50"/>
        <v>1.2089837111292214E-4</v>
      </c>
      <c r="N180" s="1">
        <f t="shared" si="42"/>
        <v>1.5076996584344879E-2</v>
      </c>
      <c r="O180" s="1">
        <f t="shared" si="51"/>
        <v>3.7458924866077165E-4</v>
      </c>
      <c r="P180" s="1">
        <f t="shared" si="53"/>
        <v>0.15076996584344879</v>
      </c>
      <c r="Q180" s="1">
        <f t="shared" si="52"/>
        <v>1.1845552127792162E-3</v>
      </c>
    </row>
    <row r="181" spans="1:17">
      <c r="A181" s="1">
        <v>1.5000000000000101E-19</v>
      </c>
      <c r="B181" s="1">
        <f t="shared" si="54"/>
        <v>9.0614127617868945E-9</v>
      </c>
      <c r="C181" s="1">
        <f t="shared" si="43"/>
        <v>2.8994224200663284E-2</v>
      </c>
      <c r="D181" s="1">
        <f t="shared" si="44"/>
        <v>1.8846245730431135E-3</v>
      </c>
      <c r="E181" s="1">
        <f t="shared" si="45"/>
        <v>9.9328176424425289E-5</v>
      </c>
      <c r="F181" s="1">
        <f t="shared" si="39"/>
        <v>1.1307747438258681E-2</v>
      </c>
      <c r="G181" s="1">
        <f t="shared" si="46"/>
        <v>3.2806946670279409E-4</v>
      </c>
      <c r="H181" s="1">
        <f t="shared" si="40"/>
        <v>0.11307747438258681</v>
      </c>
      <c r="I181" s="1">
        <f t="shared" si="47"/>
        <v>1.0374467455375996E-3</v>
      </c>
      <c r="J181" s="1">
        <f t="shared" si="48"/>
        <v>0.56538737191293409</v>
      </c>
      <c r="K181" s="1">
        <f t="shared" si="49"/>
        <v>5.1871349840924329E-3</v>
      </c>
      <c r="L181" s="1">
        <f t="shared" si="41"/>
        <v>1.8846245730431135E-3</v>
      </c>
      <c r="M181" s="1">
        <f t="shared" si="50"/>
        <v>9.0673844262632817E-5</v>
      </c>
      <c r="N181" s="1">
        <f t="shared" si="42"/>
        <v>1.1307747438258681E-2</v>
      </c>
      <c r="O181" s="1">
        <f t="shared" si="51"/>
        <v>2.8094226332648882E-4</v>
      </c>
      <c r="P181" s="1">
        <f t="shared" si="53"/>
        <v>0.11307747438258681</v>
      </c>
      <c r="Q181" s="1">
        <f t="shared" si="52"/>
        <v>8.8841744311449775E-4</v>
      </c>
    </row>
    <row r="182" spans="1:17">
      <c r="A182" s="1">
        <v>1.00000000000001E-19</v>
      </c>
      <c r="B182" s="1">
        <f t="shared" si="54"/>
        <v>6.0409418411912823E-9</v>
      </c>
      <c r="C182" s="1">
        <f t="shared" si="43"/>
        <v>1.9329482800442246E-2</v>
      </c>
      <c r="D182" s="1">
        <f t="shared" si="44"/>
        <v>1.2564163820287459E-3</v>
      </c>
      <c r="E182" s="1">
        <f t="shared" si="45"/>
        <v>6.6218842059366146E-5</v>
      </c>
      <c r="F182" s="1">
        <f t="shared" si="39"/>
        <v>7.5384982921724757E-3</v>
      </c>
      <c r="G182" s="1">
        <f t="shared" si="46"/>
        <v>2.1871332476222519E-4</v>
      </c>
      <c r="H182" s="1">
        <f t="shared" si="40"/>
        <v>7.5384982921724755E-2</v>
      </c>
      <c r="I182" s="1">
        <f t="shared" si="47"/>
        <v>6.9163226087673641E-4</v>
      </c>
      <c r="J182" s="1">
        <f t="shared" si="48"/>
        <v>0.37692491460862376</v>
      </c>
      <c r="K182" s="1">
        <f t="shared" si="49"/>
        <v>3.458117417714643E-3</v>
      </c>
      <c r="L182" s="1">
        <f t="shared" si="41"/>
        <v>1.2564163820287459E-3</v>
      </c>
      <c r="M182" s="1">
        <f t="shared" si="50"/>
        <v>6.044927346047861E-5</v>
      </c>
      <c r="N182" s="1">
        <f t="shared" si="42"/>
        <v>7.5384982921724757E-3</v>
      </c>
      <c r="O182" s="1">
        <f t="shared" si="51"/>
        <v>1.8729506010569318E-4</v>
      </c>
      <c r="P182" s="1">
        <f t="shared" si="53"/>
        <v>7.5384982921724755E-2</v>
      </c>
      <c r="Q182" s="1">
        <f t="shared" si="52"/>
        <v>5.9227898443212751E-4</v>
      </c>
    </row>
    <row r="183" spans="1:17">
      <c r="A183" s="1">
        <v>9.5E-20</v>
      </c>
      <c r="B183" s="1">
        <f t="shared" si="54"/>
        <v>5.7388947491316602E-9</v>
      </c>
      <c r="C183" s="1">
        <f t="shared" si="43"/>
        <v>1.8363008660419955E-2</v>
      </c>
      <c r="D183" s="1">
        <f t="shared" si="44"/>
        <v>1.193595562927297E-3</v>
      </c>
      <c r="E183" s="1">
        <f t="shared" si="45"/>
        <v>6.2907905445164618E-5</v>
      </c>
      <c r="F183" s="1">
        <f t="shared" si="39"/>
        <v>7.1615733775637824E-3</v>
      </c>
      <c r="G183" s="1">
        <f t="shared" si="46"/>
        <v>2.0777769148543258E-4</v>
      </c>
      <c r="H183" s="1">
        <f t="shared" si="40"/>
        <v>7.1615733775637819E-2</v>
      </c>
      <c r="I183" s="1">
        <f t="shared" si="47"/>
        <v>6.5705075206574112E-4</v>
      </c>
      <c r="J183" s="1">
        <f t="shared" si="48"/>
        <v>0.35807866887818912</v>
      </c>
      <c r="K183" s="1">
        <f t="shared" si="49"/>
        <v>3.28521415255335E-3</v>
      </c>
      <c r="L183" s="1">
        <f t="shared" si="41"/>
        <v>1.193595562927297E-3</v>
      </c>
      <c r="M183" s="1">
        <f t="shared" si="50"/>
        <v>5.7426813962904499E-5</v>
      </c>
      <c r="N183" s="1">
        <f t="shared" si="42"/>
        <v>7.1615733775637824E-3</v>
      </c>
      <c r="O183" s="1">
        <f t="shared" si="51"/>
        <v>1.7793032779980973E-4</v>
      </c>
      <c r="P183" s="1">
        <f t="shared" si="53"/>
        <v>7.1615733775637819E-2</v>
      </c>
      <c r="Q183" s="1">
        <f t="shared" si="52"/>
        <v>5.6266510066777496E-4</v>
      </c>
    </row>
    <row r="184" spans="1:17">
      <c r="A184" s="1">
        <v>9.0000000000000003E-20</v>
      </c>
      <c r="B184" s="1">
        <f t="shared" si="54"/>
        <v>5.4368476570721001E-9</v>
      </c>
      <c r="C184" s="1">
        <f t="shared" si="43"/>
        <v>1.7396534520397852E-2</v>
      </c>
      <c r="D184" s="1">
        <f t="shared" si="44"/>
        <v>1.1307747438258603E-3</v>
      </c>
      <c r="E184" s="1">
        <f t="shared" si="45"/>
        <v>5.9596968253200121E-5</v>
      </c>
      <c r="F184" s="1">
        <f t="shared" si="39"/>
        <v>6.7846484629551619E-3</v>
      </c>
      <c r="G184" s="1">
        <f t="shared" si="46"/>
        <v>1.9684205473904424E-4</v>
      </c>
      <c r="H184" s="1">
        <f t="shared" si="40"/>
        <v>6.7846484629551618E-2</v>
      </c>
      <c r="I184" s="1">
        <f t="shared" si="47"/>
        <v>6.2246923228292082E-4</v>
      </c>
      <c r="J184" s="1">
        <f t="shared" si="48"/>
        <v>0.33923242314775809</v>
      </c>
      <c r="K184" s="1">
        <f t="shared" si="49"/>
        <v>3.1123106131111774E-3</v>
      </c>
      <c r="L184" s="1">
        <f t="shared" si="41"/>
        <v>1.1307747438258603E-3</v>
      </c>
      <c r="M184" s="1">
        <f t="shared" si="50"/>
        <v>5.4404354025810745E-5</v>
      </c>
      <c r="N184" s="1">
        <f t="shared" si="42"/>
        <v>6.7846484629551619E-3</v>
      </c>
      <c r="O184" s="1">
        <f t="shared" si="51"/>
        <v>1.6856559331505038E-4</v>
      </c>
      <c r="P184" s="1">
        <f t="shared" si="53"/>
        <v>6.7846484629551618E-2</v>
      </c>
      <c r="Q184" s="1">
        <f t="shared" si="52"/>
        <v>5.3305121001321211E-4</v>
      </c>
    </row>
    <row r="185" spans="1:17">
      <c r="A185" s="1">
        <v>8.5000000000000005E-20</v>
      </c>
      <c r="B185" s="1">
        <f t="shared" si="54"/>
        <v>5.1348005650125393E-9</v>
      </c>
      <c r="C185" s="1">
        <f t="shared" si="43"/>
        <v>1.6430060380375748E-2</v>
      </c>
      <c r="D185" s="1">
        <f t="shared" si="44"/>
        <v>1.0679539247244237E-3</v>
      </c>
      <c r="E185" s="1">
        <f t="shared" si="45"/>
        <v>5.6286030483471768E-5</v>
      </c>
      <c r="F185" s="1">
        <f t="shared" si="39"/>
        <v>6.4077235483465424E-3</v>
      </c>
      <c r="G185" s="1">
        <f t="shared" si="46"/>
        <v>1.8590641452305559E-4</v>
      </c>
      <c r="H185" s="1">
        <f t="shared" si="40"/>
        <v>6.4077235483465417E-2</v>
      </c>
      <c r="I185" s="1">
        <f t="shared" si="47"/>
        <v>5.8788770152826098E-4</v>
      </c>
      <c r="J185" s="1">
        <f t="shared" si="48"/>
        <v>0.32038617741732711</v>
      </c>
      <c r="K185" s="1">
        <f t="shared" si="49"/>
        <v>2.9394067993871141E-3</v>
      </c>
      <c r="L185" s="1">
        <f t="shared" si="41"/>
        <v>1.0679539247244237E-3</v>
      </c>
      <c r="M185" s="1">
        <f t="shared" si="50"/>
        <v>5.1381893649196636E-5</v>
      </c>
      <c r="N185" s="1">
        <f t="shared" si="42"/>
        <v>6.4077235483465424E-3</v>
      </c>
      <c r="O185" s="1">
        <f t="shared" si="51"/>
        <v>1.5920085665141226E-4</v>
      </c>
      <c r="P185" s="1">
        <f t="shared" si="53"/>
        <v>6.4077235483465417E-2</v>
      </c>
      <c r="Q185" s="1">
        <f t="shared" si="52"/>
        <v>5.0343731246842941E-4</v>
      </c>
    </row>
    <row r="186" spans="1:17">
      <c r="A186" s="1">
        <v>7.9999999999999996E-20</v>
      </c>
      <c r="B186" s="1">
        <f t="shared" si="54"/>
        <v>4.8327534729529775E-9</v>
      </c>
      <c r="C186" s="1">
        <f t="shared" si="43"/>
        <v>1.5463586240353648E-2</v>
      </c>
      <c r="D186" s="1">
        <f t="shared" si="44"/>
        <v>1.0051331056229872E-3</v>
      </c>
      <c r="E186" s="1">
        <f t="shared" si="45"/>
        <v>5.2975092135979334E-5</v>
      </c>
      <c r="F186" s="1">
        <f t="shared" si="39"/>
        <v>6.0307986337379228E-3</v>
      </c>
      <c r="G186" s="1">
        <f t="shared" si="46"/>
        <v>1.7497077083746419E-4</v>
      </c>
      <c r="H186" s="1">
        <f t="shared" si="40"/>
        <v>6.030798633737923E-2</v>
      </c>
      <c r="I186" s="1">
        <f t="shared" si="47"/>
        <v>5.5330615980175391E-4</v>
      </c>
      <c r="J186" s="1">
        <f t="shared" si="48"/>
        <v>0.30153993168689613</v>
      </c>
      <c r="K186" s="1">
        <f t="shared" si="49"/>
        <v>2.766502711380181E-3</v>
      </c>
      <c r="L186" s="1">
        <f t="shared" si="41"/>
        <v>1.0051331056229872E-3</v>
      </c>
      <c r="M186" s="1">
        <f t="shared" si="50"/>
        <v>4.8359432833062003E-5</v>
      </c>
      <c r="N186" s="1">
        <f t="shared" si="42"/>
        <v>6.0307986337379228E-3</v>
      </c>
      <c r="O186" s="1">
        <f t="shared" si="51"/>
        <v>1.4983611780889418E-4</v>
      </c>
      <c r="P186" s="1">
        <f t="shared" si="53"/>
        <v>6.030798633737923E-2</v>
      </c>
      <c r="Q186" s="1">
        <f t="shared" si="52"/>
        <v>4.7382340803342346E-4</v>
      </c>
    </row>
    <row r="187" spans="1:17">
      <c r="A187" s="1">
        <v>7.4999999999999998E-20</v>
      </c>
      <c r="B187" s="1">
        <f t="shared" si="54"/>
        <v>4.5307063808934158E-9</v>
      </c>
      <c r="C187" s="1">
        <f t="shared" si="43"/>
        <v>1.4497112100331545E-2</v>
      </c>
      <c r="D187" s="1">
        <f t="shared" si="44"/>
        <v>9.4231228652155035E-4</v>
      </c>
      <c r="E187" s="1">
        <f t="shared" si="45"/>
        <v>4.9664153210722583E-5</v>
      </c>
      <c r="F187" s="1">
        <f t="shared" si="39"/>
        <v>5.6538737191293023E-3</v>
      </c>
      <c r="G187" s="1">
        <f t="shared" si="46"/>
        <v>1.6403512368226746E-4</v>
      </c>
      <c r="H187" s="1">
        <f t="shared" si="40"/>
        <v>5.6538737191293022E-2</v>
      </c>
      <c r="I187" s="1">
        <f t="shared" si="47"/>
        <v>5.1872460710339135E-4</v>
      </c>
      <c r="J187" s="1">
        <f t="shared" si="48"/>
        <v>0.2826936859564651</v>
      </c>
      <c r="K187" s="1">
        <f t="shared" si="49"/>
        <v>2.5935983490893975E-3</v>
      </c>
      <c r="L187" s="1">
        <f t="shared" si="41"/>
        <v>9.4231228652155035E-4</v>
      </c>
      <c r="M187" s="1">
        <f t="shared" si="50"/>
        <v>4.533697157740669E-5</v>
      </c>
      <c r="N187" s="1">
        <f t="shared" si="42"/>
        <v>5.6538737191293023E-3</v>
      </c>
      <c r="O187" s="1">
        <f t="shared" si="51"/>
        <v>1.4047137678749495E-4</v>
      </c>
      <c r="P187" s="1">
        <f t="shared" si="53"/>
        <v>5.6538737191293022E-2</v>
      </c>
      <c r="Q187" s="1">
        <f t="shared" si="52"/>
        <v>4.4420949670819035E-4</v>
      </c>
    </row>
    <row r="188" spans="1:17">
      <c r="A188" s="1">
        <v>7.0000000000000001E-20</v>
      </c>
      <c r="B188" s="1">
        <f t="shared" si="54"/>
        <v>4.2286592888338558E-9</v>
      </c>
      <c r="C188" s="1">
        <f t="shared" si="43"/>
        <v>1.3530637960309439E-2</v>
      </c>
      <c r="D188" s="1">
        <f t="shared" si="44"/>
        <v>8.7949146742011361E-4</v>
      </c>
      <c r="E188" s="1">
        <f t="shared" si="45"/>
        <v>4.635321370770129E-5</v>
      </c>
      <c r="F188" s="1">
        <f t="shared" si="39"/>
        <v>5.2769488045206819E-3</v>
      </c>
      <c r="G188" s="1">
        <f t="shared" si="46"/>
        <v>1.5309947305746296E-4</v>
      </c>
      <c r="H188" s="1">
        <f t="shared" si="40"/>
        <v>5.2769488045206821E-2</v>
      </c>
      <c r="I188" s="1">
        <f t="shared" si="47"/>
        <v>4.8414304343316584E-4</v>
      </c>
      <c r="J188" s="1">
        <f t="shared" si="48"/>
        <v>0.26384744022603407</v>
      </c>
      <c r="K188" s="1">
        <f t="shared" si="49"/>
        <v>2.4206937125137856E-3</v>
      </c>
      <c r="L188" s="1">
        <f t="shared" si="41"/>
        <v>8.7949146742011361E-4</v>
      </c>
      <c r="M188" s="1">
        <f t="shared" si="50"/>
        <v>4.2314509882230582E-5</v>
      </c>
      <c r="N188" s="1">
        <f t="shared" si="42"/>
        <v>5.2769488045206819E-3</v>
      </c>
      <c r="O188" s="1">
        <f t="shared" si="51"/>
        <v>1.3110663358721351E-4</v>
      </c>
      <c r="P188" s="1">
        <f t="shared" si="53"/>
        <v>5.2769488045206821E-2</v>
      </c>
      <c r="Q188" s="1">
        <f t="shared" si="52"/>
        <v>4.1459557849272662E-4</v>
      </c>
    </row>
    <row r="189" spans="1:17">
      <c r="A189" s="1">
        <v>6.5000000000000003E-20</v>
      </c>
      <c r="B189" s="1">
        <f t="shared" si="54"/>
        <v>3.9266121967742949E-9</v>
      </c>
      <c r="C189" s="1">
        <f t="shared" si="43"/>
        <v>1.2564163820287338E-2</v>
      </c>
      <c r="D189" s="1">
        <f t="shared" si="44"/>
        <v>8.1667064831867709E-4</v>
      </c>
      <c r="E189" s="1">
        <f t="shared" si="45"/>
        <v>4.3042273626915253E-5</v>
      </c>
      <c r="F189" s="1">
        <f t="shared" si="39"/>
        <v>4.9000238899120623E-3</v>
      </c>
      <c r="G189" s="1">
        <f t="shared" si="46"/>
        <v>1.4216381896304831E-4</v>
      </c>
      <c r="H189" s="1">
        <f t="shared" si="40"/>
        <v>4.9000238899120627E-2</v>
      </c>
      <c r="I189" s="1">
        <f t="shared" si="47"/>
        <v>4.4956146879106945E-4</v>
      </c>
      <c r="J189" s="1">
        <f t="shared" si="48"/>
        <v>0.24500119449560312</v>
      </c>
      <c r="K189" s="1">
        <f t="shared" si="49"/>
        <v>2.2477888016523674E-3</v>
      </c>
      <c r="L189" s="1">
        <f t="shared" si="41"/>
        <v>8.1667064831867709E-4</v>
      </c>
      <c r="M189" s="1">
        <f t="shared" si="50"/>
        <v>3.9292047747533536E-5</v>
      </c>
      <c r="N189" s="1">
        <f t="shared" si="42"/>
        <v>4.9000238899120623E-3</v>
      </c>
      <c r="O189" s="1">
        <f t="shared" si="51"/>
        <v>1.2174188820804872E-4</v>
      </c>
      <c r="P189" s="1">
        <f t="shared" si="53"/>
        <v>4.9000238899120627E-2</v>
      </c>
      <c r="Q189" s="1">
        <f t="shared" si="52"/>
        <v>3.8498165338702873E-4</v>
      </c>
    </row>
    <row r="190" spans="1:17">
      <c r="A190" s="1">
        <v>6.0000000000000006E-20</v>
      </c>
      <c r="B190" s="1">
        <f t="shared" si="54"/>
        <v>3.6245651047147336E-9</v>
      </c>
      <c r="C190" s="1">
        <f t="shared" si="43"/>
        <v>1.1597689680265236E-2</v>
      </c>
      <c r="D190" s="1">
        <f t="shared" si="44"/>
        <v>7.5384982921724035E-4</v>
      </c>
      <c r="E190" s="1">
        <f t="shared" si="45"/>
        <v>3.9731332968364214E-5</v>
      </c>
      <c r="F190" s="1">
        <f t="shared" si="39"/>
        <v>4.5230989753034419E-3</v>
      </c>
      <c r="G190" s="1">
        <f t="shared" si="46"/>
        <v>1.3122816139902088E-4</v>
      </c>
      <c r="H190" s="1">
        <f t="shared" si="40"/>
        <v>4.5230989753034419E-2</v>
      </c>
      <c r="I190" s="1">
        <f t="shared" si="47"/>
        <v>4.1497988317709423E-4</v>
      </c>
      <c r="J190" s="1">
        <f t="shared" si="48"/>
        <v>0.22615494876517209</v>
      </c>
      <c r="K190" s="1">
        <f t="shared" si="49"/>
        <v>2.074883616504162E-3</v>
      </c>
      <c r="L190" s="1">
        <f t="shared" ref="L190:L200" si="55">C190*$C$11/6</f>
        <v>7.5384982921724035E-4</v>
      </c>
      <c r="M190" s="1">
        <f t="shared" si="50"/>
        <v>3.6269585173315384E-5</v>
      </c>
      <c r="N190" s="1">
        <f t="shared" ref="N190:N200" si="56">C190*$C$11*1</f>
        <v>4.5230989753034419E-3</v>
      </c>
      <c r="O190" s="1">
        <f t="shared" si="51"/>
        <v>1.123771406499994E-4</v>
      </c>
      <c r="P190" s="1">
        <f t="shared" si="53"/>
        <v>4.5230989753034419E-2</v>
      </c>
      <c r="Q190" s="1">
        <f t="shared" si="52"/>
        <v>3.5536772139109295E-4</v>
      </c>
    </row>
    <row r="191" spans="1:17">
      <c r="A191" s="1">
        <v>5.4999999999999996E-20</v>
      </c>
      <c r="B191" s="1">
        <f t="shared" si="54"/>
        <v>3.3225180126551719E-9</v>
      </c>
      <c r="C191" s="1">
        <f t="shared" si="43"/>
        <v>1.0631215540243133E-2</v>
      </c>
      <c r="D191" s="1">
        <f t="shared" si="44"/>
        <v>6.9102901011580372E-4</v>
      </c>
      <c r="E191" s="1">
        <f t="shared" si="45"/>
        <v>3.6420391732047964E-5</v>
      </c>
      <c r="F191" s="1">
        <f t="shared" si="39"/>
        <v>4.1461740606948223E-3</v>
      </c>
      <c r="G191" s="1">
        <f t="shared" si="46"/>
        <v>1.2029250036537836E-4</v>
      </c>
      <c r="H191" s="1">
        <f t="shared" si="40"/>
        <v>4.1461740606948225E-2</v>
      </c>
      <c r="I191" s="1">
        <f t="shared" si="47"/>
        <v>3.8039828659123257E-4</v>
      </c>
      <c r="J191" s="1">
        <f t="shared" si="48"/>
        <v>0.20730870303474111</v>
      </c>
      <c r="K191" s="1">
        <f t="shared" si="49"/>
        <v>1.9019781570681917E-3</v>
      </c>
      <c r="L191" s="1">
        <f t="shared" si="55"/>
        <v>6.9102901011580372E-4</v>
      </c>
      <c r="M191" s="1">
        <f t="shared" si="50"/>
        <v>3.3247122159576002E-5</v>
      </c>
      <c r="N191" s="1">
        <f t="shared" si="56"/>
        <v>4.1461740606948223E-3</v>
      </c>
      <c r="O191" s="1">
        <f t="shared" si="51"/>
        <v>1.0301239091306443E-4</v>
      </c>
      <c r="P191" s="1">
        <f t="shared" si="53"/>
        <v>4.1461740606948225E-2</v>
      </c>
      <c r="Q191" s="1">
        <f t="shared" si="52"/>
        <v>3.2575378250491581E-4</v>
      </c>
    </row>
    <row r="192" spans="1:17">
      <c r="A192" s="1">
        <v>4.9999999999999999E-20</v>
      </c>
      <c r="B192" s="1">
        <f t="shared" si="54"/>
        <v>3.020470920595611E-9</v>
      </c>
      <c r="C192" s="1">
        <f t="shared" si="43"/>
        <v>9.6647414002210292E-3</v>
      </c>
      <c r="D192" s="1">
        <f t="shared" si="44"/>
        <v>6.2820819101436687E-4</v>
      </c>
      <c r="E192" s="1">
        <f t="shared" si="45"/>
        <v>3.3109449917966257E-5</v>
      </c>
      <c r="F192" s="1">
        <f t="shared" si="39"/>
        <v>3.7692491460862014E-3</v>
      </c>
      <c r="G192" s="1">
        <f t="shared" si="46"/>
        <v>1.0935683586211809E-4</v>
      </c>
      <c r="H192" s="1">
        <f t="shared" si="40"/>
        <v>3.7692491460862017E-2</v>
      </c>
      <c r="I192" s="1">
        <f t="shared" si="47"/>
        <v>3.4581667903347635E-4</v>
      </c>
      <c r="J192" s="1">
        <f t="shared" si="48"/>
        <v>0.18846245730431008</v>
      </c>
      <c r="K192" s="1">
        <f t="shared" si="49"/>
        <v>1.7290724233434765E-3</v>
      </c>
      <c r="L192" s="1">
        <f t="shared" si="55"/>
        <v>6.2820819101436687E-4</v>
      </c>
      <c r="M192" s="1">
        <f t="shared" si="50"/>
        <v>3.0224658706315229E-5</v>
      </c>
      <c r="N192" s="1">
        <f t="shared" si="56"/>
        <v>3.7692491460862014E-3</v>
      </c>
      <c r="O192" s="1">
        <f t="shared" si="51"/>
        <v>9.3647638997242645E-5</v>
      </c>
      <c r="P192" s="1">
        <f t="shared" si="53"/>
        <v>3.7692491460862017E-2</v>
      </c>
      <c r="Q192" s="1">
        <f t="shared" si="52"/>
        <v>2.9613983672849352E-4</v>
      </c>
    </row>
    <row r="193" spans="1:17">
      <c r="A193" s="1">
        <v>4.5000000000000001E-20</v>
      </c>
      <c r="B193" s="1">
        <f t="shared" si="54"/>
        <v>2.7184238285360501E-9</v>
      </c>
      <c r="C193" s="1">
        <f t="shared" si="43"/>
        <v>8.6982672601989258E-3</v>
      </c>
      <c r="D193" s="1">
        <f t="shared" si="44"/>
        <v>5.6538737191293013E-4</v>
      </c>
      <c r="E193" s="1">
        <f t="shared" si="45"/>
        <v>2.9798507526118881E-5</v>
      </c>
      <c r="F193" s="1">
        <f t="shared" si="39"/>
        <v>3.392324231477581E-3</v>
      </c>
      <c r="G193" s="1">
        <f t="shared" si="46"/>
        <v>9.8421167889237735E-5</v>
      </c>
      <c r="H193" s="1">
        <f t="shared" si="40"/>
        <v>3.3923242314775809E-2</v>
      </c>
      <c r="I193" s="1">
        <f t="shared" si="47"/>
        <v>3.1123506050381792E-4</v>
      </c>
      <c r="J193" s="1">
        <f t="shared" si="48"/>
        <v>0.16961621157387904</v>
      </c>
      <c r="K193" s="1">
        <f t="shared" si="49"/>
        <v>1.556166415329038E-3</v>
      </c>
      <c r="L193" s="1">
        <f t="shared" si="55"/>
        <v>5.6538737191293013E-4</v>
      </c>
      <c r="M193" s="1">
        <f t="shared" si="50"/>
        <v>2.7202194813532935E-5</v>
      </c>
      <c r="N193" s="1">
        <f t="shared" si="56"/>
        <v>3.392324231477581E-3</v>
      </c>
      <c r="O193" s="1">
        <f t="shared" si="51"/>
        <v>8.4282884902532913E-5</v>
      </c>
      <c r="P193" s="1">
        <f t="shared" si="53"/>
        <v>3.3923242314775809E-2</v>
      </c>
      <c r="Q193" s="1">
        <f t="shared" si="52"/>
        <v>2.665258840618226E-4</v>
      </c>
    </row>
    <row r="194" spans="1:17">
      <c r="A194" s="1">
        <v>3.9999999999999998E-20</v>
      </c>
      <c r="B194" s="1">
        <f t="shared" si="54"/>
        <v>2.4163767364764888E-9</v>
      </c>
      <c r="C194" s="1">
        <f t="shared" si="43"/>
        <v>7.731793120176824E-3</v>
      </c>
      <c r="D194" s="1">
        <f t="shared" si="44"/>
        <v>5.025665528114936E-4</v>
      </c>
      <c r="E194" s="1">
        <f t="shared" si="45"/>
        <v>2.6487564556505632E-5</v>
      </c>
      <c r="F194" s="1">
        <f t="shared" si="39"/>
        <v>3.0153993168689614E-3</v>
      </c>
      <c r="G194" s="1">
        <f t="shared" si="46"/>
        <v>8.7485496446734802E-5</v>
      </c>
      <c r="H194" s="1">
        <f t="shared" si="40"/>
        <v>3.0153993168689615E-2</v>
      </c>
      <c r="I194" s="1">
        <f t="shared" si="47"/>
        <v>2.7665343100224959E-4</v>
      </c>
      <c r="J194" s="1">
        <f t="shared" si="48"/>
        <v>0.15076996584344807</v>
      </c>
      <c r="K194" s="1">
        <f t="shared" si="49"/>
        <v>1.3832601330238973E-3</v>
      </c>
      <c r="L194" s="1">
        <f t="shared" si="55"/>
        <v>5.025665528114936E-4</v>
      </c>
      <c r="M194" s="1">
        <f t="shared" si="50"/>
        <v>2.4179730481228982E-5</v>
      </c>
      <c r="N194" s="1">
        <f t="shared" si="56"/>
        <v>3.0153993168689614E-3</v>
      </c>
      <c r="O194" s="1">
        <f t="shared" si="51"/>
        <v>7.4918128628934127E-5</v>
      </c>
      <c r="P194" s="1">
        <f t="shared" si="53"/>
        <v>3.0153993168689615E-2</v>
      </c>
      <c r="Q194" s="1">
        <f t="shared" si="52"/>
        <v>2.369119245048995E-4</v>
      </c>
    </row>
    <row r="195" spans="1:17">
      <c r="A195" s="1">
        <v>3.5E-20</v>
      </c>
      <c r="B195" s="1">
        <f t="shared" si="54"/>
        <v>2.1143296444169279E-9</v>
      </c>
      <c r="C195" s="1">
        <f t="shared" si="43"/>
        <v>6.7653189801547197E-3</v>
      </c>
      <c r="D195" s="1">
        <f t="shared" si="44"/>
        <v>4.3974573371005681E-4</v>
      </c>
      <c r="E195" s="1">
        <f t="shared" si="45"/>
        <v>2.3176621009126233E-5</v>
      </c>
      <c r="F195" s="1">
        <f t="shared" si="39"/>
        <v>2.638474402260341E-3</v>
      </c>
      <c r="G195" s="1">
        <f t="shared" si="46"/>
        <v>7.6549821534606743E-5</v>
      </c>
      <c r="H195" s="1">
        <f t="shared" si="40"/>
        <v>2.638474402260341E-2</v>
      </c>
      <c r="I195" s="1">
        <f t="shared" si="47"/>
        <v>2.4207179052876323E-4</v>
      </c>
      <c r="J195" s="1">
        <f t="shared" si="48"/>
        <v>0.13192372011301703</v>
      </c>
      <c r="K195" s="1">
        <f t="shared" si="49"/>
        <v>1.2103535764270751E-3</v>
      </c>
      <c r="L195" s="1">
        <f t="shared" si="55"/>
        <v>4.3974573371005681E-4</v>
      </c>
      <c r="M195" s="1">
        <f t="shared" si="50"/>
        <v>2.1157265709403208E-5</v>
      </c>
      <c r="N195" s="1">
        <f t="shared" si="56"/>
        <v>2.638474402260341E-3</v>
      </c>
      <c r="O195" s="1">
        <f t="shared" si="51"/>
        <v>6.5553370176445094E-5</v>
      </c>
      <c r="P195" s="1">
        <f t="shared" si="53"/>
        <v>2.638474402260341E-2</v>
      </c>
      <c r="Q195" s="1">
        <f t="shared" si="52"/>
        <v>2.0729795805772046E-4</v>
      </c>
    </row>
    <row r="196" spans="1:17">
      <c r="A196" s="1">
        <v>3.0000000000000003E-20</v>
      </c>
      <c r="B196" s="1">
        <f t="shared" si="54"/>
        <v>1.8122825523573668E-9</v>
      </c>
      <c r="C196" s="1">
        <f t="shared" si="43"/>
        <v>5.798844840132618E-3</v>
      </c>
      <c r="D196" s="1">
        <f t="shared" si="44"/>
        <v>3.7692491460862017E-4</v>
      </c>
      <c r="E196" s="1">
        <f t="shared" si="45"/>
        <v>1.98656768839805E-5</v>
      </c>
      <c r="F196" s="1">
        <f t="shared" si="39"/>
        <v>2.2615494876517209E-3</v>
      </c>
      <c r="G196" s="1">
        <f t="shared" si="46"/>
        <v>6.5614143152851144E-5</v>
      </c>
      <c r="H196" s="1">
        <f t="shared" si="40"/>
        <v>2.2615494876517209E-2</v>
      </c>
      <c r="I196" s="1">
        <f t="shared" si="47"/>
        <v>2.0749013908335121E-4</v>
      </c>
      <c r="J196" s="1">
        <f t="shared" si="48"/>
        <v>0.11307747438258604</v>
      </c>
      <c r="K196" s="1">
        <f t="shared" si="49"/>
        <v>1.0374467455375926E-3</v>
      </c>
      <c r="L196" s="1">
        <f t="shared" si="55"/>
        <v>3.7692491460862017E-4</v>
      </c>
      <c r="M196" s="1">
        <f t="shared" si="50"/>
        <v>1.8134800498055483E-5</v>
      </c>
      <c r="N196" s="1">
        <f t="shared" si="56"/>
        <v>2.2615494876517209E-3</v>
      </c>
      <c r="O196" s="1">
        <f t="shared" si="51"/>
        <v>5.618860954506473E-5</v>
      </c>
      <c r="P196" s="1">
        <f t="shared" si="53"/>
        <v>2.2615494876517209E-2</v>
      </c>
      <c r="Q196" s="1">
        <f t="shared" si="52"/>
        <v>1.7768398472028195E-4</v>
      </c>
    </row>
    <row r="197" spans="1:17">
      <c r="A197" s="1">
        <v>2.4999999999999999E-20</v>
      </c>
      <c r="B197" s="1">
        <f t="shared" si="54"/>
        <v>1.5102354602978055E-9</v>
      </c>
      <c r="C197" s="1">
        <f t="shared" si="43"/>
        <v>4.8323707001105146E-3</v>
      </c>
      <c r="D197" s="1">
        <f t="shared" si="44"/>
        <v>3.1410409550718343E-4</v>
      </c>
      <c r="E197" s="1">
        <f t="shared" si="45"/>
        <v>1.6554732181068183E-5</v>
      </c>
      <c r="F197" s="1">
        <f t="shared" si="39"/>
        <v>1.8846245730431007E-3</v>
      </c>
      <c r="G197" s="1">
        <f t="shared" si="46"/>
        <v>5.4678461301465492E-5</v>
      </c>
      <c r="H197" s="1">
        <f t="shared" si="40"/>
        <v>1.8846245730431008E-2</v>
      </c>
      <c r="I197" s="1">
        <f t="shared" si="47"/>
        <v>1.7290847666600557E-4</v>
      </c>
      <c r="J197" s="1">
        <f t="shared" si="48"/>
        <v>9.4231228652155039E-2</v>
      </c>
      <c r="K197" s="1">
        <f t="shared" si="49"/>
        <v>8.6453964035447051E-4</v>
      </c>
      <c r="L197" s="1">
        <f t="shared" si="55"/>
        <v>3.1410409550718343E-4</v>
      </c>
      <c r="M197" s="1">
        <f t="shared" si="50"/>
        <v>1.5112334847185656E-5</v>
      </c>
      <c r="N197" s="1">
        <f t="shared" si="56"/>
        <v>1.8846245730431007E-3</v>
      </c>
      <c r="O197" s="1">
        <f t="shared" si="51"/>
        <v>4.6823846734791849E-5</v>
      </c>
      <c r="P197" s="1">
        <f t="shared" si="53"/>
        <v>1.8846245730431008E-2</v>
      </c>
      <c r="Q197" s="1">
        <f t="shared" si="52"/>
        <v>1.4807000449258036E-4</v>
      </c>
    </row>
    <row r="198" spans="1:17">
      <c r="A198" s="1">
        <v>1.9999999999999999E-20</v>
      </c>
      <c r="B198" s="1">
        <f t="shared" si="54"/>
        <v>1.2081883682382444E-9</v>
      </c>
      <c r="C198" s="1">
        <f t="shared" si="43"/>
        <v>3.865896560088412E-3</v>
      </c>
      <c r="D198" s="1">
        <f t="shared" si="44"/>
        <v>2.512832764057468E-4</v>
      </c>
      <c r="E198" s="1">
        <f t="shared" si="45"/>
        <v>1.3243786900389064E-5</v>
      </c>
      <c r="F198" s="1">
        <f t="shared" si="39"/>
        <v>1.5076996584344807E-3</v>
      </c>
      <c r="G198" s="1">
        <f t="shared" si="46"/>
        <v>4.3742775980447334E-5</v>
      </c>
      <c r="H198" s="1">
        <f t="shared" si="40"/>
        <v>1.5076996584344807E-2</v>
      </c>
      <c r="I198" s="1">
        <f t="shared" si="47"/>
        <v>1.3832680327671858E-4</v>
      </c>
      <c r="J198" s="1">
        <f t="shared" si="48"/>
        <v>7.5384982921724034E-2</v>
      </c>
      <c r="K198" s="1">
        <f t="shared" si="49"/>
        <v>6.916322608767298E-4</v>
      </c>
      <c r="L198" s="1">
        <f t="shared" si="55"/>
        <v>2.512832764057468E-4</v>
      </c>
      <c r="M198" s="1">
        <f t="shared" si="50"/>
        <v>1.2089868756793591E-5</v>
      </c>
      <c r="N198" s="1">
        <f t="shared" si="56"/>
        <v>1.5076996584344807E-3</v>
      </c>
      <c r="O198" s="1">
        <f t="shared" si="51"/>
        <v>3.7459081745625326E-5</v>
      </c>
      <c r="P198" s="1">
        <f t="shared" si="53"/>
        <v>1.5076996584344807E-2</v>
      </c>
      <c r="Q198" s="1">
        <f t="shared" si="52"/>
        <v>1.184560173746121E-4</v>
      </c>
    </row>
    <row r="199" spans="1:17">
      <c r="A199" s="1">
        <v>1.5000000000000001E-20</v>
      </c>
      <c r="B199" s="1">
        <f t="shared" si="54"/>
        <v>9.0614127617868339E-10</v>
      </c>
      <c r="C199" s="1">
        <f t="shared" si="43"/>
        <v>2.899422420066309E-3</v>
      </c>
      <c r="D199" s="1">
        <f t="shared" si="44"/>
        <v>1.8846245730431009E-4</v>
      </c>
      <c r="E199" s="1">
        <f t="shared" si="45"/>
        <v>9.9328410419429113E-6</v>
      </c>
      <c r="F199" s="1">
        <f t="shared" si="39"/>
        <v>1.1307747438258605E-3</v>
      </c>
      <c r="G199" s="1">
        <f t="shared" si="46"/>
        <v>3.2807087189794182E-5</v>
      </c>
      <c r="H199" s="1">
        <f t="shared" si="40"/>
        <v>1.1307747438258605E-2</v>
      </c>
      <c r="I199" s="1">
        <f t="shared" si="47"/>
        <v>1.0374511891548235E-4</v>
      </c>
      <c r="J199" s="1">
        <f t="shared" si="48"/>
        <v>5.6538737191293022E-2</v>
      </c>
      <c r="K199" s="1">
        <f t="shared" si="49"/>
        <v>5.1872460710339135E-4</v>
      </c>
      <c r="L199" s="1">
        <f t="shared" si="55"/>
        <v>1.8846245730431009E-4</v>
      </c>
      <c r="M199" s="1">
        <f t="shared" si="50"/>
        <v>9.0674022268791313E-6</v>
      </c>
      <c r="N199" s="1">
        <f t="shared" si="56"/>
        <v>1.1307747438258605E-3</v>
      </c>
      <c r="O199" s="1">
        <f t="shared" si="51"/>
        <v>2.8094314577564019E-5</v>
      </c>
      <c r="P199" s="1">
        <f t="shared" si="53"/>
        <v>1.1307747438258605E-2</v>
      </c>
      <c r="Q199" s="1">
        <f t="shared" si="52"/>
        <v>8.8842023366373534E-5</v>
      </c>
    </row>
    <row r="200" spans="1:17">
      <c r="A200" s="1">
        <v>9.9999999999999904E-21</v>
      </c>
      <c r="B200" s="1">
        <f t="shared" si="54"/>
        <v>6.0409418411912157E-10</v>
      </c>
      <c r="C200" s="1">
        <f t="shared" si="43"/>
        <v>1.9329482800442034E-3</v>
      </c>
      <c r="D200" s="1">
        <f t="shared" si="44"/>
        <v>1.2564163820287324E-4</v>
      </c>
      <c r="E200" s="1">
        <f t="shared" si="45"/>
        <v>6.6218946057294935E-6</v>
      </c>
      <c r="F200" s="1">
        <f t="shared" si="39"/>
        <v>7.5384982921723937E-4</v>
      </c>
      <c r="G200" s="1">
        <f t="shared" si="46"/>
        <v>2.187139492950353E-5</v>
      </c>
      <c r="H200" s="1">
        <f t="shared" si="40"/>
        <v>7.5384982921723933E-3</v>
      </c>
      <c r="I200" s="1">
        <f t="shared" si="47"/>
        <v>6.9163423582288983E-5</v>
      </c>
      <c r="J200" s="1">
        <f t="shared" si="48"/>
        <v>3.7692491460861968E-2</v>
      </c>
      <c r="K200" s="1">
        <f t="shared" si="49"/>
        <v>3.4581667903347586E-4</v>
      </c>
      <c r="L200" s="1">
        <f t="shared" si="55"/>
        <v>1.2564163820287324E-4</v>
      </c>
      <c r="M200" s="1">
        <f t="shared" si="50"/>
        <v>6.0449352574421366E-6</v>
      </c>
      <c r="N200" s="1">
        <f t="shared" si="56"/>
        <v>7.5384982921723937E-4</v>
      </c>
      <c r="O200" s="1">
        <f t="shared" si="51"/>
        <v>1.8729545230606767E-5</v>
      </c>
      <c r="P200" s="1">
        <f t="shared" si="53"/>
        <v>7.5384982921723933E-3</v>
      </c>
      <c r="Q200" s="1">
        <f t="shared" si="52"/>
        <v>5.9228022467860989E-5</v>
      </c>
    </row>
  </sheetData>
  <mergeCells count="25">
    <mergeCell ref="C6:D6"/>
    <mergeCell ref="C7:D7"/>
    <mergeCell ref="E7:E11"/>
    <mergeCell ref="C8:D8"/>
    <mergeCell ref="C9:D9"/>
    <mergeCell ref="C10:D10"/>
    <mergeCell ref="C11:D11"/>
    <mergeCell ref="D28:E2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F28:G28"/>
    <mergeCell ref="H28:I28"/>
    <mergeCell ref="L28:M28"/>
    <mergeCell ref="N28:O28"/>
    <mergeCell ref="P28:Q28"/>
    <mergeCell ref="J28:K28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66EE-BCE3-407E-8E3A-2D7373F64A4B}">
  <sheetPr>
    <tabColor theme="5" tint="0.39997558519241921"/>
  </sheetPr>
  <dimension ref="A1:P193"/>
  <sheetViews>
    <sheetView zoomScaleNormal="100" workbookViewId="0">
      <selection activeCell="B15" sqref="B15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7">
      <c r="A1" t="s">
        <v>309</v>
      </c>
      <c r="E1" t="s">
        <v>57</v>
      </c>
      <c r="F1" s="1">
        <v>2.9000000000000002E-15</v>
      </c>
      <c r="G1" t="s">
        <v>58</v>
      </c>
    </row>
    <row r="2" spans="1:7">
      <c r="B2" t="s">
        <v>1</v>
      </c>
      <c r="C2" s="1">
        <v>6.626068E-34</v>
      </c>
    </row>
    <row r="3" spans="1:7">
      <c r="B3" t="s">
        <v>2</v>
      </c>
      <c r="C3" s="1">
        <v>299792458</v>
      </c>
    </row>
    <row r="4" spans="1:7">
      <c r="B4" t="s">
        <v>3</v>
      </c>
      <c r="C4" s="1">
        <v>9.9999999999999995E-8</v>
      </c>
      <c r="D4" t="s">
        <v>4</v>
      </c>
    </row>
    <row r="5" spans="1:7">
      <c r="B5" s="2"/>
      <c r="C5" s="2" t="s">
        <v>310</v>
      </c>
      <c r="D5" s="2" t="s">
        <v>48</v>
      </c>
      <c r="E5" s="2" t="s">
        <v>115</v>
      </c>
    </row>
    <row r="6" spans="1:7">
      <c r="B6" s="2" t="s">
        <v>7</v>
      </c>
      <c r="C6" s="188"/>
      <c r="D6" s="188"/>
      <c r="E6" s="188"/>
    </row>
    <row r="7" spans="1:7">
      <c r="B7" s="2" t="s">
        <v>8</v>
      </c>
      <c r="C7" s="188"/>
      <c r="D7" s="188"/>
      <c r="E7" s="188"/>
    </row>
    <row r="8" spans="1:7">
      <c r="B8" s="2" t="s">
        <v>10</v>
      </c>
      <c r="C8" s="188"/>
      <c r="D8" s="188"/>
      <c r="E8" s="32"/>
    </row>
    <row r="9" spans="1:7">
      <c r="B9" s="2" t="s">
        <v>13</v>
      </c>
      <c r="C9" s="2"/>
      <c r="D9" s="2"/>
      <c r="E9" s="32"/>
    </row>
    <row r="10" spans="1:7">
      <c r="B10" s="4" t="s">
        <v>46</v>
      </c>
      <c r="C10" s="2"/>
      <c r="D10" s="2"/>
      <c r="E10" s="2"/>
    </row>
    <row r="11" spans="1:7">
      <c r="B11" s="2" t="s">
        <v>15</v>
      </c>
      <c r="C11" s="33">
        <v>326.85104521047714</v>
      </c>
      <c r="D11" s="33"/>
      <c r="E11" s="33"/>
    </row>
    <row r="12" spans="1:7">
      <c r="B12" s="13" t="s">
        <v>50</v>
      </c>
      <c r="C12" s="188">
        <f>0.009*0.009</f>
        <v>8.099999999999999E-5</v>
      </c>
      <c r="D12" s="188"/>
      <c r="E12" s="188"/>
      <c r="F12" t="s">
        <v>311</v>
      </c>
    </row>
    <row r="13" spans="1:7">
      <c r="B13" s="13" t="s">
        <v>312</v>
      </c>
      <c r="C13" s="92">
        <v>30000</v>
      </c>
      <c r="D13" s="92"/>
      <c r="E13" s="92"/>
    </row>
    <row r="14" spans="1:7">
      <c r="B14" s="13" t="s">
        <v>313</v>
      </c>
      <c r="C14" s="92">
        <v>1000</v>
      </c>
      <c r="D14" s="92"/>
      <c r="E14" s="92"/>
    </row>
    <row r="15" spans="1:7">
      <c r="B15" s="2" t="s">
        <v>51</v>
      </c>
      <c r="C15" s="188">
        <v>1</v>
      </c>
      <c r="D15" s="188"/>
      <c r="E15" s="188"/>
    </row>
    <row r="16" spans="1:7">
      <c r="B16" s="2" t="s">
        <v>229</v>
      </c>
      <c r="C16" s="188">
        <v>1</v>
      </c>
      <c r="D16" s="188"/>
      <c r="E16" s="188"/>
    </row>
    <row r="17" spans="1:16">
      <c r="B17" s="2" t="s">
        <v>49</v>
      </c>
      <c r="C17" s="188">
        <f>C15*C12</f>
        <v>8.099999999999999E-5</v>
      </c>
      <c r="D17" s="188"/>
      <c r="E17" s="188"/>
    </row>
    <row r="18" spans="1:16">
      <c r="B18" s="2" t="s">
        <v>53</v>
      </c>
      <c r="C18" s="188">
        <v>1</v>
      </c>
      <c r="D18" s="188"/>
      <c r="E18" s="188"/>
    </row>
    <row r="19" spans="1:16">
      <c r="B19" s="2" t="s">
        <v>54</v>
      </c>
      <c r="C19" s="188">
        <f>C17*C18*3600</f>
        <v>0.29159999999999997</v>
      </c>
      <c r="D19" s="188"/>
      <c r="E19" s="188"/>
    </row>
    <row r="20" spans="1:16">
      <c r="A20" t="s">
        <v>118</v>
      </c>
    </row>
    <row r="21" spans="1:16">
      <c r="A21" t="s">
        <v>63</v>
      </c>
      <c r="C21" s="189" t="s">
        <v>56</v>
      </c>
      <c r="D21" s="189"/>
      <c r="E21" s="189" t="s">
        <v>59</v>
      </c>
      <c r="F21" s="189"/>
      <c r="G21" s="189" t="s">
        <v>116</v>
      </c>
      <c r="H21" s="189"/>
      <c r="I21" t="s">
        <v>60</v>
      </c>
      <c r="K21" s="189"/>
      <c r="L21" s="189"/>
      <c r="M21" s="189"/>
      <c r="N21" s="189"/>
      <c r="O21" s="189"/>
      <c r="P21" s="189"/>
    </row>
    <row r="22" spans="1:16">
      <c r="A22" t="s">
        <v>62</v>
      </c>
      <c r="B22" t="s">
        <v>36</v>
      </c>
      <c r="C22" t="s">
        <v>55</v>
      </c>
      <c r="D22" t="s">
        <v>39</v>
      </c>
      <c r="E22" t="s">
        <v>55</v>
      </c>
      <c r="F22" t="s">
        <v>39</v>
      </c>
      <c r="G22" t="s">
        <v>55</v>
      </c>
      <c r="H22" t="s">
        <v>39</v>
      </c>
      <c r="I22" t="s">
        <v>39</v>
      </c>
    </row>
    <row r="23" spans="1:16">
      <c r="A23" s="1">
        <v>5.0000000000000002E-11</v>
      </c>
      <c r="B23" s="1">
        <f>A23*$C$4/($C$2*$C$3/1304*10000000000)</f>
        <v>3.282245067047231</v>
      </c>
      <c r="C23" s="1">
        <f>B23*$C$11*$C$18*3600</f>
        <v>3862098.8308847519</v>
      </c>
      <c r="D23" s="1">
        <f>C23/SQRT(C23+($C$19)*2)</f>
        <v>1965.2221878670207</v>
      </c>
      <c r="E23" s="1">
        <f>B23*$D$11*$C$18*3600</f>
        <v>0</v>
      </c>
      <c r="F23" s="1">
        <f>E23/SQRT(E23+($C$19)*2)</f>
        <v>0</v>
      </c>
      <c r="G23" s="1">
        <f>B23*$E$11*$C$18*3600</f>
        <v>0</v>
      </c>
      <c r="H23" s="1">
        <f>G23/SQRT(G23+($C$19)*2)</f>
        <v>0</v>
      </c>
      <c r="I23" s="1">
        <f>'WSO-UV_WUVS_130nm'!I30</f>
        <v>6138.4538121619853</v>
      </c>
      <c r="J23" s="1"/>
      <c r="K23" s="1"/>
      <c r="L23" s="1"/>
      <c r="M23" s="1"/>
      <c r="N23" s="1"/>
      <c r="O23" s="1"/>
      <c r="P23" s="1"/>
    </row>
    <row r="24" spans="1:16">
      <c r="A24" s="1">
        <v>4.5E-11</v>
      </c>
      <c r="B24" s="1">
        <f t="shared" ref="B24:B87" si="0">A24*$C$4/($C$2*$C$3/1304*10000000000)</f>
        <v>2.9540205603425083</v>
      </c>
      <c r="C24" s="1">
        <f t="shared" ref="C24:C87" si="1">B24*$C$11*$C$18*3600</f>
        <v>3475888.9477962772</v>
      </c>
      <c r="D24" s="1">
        <f t="shared" ref="D24:D87" si="2">C24/SQRT(C24+($C$19)*2)</f>
        <v>1864.3734509470937</v>
      </c>
      <c r="E24" s="1">
        <f t="shared" ref="E24:E87" si="3">B24*$D$11*$C$18*3600</f>
        <v>0</v>
      </c>
      <c r="F24" s="1">
        <f t="shared" ref="F24:F87" si="4">E24/SQRT(E24+($C$19)*2)</f>
        <v>0</v>
      </c>
      <c r="G24" s="1">
        <f t="shared" ref="G24:G87" si="5">B24*$E$11*$C$18*3600</f>
        <v>0</v>
      </c>
      <c r="H24" s="1">
        <f t="shared" ref="H24:H87" si="6">G24/SQRT(G24+($C$19)*2)</f>
        <v>0</v>
      </c>
      <c r="I24" s="1">
        <f>'WSO-UV_WUVS_130nm'!I31</f>
        <v>5823.3466729814008</v>
      </c>
      <c r="J24" s="1"/>
      <c r="K24" s="1"/>
      <c r="L24" s="1"/>
      <c r="M24" s="1"/>
      <c r="N24" s="1"/>
      <c r="O24" s="1"/>
      <c r="P24" s="1"/>
    </row>
    <row r="25" spans="1:16">
      <c r="A25" s="1">
        <v>3.9999999999999998E-11</v>
      </c>
      <c r="B25" s="1">
        <f t="shared" si="0"/>
        <v>2.6257960536377847</v>
      </c>
      <c r="C25" s="1">
        <f t="shared" si="1"/>
        <v>3089679.0647078017</v>
      </c>
      <c r="D25" s="1">
        <f t="shared" si="2"/>
        <v>1757.748128005805</v>
      </c>
      <c r="E25" s="1">
        <f t="shared" si="3"/>
        <v>0</v>
      </c>
      <c r="F25" s="1">
        <f t="shared" si="4"/>
        <v>0</v>
      </c>
      <c r="G25" s="1">
        <f t="shared" si="5"/>
        <v>0</v>
      </c>
      <c r="H25" s="1">
        <f t="shared" si="6"/>
        <v>0</v>
      </c>
      <c r="I25" s="1">
        <f>'WSO-UV_WUVS_130nm'!I32</f>
        <v>5490.183771723955</v>
      </c>
      <c r="J25" s="1"/>
      <c r="K25" s="1"/>
      <c r="L25" s="1"/>
      <c r="M25" s="1"/>
      <c r="N25" s="1"/>
      <c r="O25" s="1"/>
      <c r="P25" s="1"/>
    </row>
    <row r="26" spans="1:16">
      <c r="A26" s="1">
        <v>3.5000000000000002E-11</v>
      </c>
      <c r="B26" s="1">
        <f t="shared" si="0"/>
        <v>2.2975715469330615</v>
      </c>
      <c r="C26" s="1">
        <f t="shared" si="1"/>
        <v>2703469.1816193266</v>
      </c>
      <c r="D26" s="1">
        <f t="shared" si="2"/>
        <v>1644.2227946417274</v>
      </c>
      <c r="E26" s="1">
        <f t="shared" si="3"/>
        <v>0</v>
      </c>
      <c r="F26" s="1">
        <f t="shared" si="4"/>
        <v>0</v>
      </c>
      <c r="G26" s="1">
        <f t="shared" si="5"/>
        <v>0</v>
      </c>
      <c r="H26" s="1">
        <f t="shared" si="6"/>
        <v>0</v>
      </c>
      <c r="I26" s="1">
        <f>'WSO-UV_WUVS_130nm'!I33</f>
        <v>5135.4522068934812</v>
      </c>
      <c r="J26" s="1"/>
      <c r="K26" s="1"/>
      <c r="L26" s="1"/>
      <c r="M26" s="1"/>
      <c r="N26" s="1"/>
      <c r="O26" s="1"/>
      <c r="P26" s="1"/>
    </row>
    <row r="27" spans="1:16">
      <c r="A27" s="1">
        <v>3E-11</v>
      </c>
      <c r="B27" s="1">
        <f t="shared" si="0"/>
        <v>1.9693470402283386</v>
      </c>
      <c r="C27" s="1">
        <f t="shared" si="1"/>
        <v>2317259.2985308515</v>
      </c>
      <c r="D27" s="1">
        <f t="shared" si="2"/>
        <v>1522.2544844180943</v>
      </c>
      <c r="E27" s="1">
        <f t="shared" si="3"/>
        <v>0</v>
      </c>
      <c r="F27" s="1">
        <f t="shared" si="4"/>
        <v>0</v>
      </c>
      <c r="G27" s="1">
        <f t="shared" si="5"/>
        <v>0</v>
      </c>
      <c r="H27" s="1">
        <f t="shared" si="6"/>
        <v>0</v>
      </c>
      <c r="I27" s="1">
        <f>'WSO-UV_WUVS_130nm'!I34</f>
        <v>4754.326567858694</v>
      </c>
      <c r="J27" s="1"/>
      <c r="K27" s="1"/>
      <c r="L27" s="1"/>
      <c r="M27" s="1"/>
      <c r="N27" s="1"/>
      <c r="O27" s="1"/>
      <c r="P27" s="1"/>
    </row>
    <row r="28" spans="1:16">
      <c r="A28" s="1">
        <v>2.5000000000000001E-11</v>
      </c>
      <c r="B28" s="1">
        <f t="shared" si="0"/>
        <v>1.6411225335236155</v>
      </c>
      <c r="C28" s="1">
        <f t="shared" si="1"/>
        <v>1931049.4154423759</v>
      </c>
      <c r="D28" s="1">
        <f t="shared" si="2"/>
        <v>1389.6218306584537</v>
      </c>
      <c r="E28" s="1">
        <f t="shared" si="3"/>
        <v>0</v>
      </c>
      <c r="F28" s="1">
        <f t="shared" si="4"/>
        <v>0</v>
      </c>
      <c r="G28" s="1">
        <f t="shared" si="5"/>
        <v>0</v>
      </c>
      <c r="H28" s="1">
        <f t="shared" si="6"/>
        <v>0</v>
      </c>
      <c r="I28" s="1">
        <f>'WSO-UV_WUVS_130nm'!I35</f>
        <v>4339.8586629567699</v>
      </c>
      <c r="J28" s="1"/>
      <c r="K28" s="1"/>
      <c r="L28" s="1"/>
      <c r="M28" s="1"/>
      <c r="N28" s="1"/>
      <c r="O28" s="1"/>
      <c r="P28" s="1"/>
    </row>
    <row r="29" spans="1:16">
      <c r="A29" s="1">
        <v>1.9999999999999999E-11</v>
      </c>
      <c r="B29" s="1">
        <f t="shared" si="0"/>
        <v>1.3128980268188923</v>
      </c>
      <c r="C29" s="1">
        <f t="shared" si="1"/>
        <v>1544839.5323539008</v>
      </c>
      <c r="D29" s="1">
        <f t="shared" si="2"/>
        <v>1242.9155036260997</v>
      </c>
      <c r="E29" s="1">
        <f t="shared" si="3"/>
        <v>0</v>
      </c>
      <c r="F29" s="1">
        <f t="shared" si="4"/>
        <v>0</v>
      </c>
      <c r="G29" s="1">
        <f t="shared" si="5"/>
        <v>0</v>
      </c>
      <c r="H29" s="1">
        <f t="shared" si="6"/>
        <v>0</v>
      </c>
      <c r="I29" s="1">
        <f>'WSO-UV_WUVS_130nm'!I36</f>
        <v>3881.3819623793916</v>
      </c>
      <c r="J29" s="1"/>
      <c r="K29" s="1"/>
      <c r="L29" s="1"/>
      <c r="M29" s="1"/>
      <c r="N29" s="1"/>
      <c r="O29" s="1"/>
      <c r="P29" s="1"/>
    </row>
    <row r="30" spans="1:16">
      <c r="A30" s="1">
        <v>1.5E-11</v>
      </c>
      <c r="B30" s="1">
        <f t="shared" si="0"/>
        <v>0.98467352011416931</v>
      </c>
      <c r="C30" s="1">
        <f t="shared" si="1"/>
        <v>1158629.6492654257</v>
      </c>
      <c r="D30" s="1">
        <f t="shared" si="2"/>
        <v>1076.3963331718105</v>
      </c>
      <c r="E30" s="1">
        <f t="shared" si="3"/>
        <v>0</v>
      </c>
      <c r="F30" s="1">
        <f t="shared" si="4"/>
        <v>0</v>
      </c>
      <c r="G30" s="1">
        <f t="shared" si="5"/>
        <v>0</v>
      </c>
      <c r="H30" s="1">
        <f t="shared" si="6"/>
        <v>0</v>
      </c>
      <c r="I30" s="1">
        <f>'WSO-UV_WUVS_130nm'!I37</f>
        <v>3360.9343799562848</v>
      </c>
      <c r="J30" s="1"/>
      <c r="K30" s="1"/>
      <c r="L30" s="1"/>
      <c r="M30" s="1"/>
      <c r="N30" s="1"/>
      <c r="O30" s="1"/>
      <c r="P30" s="1"/>
    </row>
    <row r="31" spans="1:16">
      <c r="A31" s="1">
        <v>9.9999999999999994E-12</v>
      </c>
      <c r="B31" s="1">
        <f t="shared" si="0"/>
        <v>0.65644901340944617</v>
      </c>
      <c r="C31" s="1">
        <f t="shared" si="1"/>
        <v>772419.76617695042</v>
      </c>
      <c r="D31" s="1">
        <f t="shared" si="2"/>
        <v>878.87381516198946</v>
      </c>
      <c r="E31" s="1">
        <f t="shared" si="3"/>
        <v>0</v>
      </c>
      <c r="F31" s="1">
        <f t="shared" si="4"/>
        <v>0</v>
      </c>
      <c r="G31" s="1">
        <f t="shared" si="5"/>
        <v>0</v>
      </c>
      <c r="H31" s="1">
        <f t="shared" si="6"/>
        <v>0</v>
      </c>
      <c r="I31" s="1">
        <f>'WSO-UV_WUVS_130nm'!I38</f>
        <v>2743.4717028855675</v>
      </c>
      <c r="J31" s="1"/>
      <c r="K31" s="1"/>
      <c r="L31" s="1"/>
      <c r="M31" s="1"/>
      <c r="N31" s="1"/>
      <c r="O31" s="1"/>
      <c r="P31" s="1"/>
    </row>
    <row r="32" spans="1:16">
      <c r="A32" s="1">
        <v>9.4999999999999995E-12</v>
      </c>
      <c r="B32" s="1">
        <f t="shared" si="0"/>
        <v>0.62362656273897388</v>
      </c>
      <c r="C32" s="1">
        <f t="shared" si="1"/>
        <v>733798.77786810289</v>
      </c>
      <c r="D32" s="1">
        <f t="shared" si="2"/>
        <v>856.62021612180411</v>
      </c>
      <c r="E32" s="1">
        <f t="shared" si="3"/>
        <v>0</v>
      </c>
      <c r="F32" s="1">
        <f t="shared" si="4"/>
        <v>0</v>
      </c>
      <c r="G32" s="1">
        <f t="shared" si="5"/>
        <v>0</v>
      </c>
      <c r="H32" s="1">
        <f t="shared" si="6"/>
        <v>0</v>
      </c>
      <c r="I32" s="1">
        <f>'WSO-UV_WUVS_130nm'!I39</f>
        <v>2673.894734671584</v>
      </c>
      <c r="J32" s="1"/>
      <c r="K32" s="1"/>
      <c r="L32" s="1"/>
      <c r="M32" s="1"/>
      <c r="N32" s="1"/>
      <c r="O32" s="1"/>
      <c r="P32" s="1"/>
    </row>
    <row r="33" spans="1:16">
      <c r="A33" s="1">
        <v>8.9999999999999996E-12</v>
      </c>
      <c r="B33" s="1">
        <f t="shared" si="0"/>
        <v>0.59080411206850147</v>
      </c>
      <c r="C33" s="1">
        <f t="shared" si="1"/>
        <v>695177.78955925535</v>
      </c>
      <c r="D33" s="1">
        <f t="shared" si="2"/>
        <v>833.77287456461704</v>
      </c>
      <c r="E33" s="1">
        <f t="shared" si="3"/>
        <v>0</v>
      </c>
      <c r="F33" s="1">
        <f t="shared" si="4"/>
        <v>0</v>
      </c>
      <c r="G33" s="1">
        <f t="shared" si="5"/>
        <v>0</v>
      </c>
      <c r="H33" s="1">
        <f t="shared" si="6"/>
        <v>0</v>
      </c>
      <c r="I33" s="1">
        <f>'WSO-UV_WUVS_130nm'!I40</f>
        <v>2602.4583048754635</v>
      </c>
      <c r="J33" s="1"/>
      <c r="K33" s="1"/>
      <c r="L33" s="1"/>
      <c r="M33" s="1"/>
      <c r="N33" s="1"/>
      <c r="O33" s="1"/>
      <c r="P33" s="1"/>
    </row>
    <row r="34" spans="1:16">
      <c r="A34" s="1">
        <v>8.4999999999999997E-12</v>
      </c>
      <c r="B34" s="1">
        <f t="shared" si="0"/>
        <v>0.55798166139802929</v>
      </c>
      <c r="C34" s="1">
        <f t="shared" si="1"/>
        <v>656556.80125040794</v>
      </c>
      <c r="D34" s="1">
        <f t="shared" si="2"/>
        <v>810.28156714251247</v>
      </c>
      <c r="E34" s="1">
        <f t="shared" si="3"/>
        <v>0</v>
      </c>
      <c r="F34" s="1">
        <f t="shared" si="4"/>
        <v>0</v>
      </c>
      <c r="G34" s="1">
        <f t="shared" si="5"/>
        <v>0</v>
      </c>
      <c r="H34" s="1">
        <f t="shared" si="6"/>
        <v>0</v>
      </c>
      <c r="I34" s="1">
        <f>'WSO-UV_WUVS_130nm'!I41</f>
        <v>2529.004850381978</v>
      </c>
      <c r="J34" s="1"/>
      <c r="K34" s="1"/>
      <c r="L34" s="1"/>
      <c r="M34" s="1"/>
      <c r="N34" s="1"/>
      <c r="O34" s="1"/>
      <c r="P34" s="1"/>
    </row>
    <row r="35" spans="1:16">
      <c r="A35" s="1">
        <v>7.9999999999999998E-12</v>
      </c>
      <c r="B35" s="1">
        <f t="shared" si="0"/>
        <v>0.525159210727557</v>
      </c>
      <c r="C35" s="1">
        <f t="shared" si="1"/>
        <v>617935.81294156041</v>
      </c>
      <c r="D35" s="1">
        <f t="shared" si="2"/>
        <v>786.0885635487333</v>
      </c>
      <c r="E35" s="1">
        <f t="shared" si="3"/>
        <v>0</v>
      </c>
      <c r="F35" s="1">
        <f t="shared" si="4"/>
        <v>0</v>
      </c>
      <c r="G35" s="1">
        <f t="shared" si="5"/>
        <v>0</v>
      </c>
      <c r="H35" s="1">
        <f t="shared" si="6"/>
        <v>0</v>
      </c>
      <c r="I35" s="1">
        <f>'WSO-UV_WUVS_130nm'!I42</f>
        <v>2453.3532134615975</v>
      </c>
      <c r="J35" s="1"/>
      <c r="K35" s="1"/>
      <c r="L35" s="1"/>
      <c r="M35" s="1"/>
      <c r="N35" s="1"/>
      <c r="O35" s="1"/>
      <c r="P35" s="1"/>
    </row>
    <row r="36" spans="1:16">
      <c r="A36" s="1">
        <v>7.5E-12</v>
      </c>
      <c r="B36" s="1">
        <f t="shared" si="0"/>
        <v>0.49233676005708465</v>
      </c>
      <c r="C36" s="1">
        <f t="shared" si="1"/>
        <v>579314.82463271287</v>
      </c>
      <c r="D36" s="1">
        <f t="shared" si="2"/>
        <v>761.12695487237863</v>
      </c>
      <c r="E36" s="1">
        <f t="shared" si="3"/>
        <v>0</v>
      </c>
      <c r="F36" s="1">
        <f t="shared" si="4"/>
        <v>0</v>
      </c>
      <c r="G36" s="1">
        <f t="shared" si="5"/>
        <v>0</v>
      </c>
      <c r="H36" s="1">
        <f t="shared" si="6"/>
        <v>0</v>
      </c>
      <c r="I36" s="1">
        <f>'WSO-UV_WUVS_130nm'!I43</f>
        <v>2375.2933775037382</v>
      </c>
      <c r="J36" s="1"/>
      <c r="K36" s="1"/>
      <c r="L36" s="1"/>
      <c r="M36" s="1"/>
      <c r="N36" s="1"/>
      <c r="O36" s="1"/>
      <c r="P36" s="1"/>
    </row>
    <row r="37" spans="1:16">
      <c r="A37" s="1">
        <v>7.0000000000000001E-12</v>
      </c>
      <c r="B37" s="1">
        <f t="shared" si="0"/>
        <v>0.45951430938661231</v>
      </c>
      <c r="C37" s="1">
        <f t="shared" si="1"/>
        <v>540693.83632386534</v>
      </c>
      <c r="D37" s="1">
        <f t="shared" si="2"/>
        <v>735.31847054490231</v>
      </c>
      <c r="E37" s="1">
        <f t="shared" si="3"/>
        <v>0</v>
      </c>
      <c r="F37" s="1">
        <f t="shared" si="4"/>
        <v>0</v>
      </c>
      <c r="G37" s="1">
        <f t="shared" si="5"/>
        <v>0</v>
      </c>
      <c r="H37" s="1">
        <f t="shared" si="6"/>
        <v>0</v>
      </c>
      <c r="I37" s="1">
        <f>'WSO-UV_WUVS_130nm'!I44</f>
        <v>2294.5795889224396</v>
      </c>
      <c r="J37" s="1"/>
      <c r="K37" s="1"/>
      <c r="L37" s="1"/>
      <c r="M37" s="1"/>
      <c r="N37" s="1"/>
      <c r="O37" s="1"/>
      <c r="P37" s="1"/>
    </row>
    <row r="38" spans="1:16">
      <c r="A38" s="1">
        <v>6.5000000000000002E-12</v>
      </c>
      <c r="B38" s="1">
        <f t="shared" si="0"/>
        <v>0.42669185871614007</v>
      </c>
      <c r="C38" s="1">
        <f t="shared" si="1"/>
        <v>502072.84801501781</v>
      </c>
      <c r="D38" s="1">
        <f t="shared" si="2"/>
        <v>708.57057857047323</v>
      </c>
      <c r="E38" s="1">
        <f t="shared" si="3"/>
        <v>0</v>
      </c>
      <c r="F38" s="1">
        <f t="shared" si="4"/>
        <v>0</v>
      </c>
      <c r="G38" s="1">
        <f t="shared" si="5"/>
        <v>0</v>
      </c>
      <c r="H38" s="1">
        <f t="shared" si="6"/>
        <v>0</v>
      </c>
      <c r="I38" s="1">
        <f>'WSO-UV_WUVS_130nm'!I45</f>
        <v>2210.9212159295853</v>
      </c>
      <c r="J38" s="1"/>
      <c r="K38" s="1"/>
      <c r="L38" s="1"/>
      <c r="M38" s="1"/>
      <c r="N38" s="1"/>
      <c r="O38" s="1"/>
      <c r="P38" s="1"/>
    </row>
    <row r="39" spans="1:16">
      <c r="A39" s="1">
        <v>6.0000000000000003E-12</v>
      </c>
      <c r="B39" s="1">
        <f t="shared" si="0"/>
        <v>0.39386940804566772</v>
      </c>
      <c r="C39" s="1">
        <f t="shared" si="1"/>
        <v>463451.85970617033</v>
      </c>
      <c r="D39" s="1">
        <f t="shared" si="2"/>
        <v>680.77255857364298</v>
      </c>
      <c r="E39" s="1">
        <f t="shared" si="3"/>
        <v>0</v>
      </c>
      <c r="F39" s="1">
        <f t="shared" si="4"/>
        <v>0</v>
      </c>
      <c r="G39" s="1">
        <f t="shared" si="5"/>
        <v>0</v>
      </c>
      <c r="H39" s="1">
        <f t="shared" si="6"/>
        <v>0</v>
      </c>
      <c r="I39" s="1">
        <f>'WSO-UV_WUVS_130nm'!I46</f>
        <v>2123.970361515047</v>
      </c>
      <c r="J39" s="1"/>
      <c r="K39" s="1"/>
      <c r="L39" s="1"/>
      <c r="M39" s="1"/>
      <c r="N39" s="1"/>
      <c r="O39" s="1"/>
      <c r="P39" s="1"/>
    </row>
    <row r="40" spans="1:16">
      <c r="A40" s="1">
        <v>5.5000000000000004E-12</v>
      </c>
      <c r="B40" s="1">
        <f t="shared" si="0"/>
        <v>0.36104695737519549</v>
      </c>
      <c r="C40" s="1">
        <f t="shared" si="1"/>
        <v>424830.87139732286</v>
      </c>
      <c r="D40" s="1">
        <f t="shared" si="2"/>
        <v>651.79006451320151</v>
      </c>
      <c r="E40" s="1">
        <f t="shared" si="3"/>
        <v>0</v>
      </c>
      <c r="F40" s="1">
        <f t="shared" si="4"/>
        <v>0</v>
      </c>
      <c r="G40" s="1">
        <f t="shared" si="5"/>
        <v>0</v>
      </c>
      <c r="H40" s="1">
        <f t="shared" si="6"/>
        <v>0</v>
      </c>
      <c r="I40" s="1">
        <f>'WSO-UV_WUVS_130nm'!I47</f>
        <v>2033.3047000168615</v>
      </c>
      <c r="J40" s="1"/>
      <c r="K40" s="1"/>
      <c r="L40" s="1"/>
      <c r="M40" s="1"/>
      <c r="N40" s="1"/>
      <c r="O40" s="1"/>
      <c r="P40" s="1"/>
    </row>
    <row r="41" spans="1:16">
      <c r="A41" s="1">
        <v>4.9999999999999997E-12</v>
      </c>
      <c r="B41" s="1">
        <f t="shared" si="0"/>
        <v>0.32822450670472308</v>
      </c>
      <c r="C41" s="1">
        <f t="shared" si="1"/>
        <v>386209.88308847521</v>
      </c>
      <c r="D41" s="1">
        <f t="shared" si="2"/>
        <v>621.45739989910476</v>
      </c>
      <c r="E41" s="1">
        <f t="shared" si="3"/>
        <v>0</v>
      </c>
      <c r="F41" s="1">
        <f t="shared" si="4"/>
        <v>0</v>
      </c>
      <c r="G41" s="1">
        <f t="shared" si="5"/>
        <v>0</v>
      </c>
      <c r="H41" s="1">
        <f t="shared" si="6"/>
        <v>0</v>
      </c>
      <c r="I41" s="1">
        <f>'WSO-UV_WUVS_130nm'!I48</f>
        <v>1938.403072655218</v>
      </c>
      <c r="J41" s="1"/>
      <c r="K41" s="1"/>
      <c r="L41" s="1"/>
      <c r="M41" s="1"/>
      <c r="N41" s="1"/>
      <c r="O41" s="1"/>
      <c r="P41" s="1"/>
    </row>
    <row r="42" spans="1:16">
      <c r="A42" s="1">
        <v>4.4999999999999998E-12</v>
      </c>
      <c r="B42" s="1">
        <f t="shared" si="0"/>
        <v>0.29540205603425074</v>
      </c>
      <c r="C42" s="1">
        <f t="shared" si="1"/>
        <v>347588.89477962768</v>
      </c>
      <c r="D42" s="1">
        <f t="shared" si="2"/>
        <v>589.56620627424547</v>
      </c>
      <c r="E42" s="1">
        <f t="shared" si="3"/>
        <v>0</v>
      </c>
      <c r="F42" s="1">
        <f t="shared" si="4"/>
        <v>0</v>
      </c>
      <c r="G42" s="1">
        <f t="shared" si="5"/>
        <v>0</v>
      </c>
      <c r="H42" s="1">
        <f t="shared" si="6"/>
        <v>0</v>
      </c>
      <c r="I42" s="1">
        <f>'WSO-UV_WUVS_130nm'!I49</f>
        <v>1838.6097166962197</v>
      </c>
      <c r="J42" s="1"/>
      <c r="K42" s="1"/>
      <c r="L42" s="1"/>
      <c r="M42" s="1"/>
      <c r="N42" s="1"/>
      <c r="O42" s="1"/>
      <c r="P42" s="1"/>
    </row>
    <row r="43" spans="1:16">
      <c r="A43" s="1">
        <v>3.9999999999999999E-12</v>
      </c>
      <c r="B43" s="1">
        <f t="shared" si="0"/>
        <v>0.2625796053637785</v>
      </c>
      <c r="C43" s="1">
        <f t="shared" si="1"/>
        <v>308967.9064707802</v>
      </c>
      <c r="D43" s="1">
        <f t="shared" si="2"/>
        <v>555.84829159751951</v>
      </c>
      <c r="E43" s="1">
        <f t="shared" si="3"/>
        <v>0</v>
      </c>
      <c r="F43" s="1">
        <f t="shared" si="4"/>
        <v>0</v>
      </c>
      <c r="G43" s="1">
        <f t="shared" si="5"/>
        <v>0</v>
      </c>
      <c r="H43" s="1">
        <f t="shared" si="6"/>
        <v>0</v>
      </c>
      <c r="I43" s="1">
        <f>'WSO-UV_WUVS_130nm'!I50</f>
        <v>1733.0798994104262</v>
      </c>
      <c r="J43" s="1"/>
      <c r="K43" s="1"/>
      <c r="L43" s="1"/>
      <c r="M43" s="1"/>
      <c r="N43" s="1"/>
      <c r="O43" s="1"/>
      <c r="P43" s="1"/>
    </row>
    <row r="44" spans="1:16">
      <c r="A44" s="1">
        <v>3.5E-12</v>
      </c>
      <c r="B44" s="1">
        <f t="shared" si="0"/>
        <v>0.22975715469330615</v>
      </c>
      <c r="C44" s="1">
        <f t="shared" si="1"/>
        <v>270346.91816193267</v>
      </c>
      <c r="D44" s="1">
        <f t="shared" si="2"/>
        <v>519.94839644256115</v>
      </c>
      <c r="E44" s="1">
        <f t="shared" si="3"/>
        <v>0</v>
      </c>
      <c r="F44" s="1">
        <f t="shared" si="4"/>
        <v>0</v>
      </c>
      <c r="G44" s="1">
        <f t="shared" si="5"/>
        <v>0</v>
      </c>
      <c r="H44" s="1">
        <f t="shared" si="6"/>
        <v>0</v>
      </c>
      <c r="I44" s="1">
        <f>'WSO-UV_WUVS_130nm'!I51</f>
        <v>1620.6935717163994</v>
      </c>
      <c r="J44" s="1"/>
      <c r="K44" s="1"/>
      <c r="L44" s="1"/>
      <c r="M44" s="1"/>
      <c r="N44" s="1"/>
      <c r="O44" s="1"/>
      <c r="P44" s="1"/>
    </row>
    <row r="45" spans="1:16">
      <c r="A45" s="1">
        <v>3.0000000000000001E-12</v>
      </c>
      <c r="B45" s="1">
        <f t="shared" si="0"/>
        <v>0.19693470402283386</v>
      </c>
      <c r="C45" s="1">
        <f t="shared" si="1"/>
        <v>231725.92985308517</v>
      </c>
      <c r="D45" s="1">
        <f t="shared" si="2"/>
        <v>481.37858973426825</v>
      </c>
      <c r="E45" s="1">
        <f t="shared" si="3"/>
        <v>0</v>
      </c>
      <c r="F45" s="1">
        <f t="shared" si="4"/>
        <v>0</v>
      </c>
      <c r="G45" s="1">
        <f t="shared" si="5"/>
        <v>0</v>
      </c>
      <c r="H45" s="1">
        <f t="shared" si="6"/>
        <v>0</v>
      </c>
      <c r="I45" s="1">
        <f>'WSO-UV_WUVS_130nm'!I52</f>
        <v>1499.9105198666334</v>
      </c>
      <c r="J45" s="1"/>
      <c r="K45" s="1"/>
      <c r="L45" s="1"/>
      <c r="M45" s="1"/>
      <c r="N45" s="1"/>
      <c r="O45" s="1"/>
      <c r="P45" s="1"/>
    </row>
    <row r="46" spans="1:16">
      <c r="A46" s="1">
        <v>2.4999999999999998E-12</v>
      </c>
      <c r="B46" s="1">
        <f t="shared" si="0"/>
        <v>0.16411225335236154</v>
      </c>
      <c r="C46" s="1">
        <f t="shared" si="1"/>
        <v>193104.9415442376</v>
      </c>
      <c r="D46" s="1">
        <f t="shared" si="2"/>
        <v>439.43640990022544</v>
      </c>
      <c r="E46" s="1">
        <f t="shared" si="3"/>
        <v>0</v>
      </c>
      <c r="F46" s="1">
        <f t="shared" si="4"/>
        <v>0</v>
      </c>
      <c r="G46" s="1">
        <f t="shared" si="5"/>
        <v>0</v>
      </c>
      <c r="H46" s="1">
        <f t="shared" si="6"/>
        <v>0</v>
      </c>
      <c r="I46" s="1">
        <f>'WSO-UV_WUVS_130nm'!I53</f>
        <v>1368.5097702293715</v>
      </c>
      <c r="J46" s="1"/>
      <c r="K46" s="1"/>
      <c r="L46" s="1"/>
      <c r="M46" s="1"/>
      <c r="N46" s="1"/>
      <c r="O46" s="1"/>
      <c r="P46" s="1"/>
    </row>
    <row r="47" spans="1:16">
      <c r="A47" s="1">
        <v>2E-12</v>
      </c>
      <c r="B47" s="1">
        <f t="shared" si="0"/>
        <v>0.13128980268188925</v>
      </c>
      <c r="C47" s="1">
        <f t="shared" si="1"/>
        <v>154483.9532353901</v>
      </c>
      <c r="D47" s="1">
        <f t="shared" si="2"/>
        <v>393.04372535074486</v>
      </c>
      <c r="E47" s="1">
        <f t="shared" si="3"/>
        <v>0</v>
      </c>
      <c r="F47" s="1">
        <f t="shared" si="4"/>
        <v>0</v>
      </c>
      <c r="G47" s="1">
        <f t="shared" si="5"/>
        <v>0</v>
      </c>
      <c r="H47" s="1">
        <f t="shared" si="6"/>
        <v>0</v>
      </c>
      <c r="I47" s="1">
        <f>'WSO-UV_WUVS_130nm'!I54</f>
        <v>1223.0750327341955</v>
      </c>
      <c r="J47" s="1"/>
      <c r="K47" s="1"/>
      <c r="L47" s="1"/>
      <c r="M47" s="1"/>
      <c r="N47" s="1"/>
      <c r="O47" s="1"/>
      <c r="P47" s="1"/>
    </row>
    <row r="48" spans="1:16">
      <c r="A48" s="1">
        <v>1.5000000000000001E-12</v>
      </c>
      <c r="B48" s="1">
        <f t="shared" si="0"/>
        <v>9.8467352011416931E-2</v>
      </c>
      <c r="C48" s="1">
        <f t="shared" si="1"/>
        <v>115862.96492654258</v>
      </c>
      <c r="D48" s="1">
        <f t="shared" si="2"/>
        <v>340.38563678492392</v>
      </c>
      <c r="E48" s="1">
        <f t="shared" si="3"/>
        <v>0</v>
      </c>
      <c r="F48" s="1">
        <f t="shared" si="4"/>
        <v>0</v>
      </c>
      <c r="G48" s="1">
        <f t="shared" si="5"/>
        <v>0</v>
      </c>
      <c r="H48" s="1">
        <f t="shared" si="6"/>
        <v>0</v>
      </c>
      <c r="I48" s="1">
        <f>'WSO-UV_WUVS_130nm'!I55</f>
        <v>1057.8365933830089</v>
      </c>
      <c r="J48" s="1"/>
      <c r="K48" s="1"/>
      <c r="L48" s="1"/>
      <c r="M48" s="1"/>
      <c r="N48" s="1"/>
      <c r="O48" s="1"/>
      <c r="P48" s="1"/>
    </row>
    <row r="49" spans="1:16">
      <c r="A49" s="1">
        <v>9.9999999999999998E-13</v>
      </c>
      <c r="B49" s="1">
        <f t="shared" si="0"/>
        <v>6.5644901340944625E-2</v>
      </c>
      <c r="C49" s="1">
        <f t="shared" si="1"/>
        <v>77241.976617695051</v>
      </c>
      <c r="D49" s="1">
        <f t="shared" si="2"/>
        <v>277.92335889971241</v>
      </c>
      <c r="E49" s="1">
        <f t="shared" si="3"/>
        <v>0</v>
      </c>
      <c r="F49" s="1">
        <f t="shared" si="4"/>
        <v>0</v>
      </c>
      <c r="G49" s="1">
        <f t="shared" si="5"/>
        <v>0</v>
      </c>
      <c r="H49" s="1">
        <f t="shared" si="6"/>
        <v>0</v>
      </c>
      <c r="I49" s="1">
        <f>'WSO-UV_WUVS_130nm'!I56</f>
        <v>861.48368689675556</v>
      </c>
      <c r="J49" s="1"/>
      <c r="K49" s="1"/>
      <c r="L49" s="1"/>
      <c r="M49" s="1"/>
      <c r="N49" s="1"/>
      <c r="O49" s="1"/>
      <c r="P49" s="1"/>
    </row>
    <row r="50" spans="1:16">
      <c r="A50" s="1">
        <v>9.4999999999999999E-13</v>
      </c>
      <c r="B50" s="1">
        <f t="shared" si="0"/>
        <v>6.2362656273897393E-2</v>
      </c>
      <c r="C50" s="1">
        <f t="shared" si="1"/>
        <v>73379.877786810292</v>
      </c>
      <c r="D50" s="1">
        <f t="shared" si="2"/>
        <v>270.88612845888832</v>
      </c>
      <c r="E50" s="1">
        <f t="shared" si="3"/>
        <v>0</v>
      </c>
      <c r="F50" s="1">
        <f t="shared" si="4"/>
        <v>0</v>
      </c>
      <c r="G50" s="1">
        <f t="shared" si="5"/>
        <v>0</v>
      </c>
      <c r="H50" s="1">
        <f t="shared" si="6"/>
        <v>0</v>
      </c>
      <c r="I50" s="1">
        <f>'WSO-UV_WUVS_130nm'!I57</f>
        <v>839.32782257466795</v>
      </c>
      <c r="J50" s="1"/>
      <c r="K50" s="1"/>
      <c r="L50" s="1"/>
      <c r="M50" s="1"/>
      <c r="N50" s="1"/>
      <c r="O50" s="1"/>
      <c r="P50" s="1"/>
    </row>
    <row r="51" spans="1:16">
      <c r="A51" s="1">
        <v>9E-13</v>
      </c>
      <c r="B51" s="1">
        <f t="shared" si="0"/>
        <v>5.9080411206850154E-2</v>
      </c>
      <c r="C51" s="1">
        <f t="shared" si="1"/>
        <v>69517.778955925547</v>
      </c>
      <c r="D51" s="1">
        <f t="shared" si="2"/>
        <v>263.66113813153828</v>
      </c>
      <c r="E51" s="1">
        <f t="shared" si="3"/>
        <v>0</v>
      </c>
      <c r="F51" s="1">
        <f t="shared" si="4"/>
        <v>0</v>
      </c>
      <c r="G51" s="1">
        <f t="shared" si="5"/>
        <v>0</v>
      </c>
      <c r="H51" s="1">
        <f t="shared" si="6"/>
        <v>0</v>
      </c>
      <c r="I51" s="1">
        <f>'WSO-UV_WUVS_130nm'!I58</f>
        <v>816.57166662181965</v>
      </c>
      <c r="J51" s="1"/>
      <c r="K51" s="1"/>
      <c r="L51" s="1"/>
      <c r="M51" s="1"/>
      <c r="N51" s="1"/>
      <c r="O51" s="1"/>
      <c r="P51" s="1"/>
    </row>
    <row r="52" spans="1:16">
      <c r="A52" s="1">
        <v>8.5000000000000001E-13</v>
      </c>
      <c r="B52" s="1">
        <f t="shared" si="0"/>
        <v>5.5798166139802929E-2</v>
      </c>
      <c r="C52" s="1">
        <f t="shared" si="1"/>
        <v>65655.680125040788</v>
      </c>
      <c r="D52" s="1">
        <f t="shared" si="2"/>
        <v>256.23250560813153</v>
      </c>
      <c r="E52" s="1">
        <f t="shared" si="3"/>
        <v>0</v>
      </c>
      <c r="F52" s="1">
        <f t="shared" si="4"/>
        <v>0</v>
      </c>
      <c r="G52" s="1">
        <f t="shared" si="5"/>
        <v>0</v>
      </c>
      <c r="H52" s="1">
        <f t="shared" si="6"/>
        <v>0</v>
      </c>
      <c r="I52" s="1">
        <f>'WSO-UV_WUVS_130nm'!I59</f>
        <v>793.16366676317784</v>
      </c>
      <c r="J52" s="1"/>
      <c r="K52" s="1"/>
      <c r="L52" s="1"/>
      <c r="M52" s="1"/>
      <c r="N52" s="1"/>
      <c r="O52" s="1"/>
      <c r="P52" s="1"/>
    </row>
    <row r="53" spans="1:16">
      <c r="A53" s="1">
        <v>8.0000000000000002E-13</v>
      </c>
      <c r="B53" s="1">
        <f t="shared" si="0"/>
        <v>5.2515921072755697E-2</v>
      </c>
      <c r="C53" s="1">
        <f t="shared" si="1"/>
        <v>61793.581294156036</v>
      </c>
      <c r="D53" s="1">
        <f t="shared" si="2"/>
        <v>248.58197460729158</v>
      </c>
      <c r="E53" s="1">
        <f t="shared" si="3"/>
        <v>0</v>
      </c>
      <c r="F53" s="1">
        <f t="shared" si="4"/>
        <v>0</v>
      </c>
      <c r="G53" s="1">
        <f t="shared" si="5"/>
        <v>0</v>
      </c>
      <c r="H53" s="1">
        <f t="shared" si="6"/>
        <v>0</v>
      </c>
      <c r="I53" s="1">
        <f>'WSO-UV_WUVS_130nm'!I60</f>
        <v>769.0444494182326</v>
      </c>
      <c r="J53" s="1"/>
      <c r="K53" s="1"/>
      <c r="L53" s="1"/>
      <c r="M53" s="1"/>
      <c r="N53" s="1"/>
      <c r="O53" s="1"/>
      <c r="P53" s="1"/>
    </row>
    <row r="54" spans="1:16">
      <c r="A54" s="1">
        <v>7.5000000000000004E-13</v>
      </c>
      <c r="B54" s="1">
        <f t="shared" si="0"/>
        <v>4.9233676005708465E-2</v>
      </c>
      <c r="C54" s="1">
        <f t="shared" si="1"/>
        <v>57931.482463271292</v>
      </c>
      <c r="D54" s="1">
        <f t="shared" si="2"/>
        <v>240.68838623652437</v>
      </c>
      <c r="E54" s="1">
        <f t="shared" si="3"/>
        <v>0</v>
      </c>
      <c r="F54" s="1">
        <f t="shared" si="4"/>
        <v>0</v>
      </c>
      <c r="G54" s="1">
        <f t="shared" si="5"/>
        <v>0</v>
      </c>
      <c r="H54" s="1">
        <f t="shared" si="6"/>
        <v>0</v>
      </c>
      <c r="I54" s="1">
        <f>'WSO-UV_WUVS_130nm'!I61</f>
        <v>744.14505237113451</v>
      </c>
      <c r="J54" s="1"/>
      <c r="K54" s="1"/>
      <c r="L54" s="1"/>
      <c r="M54" s="1"/>
      <c r="N54" s="1"/>
      <c r="O54" s="1"/>
      <c r="P54" s="1"/>
    </row>
    <row r="55" spans="1:16">
      <c r="A55" s="1">
        <v>7.0000000000000005E-13</v>
      </c>
      <c r="B55" s="1">
        <f t="shared" si="0"/>
        <v>4.595143093866124E-2</v>
      </c>
      <c r="C55" s="1">
        <f t="shared" si="1"/>
        <v>54069.38363238654</v>
      </c>
      <c r="D55" s="1">
        <f t="shared" si="2"/>
        <v>232.52698862428196</v>
      </c>
      <c r="E55" s="1">
        <f t="shared" si="3"/>
        <v>0</v>
      </c>
      <c r="F55" s="1">
        <f t="shared" si="4"/>
        <v>0</v>
      </c>
      <c r="G55" s="1">
        <f t="shared" si="5"/>
        <v>0</v>
      </c>
      <c r="H55" s="1">
        <f t="shared" si="6"/>
        <v>0</v>
      </c>
      <c r="I55" s="1">
        <f>'WSO-UV_WUVS_130nm'!I62</f>
        <v>718.38460894707498</v>
      </c>
      <c r="J55" s="1"/>
      <c r="K55" s="1"/>
      <c r="L55" s="1"/>
      <c r="M55" s="1"/>
      <c r="N55" s="1"/>
      <c r="O55" s="1"/>
      <c r="P55" s="1"/>
    </row>
    <row r="56" spans="1:16">
      <c r="A56" s="1">
        <v>6.4999999999999996E-13</v>
      </c>
      <c r="B56" s="1">
        <f t="shared" si="0"/>
        <v>4.2669185871614002E-2</v>
      </c>
      <c r="C56" s="1">
        <f t="shared" si="1"/>
        <v>50207.284801501781</v>
      </c>
      <c r="D56" s="1">
        <f t="shared" si="2"/>
        <v>224.06851989575881</v>
      </c>
      <c r="E56" s="1">
        <f t="shared" si="3"/>
        <v>0</v>
      </c>
      <c r="F56" s="1">
        <f t="shared" si="4"/>
        <v>0</v>
      </c>
      <c r="G56" s="1">
        <f t="shared" si="5"/>
        <v>0</v>
      </c>
      <c r="H56" s="1">
        <f t="shared" si="6"/>
        <v>0</v>
      </c>
      <c r="I56" s="1">
        <f>'WSO-UV_WUVS_130nm'!I63</f>
        <v>691.66726039157675</v>
      </c>
      <c r="J56" s="1"/>
      <c r="K56" s="1"/>
      <c r="L56" s="1"/>
      <c r="M56" s="1"/>
      <c r="N56" s="1"/>
      <c r="O56" s="1"/>
      <c r="P56" s="1"/>
    </row>
    <row r="57" spans="1:16">
      <c r="A57" s="1">
        <v>5.9999999999999997E-13</v>
      </c>
      <c r="B57" s="1">
        <f t="shared" si="0"/>
        <v>3.938694080456677E-2</v>
      </c>
      <c r="C57" s="1">
        <f t="shared" si="1"/>
        <v>46345.185970617029</v>
      </c>
      <c r="D57" s="1">
        <f t="shared" si="2"/>
        <v>215.27796630857472</v>
      </c>
      <c r="E57" s="1">
        <f t="shared" si="3"/>
        <v>0</v>
      </c>
      <c r="F57" s="1">
        <f t="shared" si="4"/>
        <v>0</v>
      </c>
      <c r="G57" s="1">
        <f t="shared" si="5"/>
        <v>0</v>
      </c>
      <c r="H57" s="1">
        <f t="shared" si="6"/>
        <v>0</v>
      </c>
      <c r="I57" s="1">
        <f>'WSO-UV_WUVS_130nm'!I64</f>
        <v>663.87795720449481</v>
      </c>
      <c r="J57" s="1"/>
      <c r="K57" s="1"/>
      <c r="L57" s="1"/>
      <c r="M57" s="1"/>
      <c r="N57" s="1"/>
      <c r="O57" s="1"/>
      <c r="P57" s="1"/>
    </row>
    <row r="58" spans="1:16">
      <c r="A58" s="1">
        <v>5.4999999999999998E-13</v>
      </c>
      <c r="B58" s="1">
        <f t="shared" si="0"/>
        <v>3.6104695737519538E-2</v>
      </c>
      <c r="C58" s="1">
        <f t="shared" si="1"/>
        <v>42483.08713973227</v>
      </c>
      <c r="D58" s="1">
        <f t="shared" si="2"/>
        <v>206.11284275303717</v>
      </c>
      <c r="E58" s="1">
        <f t="shared" si="3"/>
        <v>0</v>
      </c>
      <c r="F58" s="1">
        <f t="shared" si="4"/>
        <v>0</v>
      </c>
      <c r="G58" s="1">
        <f t="shared" si="5"/>
        <v>0</v>
      </c>
      <c r="H58" s="1">
        <f t="shared" si="6"/>
        <v>0</v>
      </c>
      <c r="I58" s="1">
        <f>'WSO-UV_WUVS_130nm'!I65</f>
        <v>634.87661879688869</v>
      </c>
      <c r="J58" s="1"/>
      <c r="K58" s="1"/>
      <c r="L58" s="1"/>
      <c r="M58" s="1"/>
      <c r="N58" s="1"/>
      <c r="O58" s="1"/>
      <c r="P58" s="1"/>
    </row>
    <row r="59" spans="1:16">
      <c r="A59" s="1">
        <v>4.9999999999999999E-13</v>
      </c>
      <c r="B59" s="1">
        <f t="shared" si="0"/>
        <v>3.2822450670472313E-2</v>
      </c>
      <c r="C59" s="1">
        <f t="shared" si="1"/>
        <v>38620.988308847525</v>
      </c>
      <c r="D59" s="1">
        <f t="shared" si="2"/>
        <v>196.52074983994453</v>
      </c>
      <c r="E59" s="1">
        <f t="shared" si="3"/>
        <v>0</v>
      </c>
      <c r="F59" s="1">
        <f t="shared" si="4"/>
        <v>0</v>
      </c>
      <c r="G59" s="1">
        <f t="shared" si="5"/>
        <v>0</v>
      </c>
      <c r="H59" s="1">
        <f t="shared" si="6"/>
        <v>0</v>
      </c>
      <c r="I59" s="1">
        <f>'WSO-UV_WUVS_130nm'!I66</f>
        <v>604.48979314806741</v>
      </c>
      <c r="J59" s="1"/>
      <c r="K59" s="1"/>
      <c r="L59" s="1"/>
      <c r="M59" s="1"/>
      <c r="N59" s="1"/>
      <c r="O59" s="1"/>
      <c r="P59" s="1"/>
    </row>
    <row r="60" spans="1:16">
      <c r="A60" s="1">
        <v>4.5E-13</v>
      </c>
      <c r="B60" s="1">
        <f t="shared" si="0"/>
        <v>2.9540205603425077E-2</v>
      </c>
      <c r="C60" s="1">
        <f t="shared" si="1"/>
        <v>34758.889477962774</v>
      </c>
      <c r="D60" s="1">
        <f t="shared" si="2"/>
        <v>186.43579669083886</v>
      </c>
      <c r="E60" s="1">
        <f t="shared" si="3"/>
        <v>0</v>
      </c>
      <c r="F60" s="1">
        <f t="shared" si="4"/>
        <v>0</v>
      </c>
      <c r="G60" s="1">
        <f t="shared" si="5"/>
        <v>0</v>
      </c>
      <c r="H60" s="1">
        <f t="shared" si="6"/>
        <v>0</v>
      </c>
      <c r="I60" s="1">
        <f>'WSO-UV_WUVS_130nm'!I67</f>
        <v>572.49837266929114</v>
      </c>
      <c r="J60" s="1"/>
      <c r="K60" s="1"/>
      <c r="L60" s="1"/>
      <c r="M60" s="1"/>
      <c r="N60" s="1"/>
      <c r="O60" s="1"/>
      <c r="P60" s="1"/>
    </row>
    <row r="61" spans="1:16">
      <c r="A61" s="1">
        <v>4.0000000000000001E-13</v>
      </c>
      <c r="B61" s="1">
        <f t="shared" si="0"/>
        <v>2.6257960536377849E-2</v>
      </c>
      <c r="C61" s="1">
        <f t="shared" si="1"/>
        <v>30896.790647078018</v>
      </c>
      <c r="D61" s="1">
        <f t="shared" si="2"/>
        <v>175.77317047287434</v>
      </c>
      <c r="E61" s="1">
        <f t="shared" si="3"/>
        <v>0</v>
      </c>
      <c r="F61" s="1">
        <f t="shared" si="4"/>
        <v>0</v>
      </c>
      <c r="G61" s="1">
        <f t="shared" si="5"/>
        <v>0</v>
      </c>
      <c r="H61" s="1">
        <f t="shared" si="6"/>
        <v>0</v>
      </c>
      <c r="I61" s="1">
        <f>'WSO-UV_WUVS_130nm'!I68</f>
        <v>538.61882270204626</v>
      </c>
      <c r="J61" s="1"/>
      <c r="K61" s="1"/>
      <c r="L61" s="1"/>
      <c r="M61" s="1"/>
      <c r="N61" s="1"/>
      <c r="O61" s="1"/>
      <c r="P61" s="1"/>
    </row>
    <row r="62" spans="1:16">
      <c r="A62" s="1">
        <v>3.5000000000000002E-13</v>
      </c>
      <c r="B62" s="1">
        <f t="shared" si="0"/>
        <v>2.297571546933062E-2</v>
      </c>
      <c r="C62" s="1">
        <f t="shared" si="1"/>
        <v>27034.69181619327</v>
      </c>
      <c r="D62" s="1">
        <f t="shared" si="2"/>
        <v>164.42052374558949</v>
      </c>
      <c r="E62" s="1">
        <f t="shared" si="3"/>
        <v>0</v>
      </c>
      <c r="F62" s="1">
        <f t="shared" si="4"/>
        <v>0</v>
      </c>
      <c r="G62" s="1">
        <f t="shared" si="5"/>
        <v>0</v>
      </c>
      <c r="H62" s="1">
        <f t="shared" si="6"/>
        <v>0</v>
      </c>
      <c r="I62" s="1">
        <f>'WSO-UV_WUVS_130nm'!I69</f>
        <v>502.47318558270183</v>
      </c>
      <c r="J62" s="1"/>
      <c r="K62" s="1"/>
      <c r="L62" s="1"/>
      <c r="M62" s="1"/>
      <c r="N62" s="1"/>
      <c r="O62" s="1"/>
      <c r="P62" s="1"/>
    </row>
    <row r="63" spans="1:16">
      <c r="A63" s="1">
        <v>2.9999999999999998E-13</v>
      </c>
      <c r="B63" s="1">
        <f t="shared" si="0"/>
        <v>1.9693470402283385E-2</v>
      </c>
      <c r="C63" s="1">
        <f t="shared" si="1"/>
        <v>23172.592985308514</v>
      </c>
      <c r="D63" s="1">
        <f t="shared" si="2"/>
        <v>152.22355205416122</v>
      </c>
      <c r="E63" s="1">
        <f t="shared" si="3"/>
        <v>0</v>
      </c>
      <c r="F63" s="1">
        <f t="shared" si="4"/>
        <v>0</v>
      </c>
      <c r="G63" s="1">
        <f t="shared" si="5"/>
        <v>0</v>
      </c>
      <c r="H63" s="1">
        <f t="shared" si="6"/>
        <v>0</v>
      </c>
      <c r="I63" s="1">
        <f>'WSO-UV_WUVS_130nm'!I70</f>
        <v>463.53841629379195</v>
      </c>
      <c r="J63" s="1"/>
      <c r="K63" s="1"/>
      <c r="L63" s="1"/>
      <c r="M63" s="1"/>
      <c r="N63" s="1"/>
      <c r="O63" s="1"/>
      <c r="P63" s="1"/>
    </row>
    <row r="64" spans="1:16">
      <c r="A64" s="1">
        <v>2.4999999999999999E-13</v>
      </c>
      <c r="B64" s="1">
        <f t="shared" si="0"/>
        <v>1.6411225335236156E-2</v>
      </c>
      <c r="C64" s="1">
        <f t="shared" si="1"/>
        <v>19310.494154423763</v>
      </c>
      <c r="D64" s="1">
        <f t="shared" si="2"/>
        <v>138.96010568518062</v>
      </c>
      <c r="E64" s="1">
        <f t="shared" si="3"/>
        <v>0</v>
      </c>
      <c r="F64" s="1">
        <f t="shared" si="4"/>
        <v>0</v>
      </c>
      <c r="G64" s="1">
        <f t="shared" si="5"/>
        <v>0</v>
      </c>
      <c r="H64" s="1">
        <f t="shared" si="6"/>
        <v>0</v>
      </c>
      <c r="I64" s="1">
        <f>'WSO-UV_WUVS_130nm'!I71</f>
        <v>421.05453691546501</v>
      </c>
      <c r="J64" s="1"/>
      <c r="K64" s="1"/>
      <c r="L64" s="1"/>
      <c r="M64" s="1"/>
      <c r="N64" s="1"/>
      <c r="O64" s="1"/>
      <c r="P64" s="1"/>
    </row>
    <row r="65" spans="1:16">
      <c r="A65" s="1">
        <v>2.0000000000000001E-13</v>
      </c>
      <c r="B65" s="1">
        <f t="shared" si="0"/>
        <v>1.3128980268188924E-2</v>
      </c>
      <c r="C65" s="1">
        <f t="shared" si="1"/>
        <v>15448.395323539009</v>
      </c>
      <c r="D65" s="1">
        <f t="shared" si="2"/>
        <v>124.28922779370241</v>
      </c>
      <c r="E65" s="1">
        <f t="shared" si="3"/>
        <v>0</v>
      </c>
      <c r="F65" s="1">
        <f t="shared" si="4"/>
        <v>0</v>
      </c>
      <c r="G65" s="1">
        <f t="shared" si="5"/>
        <v>0</v>
      </c>
      <c r="H65" s="1">
        <f t="shared" si="6"/>
        <v>0</v>
      </c>
      <c r="I65" s="1">
        <f>'WSO-UV_WUVS_130nm'!I72</f>
        <v>373.84179065406943</v>
      </c>
      <c r="J65" s="1"/>
      <c r="K65" s="1"/>
      <c r="L65" s="1"/>
      <c r="M65" s="1"/>
      <c r="N65" s="1"/>
      <c r="O65" s="1"/>
      <c r="P65" s="1"/>
    </row>
    <row r="66" spans="1:16">
      <c r="A66" s="1">
        <v>1.4999999999999999E-13</v>
      </c>
      <c r="B66" s="1">
        <f t="shared" si="0"/>
        <v>9.8467352011416924E-3</v>
      </c>
      <c r="C66" s="1">
        <f t="shared" si="1"/>
        <v>11586.296492654257</v>
      </c>
      <c r="D66" s="1">
        <f t="shared" si="2"/>
        <v>107.6369514711762</v>
      </c>
      <c r="E66" s="1">
        <f t="shared" si="3"/>
        <v>0</v>
      </c>
      <c r="F66" s="1">
        <f t="shared" si="4"/>
        <v>0</v>
      </c>
      <c r="G66" s="1">
        <f t="shared" si="5"/>
        <v>0</v>
      </c>
      <c r="H66" s="1">
        <f t="shared" si="6"/>
        <v>0</v>
      </c>
      <c r="I66" s="1">
        <f>'WSO-UV_WUVS_130nm'!I73</f>
        <v>319.88581373713481</v>
      </c>
      <c r="J66" s="1"/>
      <c r="K66" s="1"/>
      <c r="L66" s="1"/>
      <c r="M66" s="1"/>
      <c r="N66" s="1"/>
      <c r="O66" s="1"/>
      <c r="P66" s="1"/>
    </row>
    <row r="67" spans="1:16">
      <c r="A67" s="1">
        <v>1E-13</v>
      </c>
      <c r="B67" s="1">
        <f t="shared" si="0"/>
        <v>6.5644901340944622E-3</v>
      </c>
      <c r="C67" s="1">
        <f t="shared" si="1"/>
        <v>7724.1976617695045</v>
      </c>
      <c r="D67" s="1">
        <f t="shared" si="2"/>
        <v>87.884097001673297</v>
      </c>
      <c r="E67" s="1">
        <f t="shared" si="3"/>
        <v>0</v>
      </c>
      <c r="F67" s="1">
        <f t="shared" si="4"/>
        <v>0</v>
      </c>
      <c r="G67" s="1">
        <f t="shared" si="5"/>
        <v>0</v>
      </c>
      <c r="H67" s="1">
        <f t="shared" si="6"/>
        <v>0</v>
      </c>
      <c r="I67" s="1">
        <f>'WSO-UV_WUVS_130nm'!I74</f>
        <v>255.19069622030563</v>
      </c>
      <c r="J67" s="1"/>
      <c r="K67" s="1"/>
      <c r="L67" s="1"/>
      <c r="M67" s="1"/>
      <c r="N67" s="1"/>
      <c r="O67" s="1"/>
      <c r="P67" s="1"/>
    </row>
    <row r="68" spans="1:16">
      <c r="A68" s="1">
        <v>9.4999999999999999E-14</v>
      </c>
      <c r="B68" s="1">
        <f t="shared" si="0"/>
        <v>6.2362656273897386E-3</v>
      </c>
      <c r="C68" s="1">
        <f t="shared" si="1"/>
        <v>7337.9877786810293</v>
      </c>
      <c r="D68" s="1">
        <f t="shared" si="2"/>
        <v>85.658651781523119</v>
      </c>
      <c r="E68" s="1">
        <f t="shared" si="3"/>
        <v>0</v>
      </c>
      <c r="F68" s="1">
        <f t="shared" si="4"/>
        <v>0</v>
      </c>
      <c r="G68" s="1">
        <f t="shared" si="5"/>
        <v>0</v>
      </c>
      <c r="H68" s="1">
        <f t="shared" si="6"/>
        <v>0</v>
      </c>
      <c r="I68" s="1">
        <f>'WSO-UV_WUVS_130nm'!I75</f>
        <v>247.84279790542155</v>
      </c>
      <c r="J68" s="1"/>
      <c r="K68" s="1"/>
      <c r="L68" s="1"/>
      <c r="M68" s="1"/>
      <c r="N68" s="1"/>
      <c r="O68" s="1"/>
      <c r="P68" s="1"/>
    </row>
    <row r="69" spans="1:16">
      <c r="A69" s="1">
        <v>8.9999999999999995E-14</v>
      </c>
      <c r="B69" s="1">
        <f t="shared" si="0"/>
        <v>5.908041120685016E-3</v>
      </c>
      <c r="C69" s="1">
        <f t="shared" si="1"/>
        <v>6951.7778955925542</v>
      </c>
      <c r="D69" s="1">
        <f t="shared" si="2"/>
        <v>83.373825296158671</v>
      </c>
      <c r="E69" s="1">
        <f t="shared" si="3"/>
        <v>0</v>
      </c>
      <c r="F69" s="1">
        <f t="shared" si="4"/>
        <v>0</v>
      </c>
      <c r="G69" s="1">
        <f t="shared" si="5"/>
        <v>0</v>
      </c>
      <c r="H69" s="1">
        <f t="shared" si="6"/>
        <v>0</v>
      </c>
      <c r="I69" s="1">
        <f>'WSO-UV_WUVS_130nm'!I76</f>
        <v>240.28465816905123</v>
      </c>
      <c r="J69" s="1"/>
      <c r="K69" s="1"/>
      <c r="L69" s="1"/>
      <c r="M69" s="1"/>
      <c r="N69" s="1"/>
      <c r="O69" s="1"/>
      <c r="P69" s="1"/>
    </row>
    <row r="70" spans="1:16">
      <c r="A70" s="1">
        <v>8.5000000000000004E-14</v>
      </c>
      <c r="B70" s="1">
        <f t="shared" si="0"/>
        <v>5.5798166139802924E-3</v>
      </c>
      <c r="C70" s="1">
        <f t="shared" si="1"/>
        <v>6565.5680125040781</v>
      </c>
      <c r="D70" s="1">
        <f t="shared" si="2"/>
        <v>81.024594194006355</v>
      </c>
      <c r="E70" s="1">
        <f t="shared" si="3"/>
        <v>0</v>
      </c>
      <c r="F70" s="1">
        <f t="shared" si="4"/>
        <v>0</v>
      </c>
      <c r="G70" s="1">
        <f t="shared" si="5"/>
        <v>0</v>
      </c>
      <c r="H70" s="1">
        <f t="shared" si="6"/>
        <v>0</v>
      </c>
      <c r="I70" s="1">
        <f>'WSO-UV_WUVS_130nm'!I77</f>
        <v>232.49798404650434</v>
      </c>
      <c r="J70" s="1"/>
      <c r="K70" s="1"/>
      <c r="L70" s="1"/>
      <c r="M70" s="1"/>
      <c r="N70" s="1"/>
      <c r="O70" s="1"/>
      <c r="P70" s="1"/>
    </row>
    <row r="71" spans="1:16">
      <c r="A71" s="1">
        <v>8E-14</v>
      </c>
      <c r="B71" s="1">
        <f t="shared" si="0"/>
        <v>5.2515921072755697E-3</v>
      </c>
      <c r="C71" s="1">
        <f t="shared" si="1"/>
        <v>6179.3581294156038</v>
      </c>
      <c r="D71" s="1">
        <f t="shared" si="2"/>
        <v>78.605184208499168</v>
      </c>
      <c r="E71" s="1">
        <f t="shared" si="3"/>
        <v>0</v>
      </c>
      <c r="F71" s="1">
        <f t="shared" si="4"/>
        <v>0</v>
      </c>
      <c r="G71" s="1">
        <f t="shared" si="5"/>
        <v>0</v>
      </c>
      <c r="H71" s="1">
        <f t="shared" si="6"/>
        <v>0</v>
      </c>
      <c r="I71" s="1">
        <f>'WSO-UV_WUVS_130nm'!I78</f>
        <v>224.46176007742176</v>
      </c>
      <c r="J71" s="1"/>
      <c r="K71" s="1"/>
      <c r="L71" s="1"/>
      <c r="M71" s="1"/>
      <c r="N71" s="1"/>
      <c r="O71" s="1"/>
      <c r="P71" s="1"/>
    </row>
    <row r="72" spans="1:16">
      <c r="A72" s="1">
        <v>7.4999999999999996E-14</v>
      </c>
      <c r="B72" s="1">
        <f t="shared" si="0"/>
        <v>4.9233676005708462E-3</v>
      </c>
      <c r="C72" s="1">
        <f t="shared" si="1"/>
        <v>5793.1482463271286</v>
      </c>
      <c r="D72" s="1">
        <f t="shared" si="2"/>
        <v>76.108902928844941</v>
      </c>
      <c r="E72" s="1">
        <f t="shared" si="3"/>
        <v>0</v>
      </c>
      <c r="F72" s="1">
        <f t="shared" si="4"/>
        <v>0</v>
      </c>
      <c r="G72" s="1">
        <f t="shared" si="5"/>
        <v>0</v>
      </c>
      <c r="H72" s="1">
        <f t="shared" si="6"/>
        <v>0</v>
      </c>
      <c r="I72" s="1">
        <f>'WSO-UV_WUVS_130nm'!I79</f>
        <v>216.15166096328389</v>
      </c>
      <c r="J72" s="1"/>
      <c r="K72" s="1"/>
      <c r="L72" s="1"/>
      <c r="M72" s="1"/>
      <c r="N72" s="1"/>
      <c r="O72" s="1"/>
      <c r="P72" s="1"/>
    </row>
    <row r="73" spans="1:16">
      <c r="A73" s="1">
        <v>7.0000000000000005E-14</v>
      </c>
      <c r="B73" s="1">
        <f t="shared" si="0"/>
        <v>4.5951430938661244E-3</v>
      </c>
      <c r="C73" s="1">
        <f t="shared" si="1"/>
        <v>5406.9383632386543</v>
      </c>
      <c r="D73" s="1">
        <f t="shared" si="2"/>
        <v>73.527921404978159</v>
      </c>
      <c r="E73" s="1">
        <f t="shared" si="3"/>
        <v>0</v>
      </c>
      <c r="F73" s="1">
        <f t="shared" si="4"/>
        <v>0</v>
      </c>
      <c r="G73" s="1">
        <f t="shared" si="5"/>
        <v>0</v>
      </c>
      <c r="H73" s="1">
        <f t="shared" si="6"/>
        <v>0</v>
      </c>
      <c r="I73" s="1">
        <f>'WSO-UV_WUVS_130nm'!I80</f>
        <v>207.53929434428437</v>
      </c>
      <c r="J73" s="1"/>
      <c r="K73" s="1"/>
      <c r="L73" s="1"/>
      <c r="M73" s="1"/>
      <c r="N73" s="1"/>
      <c r="O73" s="1"/>
      <c r="P73" s="1"/>
    </row>
    <row r="74" spans="1:16">
      <c r="A74" s="1">
        <v>6.5000000000000001E-14</v>
      </c>
      <c r="B74" s="1">
        <f t="shared" si="0"/>
        <v>4.2669185871614008E-3</v>
      </c>
      <c r="C74" s="1">
        <f t="shared" si="1"/>
        <v>5020.7284801501783</v>
      </c>
      <c r="D74" s="1">
        <f t="shared" si="2"/>
        <v>70.852984043623124</v>
      </c>
      <c r="E74" s="1">
        <f t="shared" si="3"/>
        <v>0</v>
      </c>
      <c r="F74" s="1">
        <f t="shared" si="4"/>
        <v>0</v>
      </c>
      <c r="G74" s="1">
        <f t="shared" si="5"/>
        <v>0</v>
      </c>
      <c r="H74" s="1">
        <f t="shared" si="6"/>
        <v>0</v>
      </c>
      <c r="I74" s="1">
        <f>'WSO-UV_WUVS_130nm'!I81</f>
        <v>198.59121068455843</v>
      </c>
      <c r="J74" s="1"/>
      <c r="K74" s="1"/>
      <c r="L74" s="1"/>
      <c r="M74" s="1"/>
      <c r="N74" s="1"/>
      <c r="O74" s="1"/>
      <c r="P74" s="1"/>
    </row>
    <row r="75" spans="1:16">
      <c r="A75" s="1">
        <v>5.9999999999999997E-14</v>
      </c>
      <c r="B75" s="1">
        <f t="shared" si="0"/>
        <v>3.9386940804566764E-3</v>
      </c>
      <c r="C75" s="1">
        <f t="shared" si="1"/>
        <v>4634.5185970617022</v>
      </c>
      <c r="D75" s="1">
        <f t="shared" si="2"/>
        <v>68.073015729005064</v>
      </c>
      <c r="E75" s="1">
        <f t="shared" si="3"/>
        <v>0</v>
      </c>
      <c r="F75" s="1">
        <f t="shared" si="4"/>
        <v>0</v>
      </c>
      <c r="G75" s="1">
        <f t="shared" si="5"/>
        <v>0</v>
      </c>
      <c r="H75" s="1">
        <f t="shared" si="6"/>
        <v>0</v>
      </c>
      <c r="I75" s="1">
        <f>'WSO-UV_WUVS_130nm'!I82</f>
        <v>189.26758810475428</v>
      </c>
      <c r="J75" s="1"/>
      <c r="K75" s="1"/>
      <c r="L75" s="1"/>
      <c r="M75" s="1"/>
      <c r="N75" s="1"/>
      <c r="O75" s="1"/>
      <c r="P75" s="1"/>
    </row>
    <row r="76" spans="1:16">
      <c r="A76" s="1">
        <v>5.4999999999999999E-14</v>
      </c>
      <c r="B76" s="1">
        <f t="shared" si="0"/>
        <v>3.6104695737519542E-3</v>
      </c>
      <c r="C76" s="1">
        <f t="shared" si="1"/>
        <v>4248.3087139732279</v>
      </c>
      <c r="D76" s="1">
        <f t="shared" si="2"/>
        <v>65.174577820058488</v>
      </c>
      <c r="E76" s="1">
        <f t="shared" si="3"/>
        <v>0</v>
      </c>
      <c r="F76" s="1">
        <f t="shared" si="4"/>
        <v>0</v>
      </c>
      <c r="G76" s="1">
        <f t="shared" si="5"/>
        <v>0</v>
      </c>
      <c r="H76" s="1">
        <f t="shared" si="6"/>
        <v>0</v>
      </c>
      <c r="I76" s="1">
        <f>'WSO-UV_WUVS_130nm'!I83</f>
        <v>179.52045433396043</v>
      </c>
      <c r="J76" s="1"/>
      <c r="K76" s="1"/>
      <c r="L76" s="1"/>
      <c r="M76" s="1"/>
      <c r="N76" s="1"/>
      <c r="O76" s="1"/>
      <c r="P76" s="1"/>
    </row>
    <row r="77" spans="1:16">
      <c r="A77" s="1">
        <v>5.0000000000000002E-14</v>
      </c>
      <c r="B77" s="1">
        <f t="shared" si="0"/>
        <v>3.2822450670472311E-3</v>
      </c>
      <c r="C77" s="1">
        <f t="shared" si="1"/>
        <v>3862.0988308847523</v>
      </c>
      <c r="D77" s="1">
        <f t="shared" si="2"/>
        <v>62.141095250551707</v>
      </c>
      <c r="E77" s="1">
        <f t="shared" si="3"/>
        <v>0</v>
      </c>
      <c r="F77" s="1">
        <f t="shared" si="4"/>
        <v>0</v>
      </c>
      <c r="G77" s="1">
        <f t="shared" si="5"/>
        <v>0</v>
      </c>
      <c r="H77" s="1">
        <f t="shared" si="6"/>
        <v>0</v>
      </c>
      <c r="I77" s="1">
        <f>'WSO-UV_WUVS_130nm'!I84</f>
        <v>169.29123444141234</v>
      </c>
      <c r="J77" s="1"/>
      <c r="K77" s="1"/>
      <c r="L77" s="1"/>
      <c r="M77" s="1"/>
      <c r="N77" s="1"/>
      <c r="O77" s="1"/>
      <c r="P77" s="1"/>
    </row>
    <row r="78" spans="1:16">
      <c r="A78" s="1">
        <v>4.4999999999999998E-14</v>
      </c>
      <c r="B78" s="1">
        <f t="shared" si="0"/>
        <v>2.954020560342508E-3</v>
      </c>
      <c r="C78" s="1">
        <f t="shared" si="1"/>
        <v>3475.8889477962771</v>
      </c>
      <c r="D78" s="1">
        <f t="shared" si="2"/>
        <v>58.951724704470983</v>
      </c>
      <c r="E78" s="1">
        <f t="shared" si="3"/>
        <v>0</v>
      </c>
      <c r="F78" s="1">
        <f t="shared" si="4"/>
        <v>0</v>
      </c>
      <c r="G78" s="1">
        <f t="shared" si="5"/>
        <v>0</v>
      </c>
      <c r="H78" s="1">
        <f t="shared" si="6"/>
        <v>0</v>
      </c>
      <c r="I78" s="1">
        <f>'WSO-UV_WUVS_130nm'!I85</f>
        <v>158.50729099059174</v>
      </c>
      <c r="J78" s="1"/>
      <c r="K78" s="1"/>
      <c r="L78" s="1"/>
      <c r="M78" s="1"/>
      <c r="N78" s="1"/>
      <c r="O78" s="1"/>
      <c r="P78" s="1"/>
    </row>
    <row r="79" spans="1:16">
      <c r="A79" s="1">
        <v>4E-14</v>
      </c>
      <c r="B79" s="1">
        <f t="shared" si="0"/>
        <v>2.6257960536377849E-3</v>
      </c>
      <c r="C79" s="1">
        <f t="shared" si="1"/>
        <v>3089.6790647078019</v>
      </c>
      <c r="D79" s="1">
        <f t="shared" si="2"/>
        <v>55.579636331757179</v>
      </c>
      <c r="E79" s="1">
        <f t="shared" si="3"/>
        <v>0</v>
      </c>
      <c r="F79" s="1">
        <f t="shared" si="4"/>
        <v>0</v>
      </c>
      <c r="G79" s="1">
        <f t="shared" si="5"/>
        <v>0</v>
      </c>
      <c r="H79" s="1">
        <f t="shared" si="6"/>
        <v>0</v>
      </c>
      <c r="I79" s="1">
        <f>'WSO-UV_WUVS_130nm'!I86</f>
        <v>147.07691353270405</v>
      </c>
      <c r="J79" s="1"/>
      <c r="K79" s="1"/>
      <c r="L79" s="1"/>
      <c r="M79" s="1"/>
      <c r="N79" s="1"/>
      <c r="O79" s="1"/>
      <c r="P79" s="1"/>
    </row>
    <row r="80" spans="1:16">
      <c r="A80" s="1">
        <v>3.5000000000000002E-14</v>
      </c>
      <c r="B80" s="1">
        <f t="shared" si="0"/>
        <v>2.2975715469330622E-3</v>
      </c>
      <c r="C80" s="1">
        <f t="shared" si="1"/>
        <v>2703.4691816193272</v>
      </c>
      <c r="D80" s="1">
        <f t="shared" si="2"/>
        <v>51.989288390992066</v>
      </c>
      <c r="E80" s="1">
        <f t="shared" si="3"/>
        <v>0</v>
      </c>
      <c r="F80" s="1">
        <f t="shared" si="4"/>
        <v>0</v>
      </c>
      <c r="G80" s="1">
        <f t="shared" si="5"/>
        <v>0</v>
      </c>
      <c r="H80" s="1">
        <f t="shared" si="6"/>
        <v>0</v>
      </c>
      <c r="I80" s="1">
        <f>'WSO-UV_WUVS_130nm'!I87</f>
        <v>134.88183911490958</v>
      </c>
      <c r="J80" s="1"/>
      <c r="K80" s="1"/>
      <c r="L80" s="1"/>
      <c r="M80" s="1"/>
      <c r="N80" s="1"/>
      <c r="O80" s="1"/>
      <c r="P80" s="1"/>
    </row>
    <row r="81" spans="1:16">
      <c r="A81" s="1">
        <v>2.9999999999999998E-14</v>
      </c>
      <c r="B81" s="1">
        <f t="shared" si="0"/>
        <v>1.9693470402283382E-3</v>
      </c>
      <c r="C81" s="1">
        <f t="shared" si="1"/>
        <v>2317.2592985308511</v>
      </c>
      <c r="D81" s="1">
        <f t="shared" si="2"/>
        <v>48.13186309786613</v>
      </c>
      <c r="E81" s="1">
        <f t="shared" si="3"/>
        <v>0</v>
      </c>
      <c r="F81" s="1">
        <f t="shared" si="4"/>
        <v>0</v>
      </c>
      <c r="G81" s="1">
        <f t="shared" si="5"/>
        <v>0</v>
      </c>
      <c r="H81" s="1">
        <f t="shared" si="6"/>
        <v>0</v>
      </c>
      <c r="I81" s="1">
        <f>'WSO-UV_WUVS_130nm'!I88</f>
        <v>121.76568201726501</v>
      </c>
      <c r="J81" s="1"/>
      <c r="K81" s="1"/>
      <c r="L81" s="1"/>
      <c r="M81" s="1"/>
      <c r="N81" s="1"/>
      <c r="O81" s="1"/>
      <c r="P81" s="1"/>
    </row>
    <row r="82" spans="1:16">
      <c r="A82" s="1">
        <v>2.5000000000000001E-14</v>
      </c>
      <c r="B82" s="1">
        <f t="shared" si="0"/>
        <v>1.6411225335236155E-3</v>
      </c>
      <c r="C82" s="1">
        <f t="shared" si="1"/>
        <v>1931.0494154423761</v>
      </c>
      <c r="D82" s="1">
        <f t="shared" si="2"/>
        <v>43.93707308779873</v>
      </c>
      <c r="E82" s="1">
        <f t="shared" si="3"/>
        <v>0</v>
      </c>
      <c r="F82" s="1">
        <f t="shared" si="4"/>
        <v>0</v>
      </c>
      <c r="G82" s="1">
        <f t="shared" si="5"/>
        <v>0</v>
      </c>
      <c r="H82" s="1">
        <f t="shared" si="6"/>
        <v>0</v>
      </c>
      <c r="I82" s="1">
        <f>'WSO-UV_WUVS_130nm'!I89</f>
        <v>107.51525758058517</v>
      </c>
      <c r="J82" s="1"/>
      <c r="K82" s="1"/>
      <c r="L82" s="1"/>
      <c r="M82" s="1"/>
      <c r="N82" s="1"/>
      <c r="O82" s="1"/>
      <c r="P82" s="1"/>
    </row>
    <row r="83" spans="1:16">
      <c r="A83" s="1">
        <v>2E-14</v>
      </c>
      <c r="B83" s="1">
        <f t="shared" si="0"/>
        <v>1.3128980268188924E-3</v>
      </c>
      <c r="C83" s="1">
        <f t="shared" si="1"/>
        <v>1544.8395323539009</v>
      </c>
      <c r="D83" s="1">
        <f t="shared" si="2"/>
        <v>39.297029816991611</v>
      </c>
      <c r="E83" s="1">
        <f t="shared" si="3"/>
        <v>0</v>
      </c>
      <c r="F83" s="1">
        <f t="shared" si="4"/>
        <v>0</v>
      </c>
      <c r="G83" s="1">
        <f t="shared" si="5"/>
        <v>0</v>
      </c>
      <c r="H83" s="1">
        <f t="shared" si="6"/>
        <v>0</v>
      </c>
      <c r="I83" s="1">
        <f>'WSO-UV_WUVS_130nm'!I90</f>
        <v>91.828837120428346</v>
      </c>
      <c r="J83" s="1"/>
      <c r="K83" s="1"/>
      <c r="L83" s="1"/>
      <c r="M83" s="1"/>
      <c r="N83" s="1"/>
      <c r="O83" s="1"/>
      <c r="P83" s="1"/>
    </row>
    <row r="84" spans="1:16">
      <c r="A84" s="1">
        <v>1.4999999999999999E-14</v>
      </c>
      <c r="B84" s="1">
        <f t="shared" si="0"/>
        <v>9.8467352011416911E-4</v>
      </c>
      <c r="C84" s="1">
        <f t="shared" si="1"/>
        <v>1158.6296492654255</v>
      </c>
      <c r="D84" s="1">
        <f t="shared" si="2"/>
        <v>34.03008584581228</v>
      </c>
      <c r="E84" s="1">
        <f t="shared" si="3"/>
        <v>0</v>
      </c>
      <c r="F84" s="1">
        <f t="shared" si="4"/>
        <v>0</v>
      </c>
      <c r="G84" s="1">
        <f t="shared" si="5"/>
        <v>0</v>
      </c>
      <c r="H84" s="1">
        <f t="shared" si="6"/>
        <v>0</v>
      </c>
      <c r="I84" s="1">
        <f>'WSO-UV_WUVS_130nm'!I91</f>
        <v>74.258610592690232</v>
      </c>
      <c r="J84" s="1"/>
      <c r="K84" s="1"/>
      <c r="L84" s="1"/>
      <c r="M84" s="1"/>
      <c r="N84" s="1"/>
      <c r="O84" s="1"/>
      <c r="P84" s="1"/>
    </row>
    <row r="85" spans="1:16">
      <c r="A85" s="1">
        <v>1E-14</v>
      </c>
      <c r="B85" s="1">
        <f t="shared" si="0"/>
        <v>6.5644901340944622E-4</v>
      </c>
      <c r="C85" s="1">
        <f t="shared" si="1"/>
        <v>772.41976617695047</v>
      </c>
      <c r="D85" s="1">
        <f t="shared" si="2"/>
        <v>27.781954686057638</v>
      </c>
      <c r="E85" s="1">
        <f t="shared" si="3"/>
        <v>0</v>
      </c>
      <c r="F85" s="1">
        <f t="shared" si="4"/>
        <v>0</v>
      </c>
      <c r="G85" s="1">
        <f t="shared" si="5"/>
        <v>0</v>
      </c>
      <c r="H85" s="1">
        <f t="shared" si="6"/>
        <v>0</v>
      </c>
      <c r="I85" s="1">
        <f>'WSO-UV_WUVS_130nm'!I92</f>
        <v>54.097478151663935</v>
      </c>
      <c r="J85" s="1"/>
      <c r="K85" s="1"/>
      <c r="L85" s="1"/>
      <c r="M85" s="1"/>
      <c r="N85" s="1"/>
      <c r="O85" s="1"/>
      <c r="P85" s="1"/>
    </row>
    <row r="86" spans="1:16">
      <c r="A86" s="1">
        <v>9.5000000000000005E-15</v>
      </c>
      <c r="B86" s="1">
        <f t="shared" si="0"/>
        <v>6.2362656273897386E-4</v>
      </c>
      <c r="C86" s="1">
        <f t="shared" si="1"/>
        <v>733.79877786810289</v>
      </c>
      <c r="D86" s="1">
        <f t="shared" si="2"/>
        <v>27.077962275785822</v>
      </c>
      <c r="E86" s="1">
        <f t="shared" si="3"/>
        <v>0</v>
      </c>
      <c r="F86" s="1">
        <f t="shared" si="4"/>
        <v>0</v>
      </c>
      <c r="G86" s="1">
        <f t="shared" si="5"/>
        <v>0</v>
      </c>
      <c r="H86" s="1">
        <f t="shared" si="6"/>
        <v>0</v>
      </c>
      <c r="I86" s="1">
        <f>'WSO-UV_WUVS_130nm'!I93</f>
        <v>51.898765882414374</v>
      </c>
      <c r="J86" s="1"/>
      <c r="K86" s="1"/>
      <c r="L86" s="1"/>
      <c r="M86" s="1"/>
      <c r="N86" s="1"/>
      <c r="O86" s="1"/>
      <c r="P86" s="1"/>
    </row>
    <row r="87" spans="1:16">
      <c r="A87" s="1">
        <v>8.9999999999999995E-15</v>
      </c>
      <c r="B87" s="1">
        <f t="shared" si="0"/>
        <v>5.9080411206850162E-4</v>
      </c>
      <c r="C87" s="1">
        <f t="shared" si="1"/>
        <v>695.17778955925542</v>
      </c>
      <c r="D87" s="1">
        <f t="shared" si="2"/>
        <v>26.355171758281301</v>
      </c>
      <c r="E87" s="1">
        <f t="shared" si="3"/>
        <v>0</v>
      </c>
      <c r="F87" s="1">
        <f t="shared" si="4"/>
        <v>0</v>
      </c>
      <c r="G87" s="1">
        <f t="shared" si="5"/>
        <v>0</v>
      </c>
      <c r="H87" s="1">
        <f t="shared" si="6"/>
        <v>0</v>
      </c>
      <c r="I87" s="1">
        <f>'WSO-UV_WUVS_130nm'!I94</f>
        <v>49.6612266846723</v>
      </c>
      <c r="J87" s="1"/>
      <c r="K87" s="1"/>
      <c r="L87" s="1"/>
      <c r="M87" s="1"/>
      <c r="N87" s="1"/>
      <c r="O87" s="1"/>
      <c r="P87" s="1"/>
    </row>
    <row r="88" spans="1:16">
      <c r="A88" s="1">
        <v>8.5000000000000001E-15</v>
      </c>
      <c r="B88" s="1">
        <f t="shared" ref="B88:B151" si="7">A88*$C$4/($C$2*$C$3/1304*10000000000)</f>
        <v>5.5798166139802926E-4</v>
      </c>
      <c r="C88" s="1">
        <f t="shared" ref="C88:C151" si="8">B88*$C$11*$C$18*3600</f>
        <v>656.55680125040794</v>
      </c>
      <c r="D88" s="1">
        <f t="shared" ref="D88:D151" si="9">C88/SQRT(C88+($C$19)*2)</f>
        <v>25.611991699787406</v>
      </c>
      <c r="E88" s="1">
        <f t="shared" ref="E88:E151" si="10">B88*$D$11*$C$18*3600</f>
        <v>0</v>
      </c>
      <c r="F88" s="1">
        <f t="shared" ref="F88:F151" si="11">E88/SQRT(E88+($C$19)*2)</f>
        <v>0</v>
      </c>
      <c r="G88" s="1">
        <f t="shared" ref="G88:G151" si="12">B88*$E$11*$C$18*3600</f>
        <v>0</v>
      </c>
      <c r="H88" s="1">
        <f t="shared" ref="H88:H151" si="13">G88/SQRT(G88+($C$19)*2)</f>
        <v>0</v>
      </c>
      <c r="I88" s="1">
        <f>'WSO-UV_WUVS_130nm'!I95</f>
        <v>47.383151479520222</v>
      </c>
      <c r="J88" s="1"/>
      <c r="K88" s="1"/>
      <c r="L88" s="1"/>
      <c r="M88" s="1"/>
      <c r="N88" s="1"/>
      <c r="O88" s="1"/>
      <c r="P88" s="1"/>
    </row>
    <row r="89" spans="1:16">
      <c r="A89" s="1">
        <v>8.0000000000000006E-15</v>
      </c>
      <c r="B89" s="1">
        <f t="shared" si="7"/>
        <v>5.2515921072755702E-4</v>
      </c>
      <c r="C89" s="1">
        <f t="shared" si="8"/>
        <v>617.93581294156047</v>
      </c>
      <c r="D89" s="1">
        <f t="shared" si="9"/>
        <v>24.846592580057195</v>
      </c>
      <c r="E89" s="1">
        <f t="shared" si="10"/>
        <v>0</v>
      </c>
      <c r="F89" s="1">
        <f t="shared" si="11"/>
        <v>0</v>
      </c>
      <c r="G89" s="1">
        <f t="shared" si="12"/>
        <v>0</v>
      </c>
      <c r="H89" s="1">
        <f t="shared" si="13"/>
        <v>0</v>
      </c>
      <c r="I89" s="1">
        <f>'WSO-UV_WUVS_130nm'!I96</f>
        <v>45.06271479238854</v>
      </c>
      <c r="J89" s="1"/>
      <c r="K89" s="1"/>
      <c r="L89" s="1"/>
      <c r="M89" s="1"/>
      <c r="N89" s="1"/>
      <c r="O89" s="1"/>
      <c r="P89" s="1"/>
    </row>
    <row r="90" spans="1:16">
      <c r="A90" s="1">
        <v>7.4999999999999996E-15</v>
      </c>
      <c r="B90" s="1">
        <f t="shared" si="7"/>
        <v>4.9233676005708455E-4</v>
      </c>
      <c r="C90" s="1">
        <f t="shared" si="8"/>
        <v>579.31482463271277</v>
      </c>
      <c r="D90" s="1">
        <f t="shared" si="9"/>
        <v>24.056853725154706</v>
      </c>
      <c r="E90" s="1">
        <f t="shared" si="10"/>
        <v>0</v>
      </c>
      <c r="F90" s="1">
        <f t="shared" si="11"/>
        <v>0</v>
      </c>
      <c r="G90" s="1">
        <f t="shared" si="12"/>
        <v>0</v>
      </c>
      <c r="H90" s="1">
        <f t="shared" si="13"/>
        <v>0</v>
      </c>
      <c r="I90" s="1">
        <f>'WSO-UV_WUVS_130nm'!I97</f>
        <v>42.697964025110991</v>
      </c>
      <c r="J90" s="1"/>
      <c r="K90" s="1"/>
      <c r="L90" s="1"/>
      <c r="M90" s="1"/>
      <c r="N90" s="1"/>
      <c r="O90" s="1"/>
      <c r="P90" s="1"/>
    </row>
    <row r="91" spans="1:16">
      <c r="A91" s="1">
        <v>7.0000000000000001E-15</v>
      </c>
      <c r="B91" s="1">
        <f t="shared" si="7"/>
        <v>4.5951430938661236E-4</v>
      </c>
      <c r="C91" s="1">
        <f t="shared" si="8"/>
        <v>540.69383632386541</v>
      </c>
      <c r="D91" s="1">
        <f t="shared" si="9"/>
        <v>23.240293988971924</v>
      </c>
      <c r="E91" s="1">
        <f t="shared" si="10"/>
        <v>0</v>
      </c>
      <c r="F91" s="1">
        <f t="shared" si="11"/>
        <v>0</v>
      </c>
      <c r="G91" s="1">
        <f t="shared" si="12"/>
        <v>0</v>
      </c>
      <c r="H91" s="1">
        <f t="shared" si="13"/>
        <v>0</v>
      </c>
      <c r="I91" s="1">
        <f>'WSO-UV_WUVS_130nm'!I98</f>
        <v>40.286807474800419</v>
      </c>
      <c r="J91" s="1"/>
      <c r="K91" s="1"/>
      <c r="L91" s="1"/>
      <c r="M91" s="1"/>
      <c r="N91" s="1"/>
      <c r="O91" s="1"/>
      <c r="P91" s="1"/>
    </row>
    <row r="92" spans="1:16">
      <c r="A92" s="1">
        <v>6.4999999999999999E-15</v>
      </c>
      <c r="B92" s="1">
        <f t="shared" si="7"/>
        <v>4.2669185871614001E-4</v>
      </c>
      <c r="C92" s="1">
        <f t="shared" si="8"/>
        <v>502.07284801501783</v>
      </c>
      <c r="D92" s="1">
        <f t="shared" si="9"/>
        <v>22.393979652242873</v>
      </c>
      <c r="E92" s="1">
        <f t="shared" si="10"/>
        <v>0</v>
      </c>
      <c r="F92" s="1">
        <f t="shared" si="11"/>
        <v>0</v>
      </c>
      <c r="G92" s="1">
        <f t="shared" si="12"/>
        <v>0</v>
      </c>
      <c r="H92" s="1">
        <f t="shared" si="13"/>
        <v>0</v>
      </c>
      <c r="I92" s="1">
        <f>'WSO-UV_WUVS_130nm'!I99</f>
        <v>37.827000921203343</v>
      </c>
      <c r="J92" s="1"/>
      <c r="K92" s="1"/>
      <c r="L92" s="1"/>
      <c r="M92" s="1"/>
      <c r="N92" s="1"/>
      <c r="O92" s="1"/>
      <c r="P92" s="1"/>
    </row>
    <row r="93" spans="1:16">
      <c r="A93" s="1">
        <v>5.9999999999999997E-15</v>
      </c>
      <c r="B93" s="1">
        <f t="shared" si="7"/>
        <v>3.9386940804566771E-4</v>
      </c>
      <c r="C93" s="1">
        <f t="shared" si="8"/>
        <v>463.45185970617024</v>
      </c>
      <c r="D93" s="1">
        <f t="shared" si="9"/>
        <v>21.514399658667134</v>
      </c>
      <c r="E93" s="1">
        <f t="shared" si="10"/>
        <v>0</v>
      </c>
      <c r="F93" s="1">
        <f t="shared" si="11"/>
        <v>0</v>
      </c>
      <c r="G93" s="1">
        <f t="shared" si="12"/>
        <v>0</v>
      </c>
      <c r="H93" s="1">
        <f t="shared" si="13"/>
        <v>0</v>
      </c>
      <c r="I93" s="1">
        <f>'WSO-UV_WUVS_130nm'!I100</f>
        <v>35.316132574084023</v>
      </c>
      <c r="J93" s="1"/>
      <c r="K93" s="1"/>
      <c r="L93" s="1"/>
      <c r="M93" s="1"/>
      <c r="N93" s="1"/>
      <c r="O93" s="1"/>
      <c r="P93" s="1"/>
    </row>
    <row r="94" spans="1:16">
      <c r="A94" s="1">
        <v>5.5000000000000002E-15</v>
      </c>
      <c r="B94" s="1">
        <f t="shared" si="7"/>
        <v>3.6104695737519546E-4</v>
      </c>
      <c r="C94" s="1">
        <f t="shared" si="8"/>
        <v>424.83087139732282</v>
      </c>
      <c r="D94" s="1">
        <f t="shared" si="9"/>
        <v>20.597292805269255</v>
      </c>
      <c r="E94" s="1">
        <f t="shared" si="10"/>
        <v>0</v>
      </c>
      <c r="F94" s="1">
        <f t="shared" si="11"/>
        <v>0</v>
      </c>
      <c r="G94" s="1">
        <f t="shared" si="12"/>
        <v>0</v>
      </c>
      <c r="H94" s="1">
        <f t="shared" si="13"/>
        <v>0</v>
      </c>
      <c r="I94" s="1">
        <f>'WSO-UV_WUVS_130nm'!I101</f>
        <v>32.751606136164973</v>
      </c>
      <c r="J94" s="1"/>
      <c r="K94" s="1"/>
      <c r="L94" s="1"/>
      <c r="M94" s="1"/>
      <c r="N94" s="1"/>
      <c r="O94" s="1"/>
      <c r="P94" s="1"/>
    </row>
    <row r="95" spans="1:16">
      <c r="A95" s="1">
        <v>5E-15</v>
      </c>
      <c r="B95" s="1">
        <f t="shared" si="7"/>
        <v>3.2822450670472311E-4</v>
      </c>
      <c r="C95" s="1">
        <f t="shared" si="8"/>
        <v>386.20988308847524</v>
      </c>
      <c r="D95" s="1">
        <f t="shared" si="9"/>
        <v>19.637402130309084</v>
      </c>
      <c r="E95" s="1">
        <f t="shared" si="10"/>
        <v>0</v>
      </c>
      <c r="F95" s="1">
        <f t="shared" si="11"/>
        <v>0</v>
      </c>
      <c r="G95" s="1">
        <f t="shared" si="12"/>
        <v>0</v>
      </c>
      <c r="H95" s="1">
        <f t="shared" si="13"/>
        <v>0</v>
      </c>
      <c r="I95" s="1">
        <f>'WSO-UV_WUVS_130nm'!I102</f>
        <v>30.130621693879124</v>
      </c>
      <c r="J95" s="1"/>
      <c r="K95" s="1"/>
      <c r="L95" s="1"/>
      <c r="M95" s="1"/>
      <c r="N95" s="1"/>
      <c r="O95" s="1"/>
      <c r="P95" s="1"/>
    </row>
    <row r="96" spans="1:16">
      <c r="A96" s="1">
        <v>4.4999999999999998E-15</v>
      </c>
      <c r="B96" s="1">
        <f t="shared" si="7"/>
        <v>2.9540205603425081E-4</v>
      </c>
      <c r="C96" s="1">
        <f t="shared" si="8"/>
        <v>347.58889477962771</v>
      </c>
      <c r="D96" s="1">
        <f t="shared" si="9"/>
        <v>18.628115086054592</v>
      </c>
      <c r="E96" s="1">
        <f t="shared" si="10"/>
        <v>0</v>
      </c>
      <c r="F96" s="1">
        <f t="shared" si="11"/>
        <v>0</v>
      </c>
      <c r="G96" s="1">
        <f t="shared" si="12"/>
        <v>0</v>
      </c>
      <c r="H96" s="1">
        <f t="shared" si="13"/>
        <v>0</v>
      </c>
      <c r="I96" s="1">
        <f>'WSO-UV_WUVS_130nm'!I103</f>
        <v>27.450154095993646</v>
      </c>
      <c r="J96" s="1"/>
      <c r="K96" s="1"/>
      <c r="L96" s="1"/>
      <c r="M96" s="1"/>
      <c r="N96" s="1"/>
      <c r="O96" s="1"/>
      <c r="P96" s="1"/>
    </row>
    <row r="97" spans="1:16">
      <c r="A97" s="1">
        <v>4.0000000000000003E-15</v>
      </c>
      <c r="B97" s="1">
        <f t="shared" si="7"/>
        <v>2.6257960536377851E-4</v>
      </c>
      <c r="C97" s="1">
        <f t="shared" si="8"/>
        <v>308.96790647078024</v>
      </c>
      <c r="D97" s="1">
        <f t="shared" si="9"/>
        <v>17.560916981477597</v>
      </c>
      <c r="E97" s="1">
        <f t="shared" si="10"/>
        <v>0</v>
      </c>
      <c r="F97" s="1">
        <f t="shared" si="11"/>
        <v>0</v>
      </c>
      <c r="G97" s="1">
        <f t="shared" si="12"/>
        <v>0</v>
      </c>
      <c r="H97" s="1">
        <f t="shared" si="13"/>
        <v>0</v>
      </c>
      <c r="I97" s="1">
        <f>'WSO-UV_WUVS_130nm'!I104</f>
        <v>24.70692841693505</v>
      </c>
      <c r="J97" s="1"/>
      <c r="K97" s="1"/>
      <c r="L97" s="1"/>
      <c r="M97" s="1"/>
      <c r="N97" s="1"/>
      <c r="O97" s="1"/>
      <c r="P97" s="1"/>
    </row>
    <row r="98" spans="1:16">
      <c r="A98" s="1">
        <v>3.5000000000000001E-15</v>
      </c>
      <c r="B98" s="1">
        <f t="shared" si="7"/>
        <v>2.2975715469330618E-4</v>
      </c>
      <c r="C98" s="1">
        <f t="shared" si="8"/>
        <v>270.34691816193271</v>
      </c>
      <c r="D98" s="1">
        <f t="shared" si="9"/>
        <v>16.424523541012427</v>
      </c>
      <c r="E98" s="1">
        <f t="shared" si="10"/>
        <v>0</v>
      </c>
      <c r="F98" s="1">
        <f t="shared" si="11"/>
        <v>0</v>
      </c>
      <c r="G98" s="1">
        <f t="shared" si="12"/>
        <v>0</v>
      </c>
      <c r="H98" s="1">
        <f t="shared" si="13"/>
        <v>0</v>
      </c>
      <c r="I98" s="1">
        <f>'WSO-UV_WUVS_130nm'!I105</f>
        <v>21.897392024697595</v>
      </c>
      <c r="J98" s="1"/>
      <c r="K98" s="1"/>
      <c r="L98" s="1"/>
      <c r="M98" s="1"/>
      <c r="N98" s="1"/>
      <c r="O98" s="1"/>
      <c r="P98" s="1"/>
    </row>
    <row r="99" spans="1:16">
      <c r="A99" s="1">
        <v>2.9999999999999998E-15</v>
      </c>
      <c r="B99" s="1">
        <f t="shared" si="7"/>
        <v>1.9693470402283385E-4</v>
      </c>
      <c r="C99" s="1">
        <f t="shared" si="8"/>
        <v>231.72592985308512</v>
      </c>
      <c r="D99" s="1">
        <f t="shared" si="9"/>
        <v>15.203427046109795</v>
      </c>
      <c r="E99" s="1">
        <f t="shared" si="10"/>
        <v>0</v>
      </c>
      <c r="F99" s="1">
        <f t="shared" si="11"/>
        <v>0</v>
      </c>
      <c r="G99" s="1">
        <f t="shared" si="12"/>
        <v>0</v>
      </c>
      <c r="H99" s="1">
        <f t="shared" si="13"/>
        <v>0</v>
      </c>
      <c r="I99" s="1">
        <f>'WSO-UV_WUVS_130nm'!I106</f>
        <v>19.017682679131045</v>
      </c>
      <c r="J99" s="1"/>
      <c r="K99" s="1"/>
      <c r="L99" s="1"/>
      <c r="M99" s="1"/>
      <c r="N99" s="1"/>
      <c r="O99" s="1"/>
      <c r="P99" s="1"/>
    </row>
    <row r="100" spans="1:16">
      <c r="A100" s="1">
        <v>2.5E-15</v>
      </c>
      <c r="B100" s="1">
        <f t="shared" si="7"/>
        <v>1.6411225335236155E-4</v>
      </c>
      <c r="C100" s="1">
        <f t="shared" si="8"/>
        <v>193.10494154423762</v>
      </c>
      <c r="D100" s="1">
        <f t="shared" si="9"/>
        <v>13.875283693478496</v>
      </c>
      <c r="E100" s="1">
        <f t="shared" si="10"/>
        <v>0</v>
      </c>
      <c r="F100" s="1">
        <f t="shared" si="11"/>
        <v>0</v>
      </c>
      <c r="G100" s="1">
        <f t="shared" si="12"/>
        <v>0</v>
      </c>
      <c r="H100" s="1">
        <f t="shared" si="13"/>
        <v>0</v>
      </c>
      <c r="I100" s="1">
        <f>'WSO-UV_WUVS_130nm'!I107</f>
        <v>16.063591970787925</v>
      </c>
      <c r="J100" s="1"/>
      <c r="K100" s="1"/>
      <c r="L100" s="1"/>
      <c r="M100" s="1"/>
      <c r="N100" s="1"/>
      <c r="O100" s="1"/>
      <c r="P100" s="1"/>
    </row>
    <row r="101" spans="1:16">
      <c r="A101" s="1">
        <v>2.0000000000000002E-15</v>
      </c>
      <c r="B101" s="1">
        <f t="shared" si="7"/>
        <v>1.3128980268188925E-4</v>
      </c>
      <c r="C101" s="1">
        <f t="shared" si="8"/>
        <v>154.48395323539012</v>
      </c>
      <c r="D101" s="1">
        <f t="shared" si="9"/>
        <v>12.405762637667417</v>
      </c>
      <c r="E101" s="1">
        <f t="shared" si="10"/>
        <v>0</v>
      </c>
      <c r="F101" s="1">
        <f t="shared" si="11"/>
        <v>0</v>
      </c>
      <c r="G101" s="1">
        <f t="shared" si="12"/>
        <v>0</v>
      </c>
      <c r="H101" s="1">
        <f t="shared" si="13"/>
        <v>0</v>
      </c>
      <c r="I101" s="1">
        <f>'WSO-UV_WUVS_130nm'!I108</f>
        <v>13.030523267691418</v>
      </c>
      <c r="J101" s="1"/>
      <c r="K101" s="1"/>
      <c r="L101" s="1"/>
      <c r="M101" s="1"/>
      <c r="N101" s="1"/>
      <c r="O101" s="1"/>
      <c r="P101" s="1"/>
    </row>
    <row r="102" spans="1:16">
      <c r="A102" s="1">
        <v>1.4999999999999999E-15</v>
      </c>
      <c r="B102" s="1">
        <f t="shared" si="7"/>
        <v>9.8467352011416927E-5</v>
      </c>
      <c r="C102" s="1">
        <f t="shared" si="8"/>
        <v>115.86296492654256</v>
      </c>
      <c r="D102" s="1">
        <f t="shared" si="9"/>
        <v>10.736977497437804</v>
      </c>
      <c r="E102" s="1">
        <f t="shared" si="10"/>
        <v>0</v>
      </c>
      <c r="F102" s="1">
        <f t="shared" si="11"/>
        <v>0</v>
      </c>
      <c r="G102" s="1">
        <f t="shared" si="12"/>
        <v>0</v>
      </c>
      <c r="H102" s="1">
        <f t="shared" si="13"/>
        <v>0</v>
      </c>
      <c r="I102" s="1">
        <f>'WSO-UV_WUVS_130nm'!I109</f>
        <v>9.9134431599880948</v>
      </c>
      <c r="J102" s="1"/>
      <c r="K102" s="1"/>
      <c r="L102" s="1"/>
      <c r="M102" s="1"/>
      <c r="N102" s="1"/>
      <c r="O102" s="1"/>
      <c r="P102" s="1"/>
    </row>
    <row r="103" spans="1:16">
      <c r="A103" s="1">
        <v>1.0000000000000001E-15</v>
      </c>
      <c r="B103" s="1">
        <f t="shared" si="7"/>
        <v>6.5644901340944627E-5</v>
      </c>
      <c r="C103" s="1">
        <f t="shared" si="8"/>
        <v>77.241976617695059</v>
      </c>
      <c r="D103" s="1">
        <f t="shared" si="9"/>
        <v>8.7557493656785681</v>
      </c>
      <c r="E103" s="1">
        <f t="shared" si="10"/>
        <v>0</v>
      </c>
      <c r="F103" s="1">
        <f t="shared" si="11"/>
        <v>0</v>
      </c>
      <c r="G103" s="1">
        <f t="shared" si="12"/>
        <v>0</v>
      </c>
      <c r="H103" s="1">
        <f t="shared" si="13"/>
        <v>0</v>
      </c>
      <c r="I103" s="1">
        <f>'WSO-UV_WUVS_130nm'!I110</f>
        <v>6.7068251708221176</v>
      </c>
      <c r="J103" s="1"/>
      <c r="K103" s="1"/>
      <c r="L103" s="1"/>
      <c r="M103" s="1"/>
      <c r="N103" s="1"/>
      <c r="O103" s="1"/>
      <c r="P103" s="1"/>
    </row>
    <row r="104" spans="1:16">
      <c r="A104" s="1">
        <v>9.5000000000000005E-16</v>
      </c>
      <c r="B104" s="1">
        <f t="shared" si="7"/>
        <v>6.2362656273897392E-5</v>
      </c>
      <c r="C104" s="1">
        <f t="shared" si="8"/>
        <v>73.379877786810297</v>
      </c>
      <c r="D104" s="1">
        <f t="shared" si="9"/>
        <v>8.5323663967116055</v>
      </c>
      <c r="E104" s="1">
        <f t="shared" si="10"/>
        <v>0</v>
      </c>
      <c r="F104" s="1">
        <f t="shared" si="11"/>
        <v>0</v>
      </c>
      <c r="G104" s="1">
        <f t="shared" si="12"/>
        <v>0</v>
      </c>
      <c r="H104" s="1">
        <f t="shared" si="13"/>
        <v>0</v>
      </c>
      <c r="I104" s="1">
        <f>'WSO-UV_WUVS_130nm'!I111</f>
        <v>6.3810097424404768</v>
      </c>
      <c r="J104" s="1"/>
      <c r="K104" s="1"/>
      <c r="L104" s="1"/>
      <c r="M104" s="1"/>
      <c r="N104" s="1"/>
      <c r="O104" s="1"/>
      <c r="P104" s="1"/>
    </row>
    <row r="105" spans="1:16">
      <c r="A105" s="1">
        <v>9.0000000000000003E-16</v>
      </c>
      <c r="B105" s="1">
        <f t="shared" si="7"/>
        <v>5.9080411206850156E-5</v>
      </c>
      <c r="C105" s="1">
        <f t="shared" si="8"/>
        <v>69.517778955925536</v>
      </c>
      <c r="D105" s="1">
        <f t="shared" si="9"/>
        <v>8.3029772278347735</v>
      </c>
      <c r="E105" s="1">
        <f t="shared" si="10"/>
        <v>0</v>
      </c>
      <c r="F105" s="1">
        <f t="shared" si="11"/>
        <v>0</v>
      </c>
      <c r="G105" s="1">
        <f t="shared" si="12"/>
        <v>0</v>
      </c>
      <c r="H105" s="1">
        <f t="shared" si="13"/>
        <v>0</v>
      </c>
      <c r="I105" s="1">
        <f>'WSO-UV_WUVS_130nm'!I112</f>
        <v>6.0542321932169898</v>
      </c>
      <c r="J105" s="1"/>
      <c r="K105" s="1"/>
      <c r="L105" s="1"/>
      <c r="M105" s="1"/>
      <c r="N105" s="1"/>
      <c r="O105" s="1"/>
      <c r="P105" s="1"/>
    </row>
    <row r="106" spans="1:16">
      <c r="A106" s="1">
        <v>8.5000000000000001E-16</v>
      </c>
      <c r="B106" s="1">
        <f t="shared" si="7"/>
        <v>5.5798166139802928E-5</v>
      </c>
      <c r="C106" s="1">
        <f t="shared" si="8"/>
        <v>65.655680125040789</v>
      </c>
      <c r="D106" s="1">
        <f t="shared" si="9"/>
        <v>8.0670697844696519</v>
      </c>
      <c r="E106" s="1">
        <f t="shared" si="10"/>
        <v>0</v>
      </c>
      <c r="F106" s="1">
        <f t="shared" si="11"/>
        <v>0</v>
      </c>
      <c r="G106" s="1">
        <f t="shared" si="12"/>
        <v>0</v>
      </c>
      <c r="H106" s="1">
        <f t="shared" si="13"/>
        <v>0</v>
      </c>
      <c r="I106" s="1">
        <f>'WSO-UV_WUVS_130nm'!I113</f>
        <v>5.7264860451479267</v>
      </c>
      <c r="J106" s="1"/>
      <c r="K106" s="1"/>
      <c r="L106" s="1"/>
      <c r="M106" s="1"/>
      <c r="N106" s="1"/>
      <c r="O106" s="1"/>
      <c r="P106" s="1"/>
    </row>
    <row r="107" spans="1:16">
      <c r="A107" s="1">
        <v>7.9999999999999998E-16</v>
      </c>
      <c r="B107" s="1">
        <f t="shared" si="7"/>
        <v>5.2515921072755699E-5</v>
      </c>
      <c r="C107" s="1">
        <f t="shared" si="8"/>
        <v>61.793581294156041</v>
      </c>
      <c r="D107" s="1">
        <f t="shared" si="9"/>
        <v>7.8240548310963263</v>
      </c>
      <c r="E107" s="1">
        <f t="shared" si="10"/>
        <v>0</v>
      </c>
      <c r="F107" s="1">
        <f t="shared" si="11"/>
        <v>0</v>
      </c>
      <c r="G107" s="1">
        <f t="shared" si="12"/>
        <v>0</v>
      </c>
      <c r="H107" s="1">
        <f t="shared" si="13"/>
        <v>0</v>
      </c>
      <c r="I107" s="1">
        <f>'WSO-UV_WUVS_130nm'!I114</f>
        <v>5.3977647552484349</v>
      </c>
      <c r="J107" s="1"/>
      <c r="K107" s="1"/>
      <c r="L107" s="1"/>
      <c r="M107" s="1"/>
      <c r="N107" s="1"/>
      <c r="O107" s="1"/>
      <c r="P107" s="1"/>
    </row>
    <row r="108" spans="1:16">
      <c r="A108" s="1">
        <v>7.4999999999999996E-16</v>
      </c>
      <c r="B108" s="1">
        <f t="shared" si="7"/>
        <v>4.9233676005708464E-5</v>
      </c>
      <c r="C108" s="1">
        <f t="shared" si="8"/>
        <v>57.93148246327128</v>
      </c>
      <c r="D108" s="1">
        <f t="shared" si="9"/>
        <v>7.5732486463734423</v>
      </c>
      <c r="E108" s="1">
        <f t="shared" si="10"/>
        <v>0</v>
      </c>
      <c r="F108" s="1">
        <f t="shared" si="11"/>
        <v>0</v>
      </c>
      <c r="G108" s="1">
        <f t="shared" si="12"/>
        <v>0</v>
      </c>
      <c r="H108" s="1">
        <f t="shared" si="13"/>
        <v>0</v>
      </c>
      <c r="I108" s="1">
        <f>'WSO-UV_WUVS_130nm'!I115</f>
        <v>5.0680617146935152</v>
      </c>
      <c r="J108" s="1"/>
      <c r="K108" s="1"/>
      <c r="L108" s="1"/>
      <c r="M108" s="1"/>
      <c r="N108" s="1"/>
      <c r="O108" s="1"/>
      <c r="P108" s="1"/>
    </row>
    <row r="109" spans="1:16">
      <c r="A109" s="1">
        <v>7.0000000000000003E-16</v>
      </c>
      <c r="B109" s="1">
        <f t="shared" si="7"/>
        <v>4.5951430938661235E-5</v>
      </c>
      <c r="C109" s="1">
        <f t="shared" si="8"/>
        <v>54.069383632386533</v>
      </c>
      <c r="D109" s="1">
        <f t="shared" si="9"/>
        <v>7.3138503528522607</v>
      </c>
      <c r="E109" s="1">
        <f t="shared" si="10"/>
        <v>0</v>
      </c>
      <c r="F109" s="1">
        <f t="shared" si="11"/>
        <v>0</v>
      </c>
      <c r="G109" s="1">
        <f t="shared" si="12"/>
        <v>0</v>
      </c>
      <c r="H109" s="1">
        <f t="shared" si="13"/>
        <v>0</v>
      </c>
      <c r="I109" s="1">
        <f>'WSO-UV_WUVS_130nm'!I116</f>
        <v>4.7373702479449484</v>
      </c>
      <c r="J109" s="1"/>
      <c r="K109" s="1"/>
      <c r="L109" s="1"/>
      <c r="M109" s="1"/>
      <c r="N109" s="1"/>
      <c r="O109" s="1"/>
      <c r="P109" s="1"/>
    </row>
    <row r="110" spans="1:16">
      <c r="A110" s="1">
        <v>6.5000000000000001E-16</v>
      </c>
      <c r="B110" s="1">
        <f t="shared" si="7"/>
        <v>4.2669185871614006E-5</v>
      </c>
      <c r="C110" s="1">
        <f t="shared" si="8"/>
        <v>50.207284801501778</v>
      </c>
      <c r="D110" s="1">
        <f t="shared" si="9"/>
        <v>7.0449117365303016</v>
      </c>
      <c r="E110" s="1">
        <f t="shared" si="10"/>
        <v>0</v>
      </c>
      <c r="F110" s="1">
        <f t="shared" si="11"/>
        <v>0</v>
      </c>
      <c r="G110" s="1">
        <f t="shared" si="12"/>
        <v>0</v>
      </c>
      <c r="H110" s="1">
        <f t="shared" si="13"/>
        <v>0</v>
      </c>
      <c r="I110" s="1">
        <f>'WSO-UV_WUVS_130nm'!I117</f>
        <v>4.4056836118638847</v>
      </c>
      <c r="J110" s="1"/>
      <c r="K110" s="1"/>
      <c r="L110" s="1"/>
      <c r="M110" s="1"/>
      <c r="N110" s="1"/>
      <c r="O110" s="1"/>
      <c r="P110" s="1"/>
    </row>
    <row r="111" spans="1:16">
      <c r="A111" s="1">
        <v>5.9999999999999999E-16</v>
      </c>
      <c r="B111" s="1">
        <f t="shared" si="7"/>
        <v>3.9386940804566778E-5</v>
      </c>
      <c r="C111" s="1">
        <f t="shared" si="8"/>
        <v>46.345185970617031</v>
      </c>
      <c r="D111" s="1">
        <f t="shared" si="9"/>
        <v>6.7652962726950481</v>
      </c>
      <c r="E111" s="1">
        <f t="shared" si="10"/>
        <v>0</v>
      </c>
      <c r="F111" s="1">
        <f t="shared" si="11"/>
        <v>0</v>
      </c>
      <c r="G111" s="1">
        <f t="shared" si="12"/>
        <v>0</v>
      </c>
      <c r="H111" s="1">
        <f t="shared" si="13"/>
        <v>0</v>
      </c>
      <c r="I111" s="1">
        <f>'WSO-UV_WUVS_130nm'!I118</f>
        <v>4.0729949948087922</v>
      </c>
      <c r="J111" s="1"/>
      <c r="K111" s="1"/>
      <c r="L111" s="1"/>
      <c r="M111" s="1"/>
      <c r="N111" s="1"/>
      <c r="O111" s="1"/>
      <c r="P111" s="1"/>
    </row>
    <row r="112" spans="1:16">
      <c r="A112" s="1">
        <v>5.4999999999999996E-16</v>
      </c>
      <c r="B112" s="1">
        <f t="shared" si="7"/>
        <v>3.6104695737519535E-5</v>
      </c>
      <c r="C112" s="1">
        <f t="shared" si="8"/>
        <v>42.48308713973227</v>
      </c>
      <c r="D112" s="1">
        <f t="shared" si="9"/>
        <v>6.4736222306034223</v>
      </c>
      <c r="E112" s="1">
        <f t="shared" si="10"/>
        <v>0</v>
      </c>
      <c r="F112" s="1">
        <f t="shared" si="11"/>
        <v>0</v>
      </c>
      <c r="G112" s="1">
        <f t="shared" si="12"/>
        <v>0</v>
      </c>
      <c r="H112" s="1">
        <f t="shared" si="13"/>
        <v>0</v>
      </c>
      <c r="I112" s="1">
        <f>'WSO-UV_WUVS_130nm'!I119</f>
        <v>3.7392975157185107</v>
      </c>
      <c r="J112" s="1"/>
      <c r="K112" s="1"/>
      <c r="L112" s="1"/>
      <c r="M112" s="1"/>
      <c r="N112" s="1"/>
      <c r="O112" s="1"/>
      <c r="P112" s="1"/>
    </row>
    <row r="113" spans="1:16">
      <c r="A113" s="1">
        <v>5.0000000000000004E-16</v>
      </c>
      <c r="B113" s="1">
        <f t="shared" si="7"/>
        <v>3.2822450670472314E-5</v>
      </c>
      <c r="C113" s="1">
        <f t="shared" si="8"/>
        <v>38.620988308847529</v>
      </c>
      <c r="D113" s="1">
        <f t="shared" si="9"/>
        <v>6.1681815772280091</v>
      </c>
      <c r="E113" s="1">
        <f t="shared" si="10"/>
        <v>0</v>
      </c>
      <c r="F113" s="1">
        <f t="shared" si="11"/>
        <v>0</v>
      </c>
      <c r="G113" s="1">
        <f t="shared" si="12"/>
        <v>0</v>
      </c>
      <c r="H113" s="1">
        <f t="shared" si="13"/>
        <v>0</v>
      </c>
      <c r="I113" s="1">
        <f>'WSO-UV_WUVS_130nm'!I120</f>
        <v>3.4045842231801076</v>
      </c>
      <c r="J113" s="1"/>
      <c r="K113" s="1"/>
      <c r="L113" s="1"/>
      <c r="M113" s="1"/>
      <c r="N113" s="1"/>
      <c r="O113" s="1"/>
      <c r="P113" s="1"/>
    </row>
    <row r="114" spans="1:16">
      <c r="A114" s="1">
        <v>4.5000000000000002E-16</v>
      </c>
      <c r="B114" s="1">
        <f t="shared" si="7"/>
        <v>2.9540205603425078E-5</v>
      </c>
      <c r="C114" s="1">
        <f t="shared" si="8"/>
        <v>34.758889477962768</v>
      </c>
      <c r="D114" s="1">
        <f t="shared" si="9"/>
        <v>5.846820776643459</v>
      </c>
      <c r="E114" s="1">
        <f t="shared" si="10"/>
        <v>0</v>
      </c>
      <c r="F114" s="1">
        <f t="shared" si="11"/>
        <v>0</v>
      </c>
      <c r="G114" s="1">
        <f t="shared" si="12"/>
        <v>0</v>
      </c>
      <c r="H114" s="1">
        <f t="shared" si="13"/>
        <v>0</v>
      </c>
      <c r="I114" s="1">
        <f>'WSO-UV_WUVS_130nm'!I121</f>
        <v>3.0688480944812162</v>
      </c>
      <c r="J114" s="1"/>
      <c r="K114" s="1"/>
      <c r="L114" s="1"/>
      <c r="M114" s="1"/>
      <c r="N114" s="1"/>
      <c r="O114" s="1"/>
      <c r="P114" s="1"/>
    </row>
    <row r="115" spans="1:16">
      <c r="A115" s="1">
        <v>3.9999999999999999E-16</v>
      </c>
      <c r="B115" s="1">
        <f t="shared" si="7"/>
        <v>2.625796053637785E-5</v>
      </c>
      <c r="C115" s="1">
        <f t="shared" si="8"/>
        <v>30.896790647078021</v>
      </c>
      <c r="D115" s="1">
        <f t="shared" si="9"/>
        <v>5.5067590324661628</v>
      </c>
      <c r="E115" s="1">
        <f t="shared" si="10"/>
        <v>0</v>
      </c>
      <c r="F115" s="1">
        <f t="shared" si="11"/>
        <v>0</v>
      </c>
      <c r="G115" s="1">
        <f t="shared" si="12"/>
        <v>0</v>
      </c>
      <c r="H115" s="1">
        <f t="shared" si="13"/>
        <v>0</v>
      </c>
      <c r="I115" s="1">
        <f>'WSO-UV_WUVS_130nm'!I122</f>
        <v>2.7320820346465755</v>
      </c>
      <c r="J115" s="1"/>
      <c r="K115" s="1"/>
      <c r="L115" s="1"/>
      <c r="M115" s="1"/>
      <c r="N115" s="1"/>
      <c r="O115" s="1"/>
      <c r="P115" s="1"/>
    </row>
    <row r="116" spans="1:16">
      <c r="A116" s="1">
        <v>3.5000000000000002E-16</v>
      </c>
      <c r="B116" s="1">
        <f t="shared" si="7"/>
        <v>2.2975715469330617E-5</v>
      </c>
      <c r="C116" s="1">
        <f t="shared" si="8"/>
        <v>27.034691816193266</v>
      </c>
      <c r="D116" s="1">
        <f t="shared" si="9"/>
        <v>5.1442985043951719</v>
      </c>
      <c r="E116" s="1">
        <f t="shared" si="10"/>
        <v>0</v>
      </c>
      <c r="F116" s="1">
        <f t="shared" si="11"/>
        <v>0</v>
      </c>
      <c r="G116" s="1">
        <f t="shared" si="12"/>
        <v>0</v>
      </c>
      <c r="H116" s="1">
        <f t="shared" si="13"/>
        <v>0</v>
      </c>
      <c r="I116" s="1">
        <f>'WSO-UV_WUVS_130nm'!I123</f>
        <v>2.3942788754584394</v>
      </c>
      <c r="J116" s="1"/>
      <c r="K116" s="1"/>
      <c r="L116" s="1"/>
      <c r="M116" s="1"/>
      <c r="N116" s="1"/>
      <c r="O116" s="1"/>
      <c r="P116" s="1"/>
    </row>
    <row r="117" spans="1:16">
      <c r="A117" s="1">
        <v>2.9999999999999999E-16</v>
      </c>
      <c r="B117" s="1">
        <f t="shared" si="7"/>
        <v>1.9693470402283389E-5</v>
      </c>
      <c r="C117" s="1">
        <f t="shared" si="8"/>
        <v>23.172592985308516</v>
      </c>
      <c r="D117" s="1">
        <f t="shared" si="9"/>
        <v>4.7543359609400477</v>
      </c>
      <c r="E117" s="1">
        <f t="shared" si="10"/>
        <v>0</v>
      </c>
      <c r="F117" s="1">
        <f t="shared" si="11"/>
        <v>0</v>
      </c>
      <c r="G117" s="1">
        <f t="shared" si="12"/>
        <v>0</v>
      </c>
      <c r="H117" s="1">
        <f t="shared" si="13"/>
        <v>0</v>
      </c>
      <c r="I117" s="1">
        <f>'WSO-UV_WUVS_130nm'!I124</f>
        <v>2.055431374460543</v>
      </c>
      <c r="J117" s="1"/>
      <c r="K117" s="1"/>
      <c r="L117" s="1"/>
      <c r="M117" s="1"/>
      <c r="N117" s="1"/>
      <c r="O117" s="1"/>
      <c r="P117" s="1"/>
    </row>
    <row r="118" spans="1:16">
      <c r="A118" s="1">
        <v>2.5000000000000002E-16</v>
      </c>
      <c r="B118" s="1">
        <f t="shared" si="7"/>
        <v>1.6411225335236157E-5</v>
      </c>
      <c r="C118" s="1">
        <f t="shared" si="8"/>
        <v>19.310494154423765</v>
      </c>
      <c r="D118" s="1">
        <f t="shared" si="9"/>
        <v>4.3294793153345053</v>
      </c>
      <c r="E118" s="1">
        <f t="shared" si="10"/>
        <v>0</v>
      </c>
      <c r="F118" s="1">
        <f t="shared" si="11"/>
        <v>0</v>
      </c>
      <c r="G118" s="1">
        <f t="shared" si="12"/>
        <v>0</v>
      </c>
      <c r="H118" s="1">
        <f t="shared" si="13"/>
        <v>0</v>
      </c>
      <c r="I118" s="1">
        <f>'WSO-UV_WUVS_130nm'!I125</f>
        <v>1.7155322139452907</v>
      </c>
      <c r="J118" s="1"/>
      <c r="K118" s="1"/>
      <c r="L118" s="1"/>
      <c r="M118" s="1"/>
      <c r="N118" s="1"/>
      <c r="O118" s="1"/>
      <c r="P118" s="1"/>
    </row>
    <row r="119" spans="1:16">
      <c r="A119" s="1">
        <v>2E-16</v>
      </c>
      <c r="B119" s="1">
        <f t="shared" si="7"/>
        <v>1.3128980268188925E-5</v>
      </c>
      <c r="C119" s="1">
        <f t="shared" si="8"/>
        <v>15.44839532353901</v>
      </c>
      <c r="D119" s="1">
        <f t="shared" si="9"/>
        <v>3.8582912109693512</v>
      </c>
      <c r="E119" s="1">
        <f t="shared" si="10"/>
        <v>0</v>
      </c>
      <c r="F119" s="1">
        <f t="shared" si="11"/>
        <v>0</v>
      </c>
      <c r="G119" s="1">
        <f t="shared" si="12"/>
        <v>0</v>
      </c>
      <c r="H119" s="1">
        <f t="shared" si="13"/>
        <v>0</v>
      </c>
      <c r="I119" s="1">
        <f>'WSO-UV_WUVS_130nm'!I126</f>
        <v>1.3745739999238296</v>
      </c>
      <c r="J119" s="1"/>
      <c r="K119" s="1"/>
      <c r="L119" s="1"/>
      <c r="M119" s="1"/>
      <c r="N119" s="1"/>
      <c r="O119" s="1"/>
      <c r="P119" s="1"/>
    </row>
    <row r="120" spans="1:16">
      <c r="A120" s="1">
        <v>1.5E-16</v>
      </c>
      <c r="B120" s="1">
        <f t="shared" si="7"/>
        <v>9.8467352011416944E-6</v>
      </c>
      <c r="C120" s="1">
        <f t="shared" si="8"/>
        <v>11.586296492654258</v>
      </c>
      <c r="D120" s="1">
        <f t="shared" si="9"/>
        <v>3.3213017394841491</v>
      </c>
      <c r="E120" s="1">
        <f t="shared" si="10"/>
        <v>0</v>
      </c>
      <c r="F120" s="1">
        <f t="shared" si="11"/>
        <v>0</v>
      </c>
      <c r="G120" s="1">
        <f t="shared" si="12"/>
        <v>0</v>
      </c>
      <c r="H120" s="1">
        <f t="shared" si="13"/>
        <v>0</v>
      </c>
      <c r="I120" s="1">
        <f>'WSO-UV_WUVS_130nm'!I127</f>
        <v>1.0325492610786706</v>
      </c>
      <c r="J120" s="1"/>
      <c r="K120" s="1"/>
      <c r="L120" s="1"/>
      <c r="M120" s="1"/>
      <c r="N120" s="1"/>
      <c r="O120" s="1"/>
      <c r="P120" s="1"/>
    </row>
    <row r="121" spans="1:16">
      <c r="A121" s="1">
        <v>9.9999999999999998E-17</v>
      </c>
      <c r="B121" s="1">
        <f t="shared" si="7"/>
        <v>6.5644901340944624E-6</v>
      </c>
      <c r="C121" s="1">
        <f t="shared" si="8"/>
        <v>7.7241976617695052</v>
      </c>
      <c r="D121" s="1">
        <f t="shared" si="9"/>
        <v>2.6799141318049537</v>
      </c>
      <c r="E121" s="1">
        <f t="shared" si="10"/>
        <v>0</v>
      </c>
      <c r="F121" s="1">
        <f t="shared" si="11"/>
        <v>0</v>
      </c>
      <c r="G121" s="1">
        <f t="shared" si="12"/>
        <v>0</v>
      </c>
      <c r="H121" s="1">
        <f t="shared" si="13"/>
        <v>0</v>
      </c>
      <c r="I121" s="1">
        <f>'WSO-UV_WUVS_130nm'!I128</f>
        <v>0.6894504476984995</v>
      </c>
      <c r="J121" s="1"/>
      <c r="K121" s="1"/>
      <c r="L121" s="1"/>
      <c r="M121" s="1"/>
      <c r="N121" s="1"/>
      <c r="O121" s="1"/>
      <c r="P121" s="1"/>
    </row>
    <row r="122" spans="1:16">
      <c r="A122" s="1">
        <v>9.5000000000000003E-17</v>
      </c>
      <c r="B122" s="1">
        <f t="shared" si="7"/>
        <v>6.2362656273897392E-6</v>
      </c>
      <c r="C122" s="1">
        <f t="shared" si="8"/>
        <v>7.337987778681029</v>
      </c>
      <c r="D122" s="1">
        <f t="shared" si="9"/>
        <v>2.6072449187620403</v>
      </c>
      <c r="E122" s="1">
        <f t="shared" si="10"/>
        <v>0</v>
      </c>
      <c r="F122" s="1">
        <f t="shared" si="11"/>
        <v>0</v>
      </c>
      <c r="G122" s="1">
        <f t="shared" si="12"/>
        <v>0</v>
      </c>
      <c r="H122" s="1">
        <f t="shared" si="13"/>
        <v>0</v>
      </c>
      <c r="I122" s="1">
        <f>'WSO-UV_WUVS_130nm'!I129</f>
        <v>0.6550811992316562</v>
      </c>
      <c r="J122" s="1"/>
      <c r="K122" s="1"/>
      <c r="L122" s="1"/>
      <c r="M122" s="1"/>
      <c r="N122" s="1"/>
      <c r="O122" s="1"/>
      <c r="P122" s="1"/>
    </row>
    <row r="123" spans="1:16">
      <c r="A123" s="1">
        <v>8.9999999999999996E-17</v>
      </c>
      <c r="B123" s="1">
        <f t="shared" si="7"/>
        <v>5.908041120685016E-6</v>
      </c>
      <c r="C123" s="1">
        <f t="shared" si="8"/>
        <v>6.9517778955925547</v>
      </c>
      <c r="D123" s="1">
        <f t="shared" si="9"/>
        <v>2.5325317394697757</v>
      </c>
      <c r="E123" s="1">
        <f t="shared" si="10"/>
        <v>0</v>
      </c>
      <c r="F123" s="1">
        <f t="shared" si="11"/>
        <v>0</v>
      </c>
      <c r="G123" s="1">
        <f t="shared" si="12"/>
        <v>0</v>
      </c>
      <c r="H123" s="1">
        <f t="shared" si="13"/>
        <v>0</v>
      </c>
      <c r="I123" s="1">
        <f>'WSO-UV_WUVS_130nm'!I130</f>
        <v>0.62070112612082184</v>
      </c>
      <c r="J123" s="1"/>
      <c r="K123" s="1"/>
      <c r="L123" s="1"/>
      <c r="M123" s="1"/>
      <c r="N123" s="1"/>
      <c r="O123" s="1"/>
      <c r="P123" s="1"/>
    </row>
    <row r="124" spans="1:16">
      <c r="A124" s="1">
        <v>8.5000000000000001E-17</v>
      </c>
      <c r="B124" s="1">
        <f t="shared" si="7"/>
        <v>5.5798166139802928E-6</v>
      </c>
      <c r="C124" s="1">
        <f t="shared" si="8"/>
        <v>6.5655680125040785</v>
      </c>
      <c r="D124" s="1">
        <f t="shared" si="9"/>
        <v>2.4555947862967424</v>
      </c>
      <c r="E124" s="1">
        <f t="shared" si="10"/>
        <v>0</v>
      </c>
      <c r="F124" s="1">
        <f t="shared" si="11"/>
        <v>0</v>
      </c>
      <c r="G124" s="1">
        <f t="shared" si="12"/>
        <v>0</v>
      </c>
      <c r="H124" s="1">
        <f t="shared" si="13"/>
        <v>0</v>
      </c>
      <c r="I124" s="1">
        <f>'WSO-UV_WUVS_130nm'!I131</f>
        <v>0.58631022068469552</v>
      </c>
      <c r="J124" s="1"/>
      <c r="K124" s="1"/>
      <c r="L124" s="1"/>
      <c r="M124" s="1"/>
      <c r="N124" s="1"/>
      <c r="O124" s="1"/>
      <c r="P124" s="1"/>
    </row>
    <row r="125" spans="1:16">
      <c r="A125" s="1">
        <v>8.0000000000000006E-17</v>
      </c>
      <c r="B125" s="1">
        <f t="shared" si="7"/>
        <v>5.2515921072755704E-6</v>
      </c>
      <c r="C125" s="1">
        <f t="shared" si="8"/>
        <v>6.179358129415605</v>
      </c>
      <c r="D125" s="1">
        <f t="shared" si="9"/>
        <v>2.3762266385109103</v>
      </c>
      <c r="E125" s="1">
        <f t="shared" si="10"/>
        <v>0</v>
      </c>
      <c r="F125" s="1">
        <f t="shared" si="11"/>
        <v>0</v>
      </c>
      <c r="G125" s="1">
        <f t="shared" si="12"/>
        <v>0</v>
      </c>
      <c r="H125" s="1">
        <f t="shared" si="13"/>
        <v>0</v>
      </c>
      <c r="I125" s="1">
        <f>'WSO-UV_WUVS_130nm'!I132</f>
        <v>0.5519084752338973</v>
      </c>
      <c r="J125" s="1"/>
      <c r="K125" s="1"/>
      <c r="L125" s="1"/>
      <c r="M125" s="1"/>
      <c r="N125" s="1"/>
      <c r="O125" s="1"/>
      <c r="P125" s="1"/>
    </row>
    <row r="126" spans="1:16">
      <c r="A126" s="1">
        <v>7.4999999999999998E-17</v>
      </c>
      <c r="B126" s="1">
        <f t="shared" si="7"/>
        <v>4.9233676005708472E-6</v>
      </c>
      <c r="C126" s="1">
        <f t="shared" si="8"/>
        <v>5.7931482463271289</v>
      </c>
      <c r="D126" s="1">
        <f t="shared" si="9"/>
        <v>2.2941860154413316</v>
      </c>
      <c r="E126" s="1">
        <f t="shared" si="10"/>
        <v>0</v>
      </c>
      <c r="F126" s="1">
        <f t="shared" si="11"/>
        <v>0</v>
      </c>
      <c r="G126" s="1">
        <f t="shared" si="12"/>
        <v>0</v>
      </c>
      <c r="H126" s="1">
        <f t="shared" si="13"/>
        <v>0</v>
      </c>
      <c r="I126" s="1">
        <f>'WSO-UV_WUVS_130nm'!I133</f>
        <v>0.51749588207095498</v>
      </c>
      <c r="J126" s="1"/>
      <c r="K126" s="1"/>
      <c r="L126" s="1"/>
      <c r="M126" s="1"/>
      <c r="N126" s="1"/>
      <c r="O126" s="1"/>
      <c r="P126" s="1"/>
    </row>
    <row r="127" spans="1:16">
      <c r="A127" s="1">
        <v>7.0000000000000003E-17</v>
      </c>
      <c r="B127" s="1">
        <f t="shared" si="7"/>
        <v>4.595143093866124E-6</v>
      </c>
      <c r="C127" s="1">
        <f t="shared" si="8"/>
        <v>5.4069383632386536</v>
      </c>
      <c r="D127" s="1">
        <f t="shared" si="9"/>
        <v>2.2091896088370784</v>
      </c>
      <c r="E127" s="1">
        <f t="shared" si="10"/>
        <v>0</v>
      </c>
      <c r="F127" s="1">
        <f t="shared" si="11"/>
        <v>0</v>
      </c>
      <c r="G127" s="1">
        <f t="shared" si="12"/>
        <v>0</v>
      </c>
      <c r="H127" s="1">
        <f t="shared" si="13"/>
        <v>0</v>
      </c>
      <c r="I127" s="1">
        <f>'WSO-UV_WUVS_130nm'!I134</f>
        <v>0.48307243349029566</v>
      </c>
      <c r="J127" s="1"/>
      <c r="K127" s="1"/>
      <c r="L127" s="1"/>
      <c r="M127" s="1"/>
      <c r="N127" s="1"/>
      <c r="O127" s="1"/>
      <c r="P127" s="1"/>
    </row>
    <row r="128" spans="1:16">
      <c r="A128" s="1">
        <v>6.4999999999999996E-17</v>
      </c>
      <c r="B128" s="1">
        <f t="shared" si="7"/>
        <v>4.2669185871614E-6</v>
      </c>
      <c r="C128" s="1">
        <f t="shared" si="8"/>
        <v>5.0207284801501775</v>
      </c>
      <c r="D128" s="1">
        <f t="shared" si="9"/>
        <v>2.1209012275565966</v>
      </c>
      <c r="E128" s="1">
        <f t="shared" si="10"/>
        <v>0</v>
      </c>
      <c r="F128" s="1">
        <f t="shared" si="11"/>
        <v>0</v>
      </c>
      <c r="G128" s="1">
        <f t="shared" si="12"/>
        <v>0</v>
      </c>
      <c r="H128" s="1">
        <f t="shared" si="13"/>
        <v>0</v>
      </c>
      <c r="I128" s="1">
        <f>'WSO-UV_WUVS_130nm'!I135</f>
        <v>0.44863812177823215</v>
      </c>
      <c r="J128" s="1"/>
      <c r="K128" s="1"/>
      <c r="L128" s="1"/>
      <c r="M128" s="1"/>
      <c r="N128" s="1"/>
      <c r="O128" s="1"/>
      <c r="P128" s="1"/>
    </row>
    <row r="129" spans="1:16">
      <c r="A129" s="1">
        <v>6.0000000000000001E-17</v>
      </c>
      <c r="B129" s="1">
        <f t="shared" si="7"/>
        <v>3.9386940804566776E-6</v>
      </c>
      <c r="C129" s="1">
        <f t="shared" si="8"/>
        <v>4.6345185970617031</v>
      </c>
      <c r="D129" s="1">
        <f t="shared" si="9"/>
        <v>2.0289171012812632</v>
      </c>
      <c r="E129" s="1">
        <f t="shared" si="10"/>
        <v>0</v>
      </c>
      <c r="F129" s="1">
        <f t="shared" si="11"/>
        <v>0</v>
      </c>
      <c r="G129" s="1">
        <f t="shared" si="12"/>
        <v>0</v>
      </c>
      <c r="H129" s="1">
        <f t="shared" si="13"/>
        <v>0</v>
      </c>
      <c r="I129" s="1">
        <f>'WSO-UV_WUVS_130nm'!I136</f>
        <v>0.41419293921295236</v>
      </c>
      <c r="J129" s="1"/>
      <c r="K129" s="1"/>
      <c r="L129" s="1"/>
      <c r="M129" s="1"/>
      <c r="N129" s="1"/>
      <c r="O129" s="1"/>
      <c r="P129" s="1"/>
    </row>
    <row r="130" spans="1:16">
      <c r="A130" s="1">
        <v>5.5E-17</v>
      </c>
      <c r="B130" s="1">
        <f t="shared" si="7"/>
        <v>3.6104695737519544E-6</v>
      </c>
      <c r="C130" s="1">
        <f t="shared" si="8"/>
        <v>4.2483087139732278</v>
      </c>
      <c r="D130" s="1">
        <f t="shared" si="9"/>
        <v>1.9327455621137999</v>
      </c>
      <c r="E130" s="1">
        <f t="shared" si="10"/>
        <v>0</v>
      </c>
      <c r="F130" s="1">
        <f t="shared" si="11"/>
        <v>0</v>
      </c>
      <c r="G130" s="1">
        <f t="shared" si="12"/>
        <v>0</v>
      </c>
      <c r="H130" s="1">
        <f t="shared" si="13"/>
        <v>0</v>
      </c>
      <c r="I130" s="1">
        <f>'WSO-UV_WUVS_130nm'!I137</f>
        <v>0.37973687806450951</v>
      </c>
      <c r="J130" s="1"/>
      <c r="K130" s="1"/>
      <c r="L130" s="1"/>
      <c r="M130" s="1"/>
      <c r="N130" s="1"/>
      <c r="O130" s="1"/>
      <c r="P130" s="1"/>
    </row>
    <row r="131" spans="1:16">
      <c r="A131" s="1">
        <v>4.9999999999999999E-17</v>
      </c>
      <c r="B131" s="1">
        <f t="shared" si="7"/>
        <v>3.2822450670472312E-6</v>
      </c>
      <c r="C131" s="1">
        <f t="shared" si="8"/>
        <v>3.8620988308847526</v>
      </c>
      <c r="D131" s="1">
        <f t="shared" si="9"/>
        <v>1.8317782688683688</v>
      </c>
      <c r="E131" s="1">
        <f t="shared" si="10"/>
        <v>0</v>
      </c>
      <c r="F131" s="1">
        <f t="shared" si="11"/>
        <v>0</v>
      </c>
      <c r="G131" s="1">
        <f t="shared" si="12"/>
        <v>0</v>
      </c>
      <c r="H131" s="1">
        <f t="shared" si="13"/>
        <v>0</v>
      </c>
      <c r="I131" s="1">
        <f>'WSO-UV_WUVS_130nm'!I138</f>
        <v>0.34526993059480876</v>
      </c>
      <c r="J131" s="1"/>
      <c r="K131" s="1"/>
      <c r="L131" s="1"/>
      <c r="M131" s="1"/>
      <c r="N131" s="1"/>
      <c r="O131" s="1"/>
      <c r="P131" s="1"/>
    </row>
    <row r="132" spans="1:16">
      <c r="A132" s="1">
        <v>4.4999999999999998E-17</v>
      </c>
      <c r="B132" s="1">
        <f t="shared" si="7"/>
        <v>2.954020560342508E-6</v>
      </c>
      <c r="C132" s="1">
        <f t="shared" si="8"/>
        <v>3.4758889477962773</v>
      </c>
      <c r="D132" s="1">
        <f t="shared" si="9"/>
        <v>1.7252483013716142</v>
      </c>
      <c r="E132" s="1">
        <f t="shared" si="10"/>
        <v>0</v>
      </c>
      <c r="F132" s="1">
        <f t="shared" si="11"/>
        <v>0</v>
      </c>
      <c r="G132" s="1">
        <f t="shared" si="12"/>
        <v>0</v>
      </c>
      <c r="H132" s="1">
        <f t="shared" si="13"/>
        <v>0</v>
      </c>
      <c r="I132" s="1">
        <f>'WSO-UV_WUVS_130nm'!I139</f>
        <v>0.31079208905759709</v>
      </c>
      <c r="J132" s="1"/>
      <c r="K132" s="1"/>
      <c r="L132" s="1"/>
      <c r="M132" s="1"/>
      <c r="N132" s="1"/>
      <c r="O132" s="1"/>
      <c r="P132" s="1"/>
    </row>
    <row r="133" spans="1:16">
      <c r="A133" s="1">
        <v>4.0000000000000003E-17</v>
      </c>
      <c r="B133" s="1">
        <f t="shared" si="7"/>
        <v>2.6257960536377852E-6</v>
      </c>
      <c r="C133" s="1">
        <f t="shared" si="8"/>
        <v>3.0896790647078025</v>
      </c>
      <c r="D133" s="1">
        <f t="shared" si="9"/>
        <v>1.612167106114228</v>
      </c>
      <c r="E133" s="1">
        <f t="shared" si="10"/>
        <v>0</v>
      </c>
      <c r="F133" s="1">
        <f t="shared" si="11"/>
        <v>0</v>
      </c>
      <c r="G133" s="1">
        <f t="shared" si="12"/>
        <v>0</v>
      </c>
      <c r="H133" s="1">
        <f t="shared" si="13"/>
        <v>0</v>
      </c>
      <c r="I133" s="1">
        <f>'WSO-UV_WUVS_130nm'!I140</f>
        <v>0.27630334569845194</v>
      </c>
      <c r="J133" s="1"/>
      <c r="K133" s="1"/>
      <c r="L133" s="1"/>
      <c r="M133" s="1"/>
      <c r="N133" s="1"/>
      <c r="O133" s="1"/>
      <c r="P133" s="1"/>
    </row>
    <row r="134" spans="1:16">
      <c r="A134" s="1">
        <v>3.5000000000000002E-17</v>
      </c>
      <c r="B134" s="1">
        <f t="shared" si="7"/>
        <v>2.297571546933062E-6</v>
      </c>
      <c r="C134" s="1">
        <f t="shared" si="8"/>
        <v>2.7034691816193268</v>
      </c>
      <c r="D134" s="1">
        <f t="shared" si="9"/>
        <v>1.4912258618305585</v>
      </c>
      <c r="E134" s="1">
        <f t="shared" si="10"/>
        <v>0</v>
      </c>
      <c r="F134" s="1">
        <f t="shared" si="11"/>
        <v>0</v>
      </c>
      <c r="G134" s="1">
        <f t="shared" si="12"/>
        <v>0</v>
      </c>
      <c r="H134" s="1">
        <f t="shared" si="13"/>
        <v>0</v>
      </c>
      <c r="I134" s="1">
        <f>'WSO-UV_WUVS_130nm'!I141</f>
        <v>0.24180369275476962</v>
      </c>
      <c r="J134" s="1"/>
      <c r="K134" s="1"/>
      <c r="L134" s="1"/>
      <c r="M134" s="1"/>
      <c r="N134" s="1"/>
      <c r="O134" s="1"/>
      <c r="P134" s="1"/>
    </row>
    <row r="135" spans="1:16">
      <c r="A135" s="1">
        <v>3.0000000000000001E-17</v>
      </c>
      <c r="B135" s="1">
        <f t="shared" si="7"/>
        <v>1.9693470402283388E-6</v>
      </c>
      <c r="C135" s="1">
        <f t="shared" si="8"/>
        <v>2.3172592985308516</v>
      </c>
      <c r="D135" s="1">
        <f t="shared" si="9"/>
        <v>1.3606337704472304</v>
      </c>
      <c r="E135" s="1">
        <f t="shared" si="10"/>
        <v>0</v>
      </c>
      <c r="F135" s="1">
        <f t="shared" si="11"/>
        <v>0</v>
      </c>
      <c r="G135" s="1">
        <f t="shared" si="12"/>
        <v>0</v>
      </c>
      <c r="H135" s="1">
        <f t="shared" si="13"/>
        <v>0</v>
      </c>
      <c r="I135" s="1">
        <f>'WSO-UV_WUVS_130nm'!I142</f>
        <v>0.20729312245575424</v>
      </c>
      <c r="J135" s="1"/>
      <c r="K135" s="1"/>
      <c r="L135" s="1"/>
      <c r="M135" s="1"/>
      <c r="N135" s="1"/>
      <c r="O135" s="1"/>
      <c r="P135" s="1"/>
    </row>
    <row r="136" spans="1:16">
      <c r="A136" s="1">
        <v>2.4999999999999999E-17</v>
      </c>
      <c r="B136" s="1">
        <f t="shared" si="7"/>
        <v>1.6411225335236156E-6</v>
      </c>
      <c r="C136" s="1">
        <f t="shared" si="8"/>
        <v>1.9310494154423763</v>
      </c>
      <c r="D136" s="1">
        <f t="shared" si="9"/>
        <v>1.2178371234952177</v>
      </c>
      <c r="E136" s="1">
        <f t="shared" si="10"/>
        <v>0</v>
      </c>
      <c r="F136" s="1">
        <f t="shared" si="11"/>
        <v>0</v>
      </c>
      <c r="G136" s="1">
        <f t="shared" si="12"/>
        <v>0</v>
      </c>
      <c r="H136" s="1">
        <f t="shared" si="13"/>
        <v>0</v>
      </c>
      <c r="I136" s="1">
        <f>'WSO-UV_WUVS_130nm'!I143</f>
        <v>0.17277162702240639</v>
      </c>
      <c r="J136" s="1"/>
      <c r="K136" s="1"/>
      <c r="L136" s="1"/>
      <c r="M136" s="1"/>
      <c r="N136" s="1"/>
      <c r="O136" s="1"/>
      <c r="P136" s="1"/>
    </row>
    <row r="137" spans="1:16">
      <c r="A137" s="1">
        <v>2.0000000000000001E-17</v>
      </c>
      <c r="B137" s="1">
        <f t="shared" si="7"/>
        <v>1.3128980268188926E-6</v>
      </c>
      <c r="C137" s="1">
        <f t="shared" si="8"/>
        <v>1.5448395323539013</v>
      </c>
      <c r="D137" s="1">
        <f t="shared" si="9"/>
        <v>1.058994071217626</v>
      </c>
      <c r="E137" s="1">
        <f t="shared" si="10"/>
        <v>0</v>
      </c>
      <c r="F137" s="1">
        <f t="shared" si="11"/>
        <v>0</v>
      </c>
      <c r="G137" s="1">
        <f t="shared" si="12"/>
        <v>0</v>
      </c>
      <c r="H137" s="1">
        <f t="shared" si="13"/>
        <v>0</v>
      </c>
      <c r="I137" s="1">
        <f>'WSO-UV_WUVS_130nm'!I144</f>
        <v>0.13823919866751119</v>
      </c>
      <c r="J137" s="1"/>
      <c r="K137" s="1"/>
      <c r="L137" s="1"/>
      <c r="M137" s="1"/>
      <c r="N137" s="1"/>
      <c r="O137" s="1"/>
      <c r="P137" s="1"/>
    </row>
    <row r="138" spans="1:16">
      <c r="A138" s="1">
        <v>1.5E-17</v>
      </c>
      <c r="B138" s="1">
        <f t="shared" si="7"/>
        <v>9.846735201141694E-7</v>
      </c>
      <c r="C138" s="1">
        <f t="shared" si="8"/>
        <v>1.1586296492654258</v>
      </c>
      <c r="D138" s="1">
        <f t="shared" si="9"/>
        <v>0.87789342923685143</v>
      </c>
      <c r="E138" s="1">
        <f t="shared" si="10"/>
        <v>0</v>
      </c>
      <c r="F138" s="1">
        <f t="shared" si="11"/>
        <v>0</v>
      </c>
      <c r="G138" s="1">
        <f t="shared" si="12"/>
        <v>0</v>
      </c>
      <c r="H138" s="1">
        <f t="shared" si="13"/>
        <v>0</v>
      </c>
      <c r="I138" s="1">
        <f>'WSO-UV_WUVS_130nm'!I145</f>
        <v>0.10369582959562758</v>
      </c>
      <c r="J138" s="1"/>
      <c r="K138" s="1"/>
      <c r="L138" s="1"/>
      <c r="M138" s="1"/>
      <c r="N138" s="1"/>
      <c r="O138" s="1"/>
      <c r="P138" s="1"/>
    </row>
    <row r="139" spans="1:16">
      <c r="A139" s="1">
        <v>1.0000000000000001E-17</v>
      </c>
      <c r="B139" s="1">
        <f t="shared" si="7"/>
        <v>6.564490134094463E-7</v>
      </c>
      <c r="C139" s="1">
        <f t="shared" si="8"/>
        <v>0.77241976617695063</v>
      </c>
      <c r="D139" s="1">
        <f t="shared" si="9"/>
        <v>0.66341369498922431</v>
      </c>
      <c r="E139" s="1">
        <f t="shared" si="10"/>
        <v>0</v>
      </c>
      <c r="F139" s="1">
        <f t="shared" si="11"/>
        <v>0</v>
      </c>
      <c r="G139" s="1">
        <f t="shared" si="12"/>
        <v>0</v>
      </c>
      <c r="H139" s="1">
        <f t="shared" si="13"/>
        <v>0</v>
      </c>
      <c r="I139" s="1">
        <f>'WSO-UV_WUVS_130nm'!I146</f>
        <v>6.9141512003076833E-2</v>
      </c>
      <c r="J139" s="1"/>
      <c r="K139" s="1"/>
      <c r="L139" s="1"/>
      <c r="M139" s="1"/>
      <c r="N139" s="1"/>
      <c r="O139" s="1"/>
      <c r="P139" s="1"/>
    </row>
    <row r="140" spans="1:16">
      <c r="A140" s="1">
        <v>9.5000000000000003E-18</v>
      </c>
      <c r="B140" s="1">
        <f t="shared" si="7"/>
        <v>6.2362656273897394E-7</v>
      </c>
      <c r="C140" s="1">
        <f t="shared" si="8"/>
        <v>0.73379877786810299</v>
      </c>
      <c r="D140" s="1">
        <f t="shared" si="9"/>
        <v>0.63941717605776494</v>
      </c>
      <c r="E140" s="1">
        <f t="shared" si="10"/>
        <v>0</v>
      </c>
      <c r="F140" s="1">
        <f t="shared" si="11"/>
        <v>0</v>
      </c>
      <c r="G140" s="1">
        <f t="shared" si="12"/>
        <v>0</v>
      </c>
      <c r="H140" s="1">
        <f t="shared" si="13"/>
        <v>0</v>
      </c>
      <c r="I140" s="1">
        <f>'WSO-UV_WUVS_130nm'!I147</f>
        <v>6.568547777449732E-2</v>
      </c>
      <c r="J140" s="1"/>
      <c r="K140" s="1"/>
      <c r="L140" s="1"/>
      <c r="M140" s="1"/>
      <c r="N140" s="1"/>
      <c r="O140" s="1"/>
      <c r="P140" s="1"/>
    </row>
    <row r="141" spans="1:16">
      <c r="A141" s="1">
        <v>8.9999999999999999E-18</v>
      </c>
      <c r="B141" s="1">
        <f t="shared" si="7"/>
        <v>5.9080411206850168E-7</v>
      </c>
      <c r="C141" s="1">
        <f t="shared" si="8"/>
        <v>0.69517778955925547</v>
      </c>
      <c r="D141" s="1">
        <f t="shared" si="9"/>
        <v>0.614845897992644</v>
      </c>
      <c r="E141" s="1">
        <f t="shared" si="10"/>
        <v>0</v>
      </c>
      <c r="F141" s="1">
        <f t="shared" si="11"/>
        <v>0</v>
      </c>
      <c r="G141" s="1">
        <f t="shared" si="12"/>
        <v>0</v>
      </c>
      <c r="H141" s="1">
        <f t="shared" si="13"/>
        <v>0</v>
      </c>
      <c r="I141" s="1">
        <f>'WSO-UV_WUVS_130nm'!I148</f>
        <v>6.2229333974782232E-2</v>
      </c>
      <c r="J141" s="1"/>
      <c r="K141" s="1"/>
      <c r="L141" s="1"/>
      <c r="M141" s="1"/>
      <c r="N141" s="1"/>
      <c r="O141" s="1"/>
      <c r="P141" s="1"/>
    </row>
    <row r="142" spans="1:16">
      <c r="A142" s="1">
        <v>8.4999999999999995E-18</v>
      </c>
      <c r="B142" s="1">
        <f t="shared" si="7"/>
        <v>5.5798166139802932E-7</v>
      </c>
      <c r="C142" s="1">
        <f t="shared" si="8"/>
        <v>0.65655680125040794</v>
      </c>
      <c r="D142" s="1">
        <f t="shared" si="9"/>
        <v>0.58966324051015828</v>
      </c>
      <c r="E142" s="1">
        <f t="shared" si="10"/>
        <v>0</v>
      </c>
      <c r="F142" s="1">
        <f t="shared" si="11"/>
        <v>0</v>
      </c>
      <c r="G142" s="1">
        <f t="shared" si="12"/>
        <v>0</v>
      </c>
      <c r="H142" s="1">
        <f t="shared" si="13"/>
        <v>0</v>
      </c>
      <c r="I142" s="1">
        <f>'WSO-UV_WUVS_130nm'!I149</f>
        <v>5.8773080596114219E-2</v>
      </c>
      <c r="J142" s="1"/>
      <c r="K142" s="1"/>
      <c r="L142" s="1"/>
      <c r="M142" s="1"/>
      <c r="N142" s="1"/>
      <c r="O142" s="1"/>
      <c r="P142" s="1"/>
    </row>
    <row r="143" spans="1:16">
      <c r="A143" s="1">
        <v>8.0000000000000006E-18</v>
      </c>
      <c r="B143" s="1">
        <f t="shared" si="7"/>
        <v>5.2515921072755706E-7</v>
      </c>
      <c r="C143" s="1">
        <f t="shared" si="8"/>
        <v>0.61793581294156052</v>
      </c>
      <c r="D143" s="1">
        <f t="shared" si="9"/>
        <v>0.56382886778931685</v>
      </c>
      <c r="E143" s="1">
        <f t="shared" si="10"/>
        <v>0</v>
      </c>
      <c r="F143" s="1">
        <f t="shared" si="11"/>
        <v>0</v>
      </c>
      <c r="G143" s="1">
        <f t="shared" si="12"/>
        <v>0</v>
      </c>
      <c r="H143" s="1">
        <f t="shared" si="13"/>
        <v>0</v>
      </c>
      <c r="I143" s="1">
        <f>'WSO-UV_WUVS_130nm'!I150</f>
        <v>5.5316717630675194E-2</v>
      </c>
      <c r="J143" s="1"/>
      <c r="K143" s="1"/>
      <c r="L143" s="1"/>
      <c r="M143" s="1"/>
      <c r="N143" s="1"/>
      <c r="O143" s="1"/>
      <c r="P143" s="1"/>
    </row>
    <row r="144" spans="1:16">
      <c r="A144" s="1">
        <v>7.5000000000000002E-18</v>
      </c>
      <c r="B144" s="1">
        <f t="shared" si="7"/>
        <v>4.923367600570847E-7</v>
      </c>
      <c r="C144" s="1">
        <f t="shared" si="8"/>
        <v>0.57931482463271289</v>
      </c>
      <c r="D144" s="1">
        <f t="shared" si="9"/>
        <v>0.53729820824288776</v>
      </c>
      <c r="E144" s="1">
        <f t="shared" si="10"/>
        <v>0</v>
      </c>
      <c r="F144" s="1">
        <f t="shared" si="11"/>
        <v>0</v>
      </c>
      <c r="G144" s="1">
        <f t="shared" si="12"/>
        <v>0</v>
      </c>
      <c r="H144" s="1">
        <f t="shared" si="13"/>
        <v>0</v>
      </c>
      <c r="I144" s="1">
        <f>'WSO-UV_WUVS_130nm'!I151</f>
        <v>5.1860245070646176E-2</v>
      </c>
      <c r="J144" s="1"/>
      <c r="K144" s="1"/>
      <c r="L144" s="1"/>
      <c r="M144" s="1"/>
      <c r="N144" s="1"/>
      <c r="O144" s="1"/>
      <c r="P144" s="1"/>
    </row>
    <row r="145" spans="1:16">
      <c r="A145" s="1">
        <v>6.9999999999999997E-18</v>
      </c>
      <c r="B145" s="1">
        <f t="shared" si="7"/>
        <v>4.5951430938661234E-7</v>
      </c>
      <c r="C145" s="1">
        <f t="shared" si="8"/>
        <v>0.54069383632386525</v>
      </c>
      <c r="D145" s="1">
        <f t="shared" si="9"/>
        <v>0.51002184045052157</v>
      </c>
      <c r="E145" s="1">
        <f t="shared" si="10"/>
        <v>0</v>
      </c>
      <c r="F145" s="1">
        <f t="shared" si="11"/>
        <v>0</v>
      </c>
      <c r="G145" s="1">
        <f t="shared" si="12"/>
        <v>0</v>
      </c>
      <c r="H145" s="1">
        <f t="shared" si="13"/>
        <v>0</v>
      </c>
      <c r="I145" s="1">
        <f>'WSO-UV_WUVS_130nm'!I152</f>
        <v>4.840366290820744E-2</v>
      </c>
      <c r="J145" s="1"/>
      <c r="K145" s="1"/>
      <c r="L145" s="1"/>
      <c r="M145" s="1"/>
      <c r="N145" s="1"/>
      <c r="O145" s="1"/>
      <c r="P145" s="1"/>
    </row>
    <row r="146" spans="1:16">
      <c r="A146" s="1">
        <v>6.5000000000000001E-18</v>
      </c>
      <c r="B146" s="1">
        <f t="shared" si="7"/>
        <v>4.2669185871614008E-7</v>
      </c>
      <c r="C146" s="1">
        <f t="shared" si="8"/>
        <v>0.50207284801501784</v>
      </c>
      <c r="D146" s="1">
        <f t="shared" si="9"/>
        <v>0.48194476431622868</v>
      </c>
      <c r="E146" s="1">
        <f t="shared" si="10"/>
        <v>0</v>
      </c>
      <c r="F146" s="1">
        <f t="shared" si="11"/>
        <v>0</v>
      </c>
      <c r="G146" s="1">
        <f t="shared" si="12"/>
        <v>0</v>
      </c>
      <c r="H146" s="1">
        <f t="shared" si="13"/>
        <v>0</v>
      </c>
      <c r="I146" s="1">
        <f>'WSO-UV_WUVS_130nm'!I153</f>
        <v>4.4946971135538347E-2</v>
      </c>
      <c r="J146" s="1"/>
      <c r="K146" s="1"/>
      <c r="L146" s="1"/>
      <c r="M146" s="1"/>
      <c r="N146" s="1"/>
      <c r="O146" s="1"/>
      <c r="P146" s="1"/>
    </row>
    <row r="147" spans="1:16">
      <c r="A147" s="1">
        <v>5.9999999999999997E-18</v>
      </c>
      <c r="B147" s="1">
        <f t="shared" si="7"/>
        <v>3.9386940804566772E-7</v>
      </c>
      <c r="C147" s="1">
        <f t="shared" si="8"/>
        <v>0.46345185970617025</v>
      </c>
      <c r="D147" s="1">
        <f t="shared" si="9"/>
        <v>0.45300553088628231</v>
      </c>
      <c r="E147" s="1">
        <f t="shared" si="10"/>
        <v>0</v>
      </c>
      <c r="F147" s="1">
        <f t="shared" si="11"/>
        <v>0</v>
      </c>
      <c r="G147" s="1">
        <f t="shared" si="12"/>
        <v>0</v>
      </c>
      <c r="H147" s="1">
        <f t="shared" si="13"/>
        <v>0</v>
      </c>
      <c r="I147" s="1">
        <f>'WSO-UV_WUVS_130nm'!I154</f>
        <v>4.1490169744817479E-2</v>
      </c>
      <c r="J147" s="1"/>
      <c r="K147" s="1"/>
      <c r="L147" s="1"/>
      <c r="M147" s="1"/>
      <c r="N147" s="1"/>
      <c r="O147" s="1"/>
      <c r="P147" s="1"/>
    </row>
    <row r="148" spans="1:16">
      <c r="A148" s="1">
        <v>5.5E-18</v>
      </c>
      <c r="B148" s="1">
        <f t="shared" si="7"/>
        <v>3.6104695737519546E-7</v>
      </c>
      <c r="C148" s="1">
        <f t="shared" si="8"/>
        <v>0.42483087139732278</v>
      </c>
      <c r="D148" s="1">
        <f t="shared" si="9"/>
        <v>0.42313519685074413</v>
      </c>
      <c r="E148" s="1">
        <f t="shared" si="10"/>
        <v>0</v>
      </c>
      <c r="F148" s="1">
        <f t="shared" si="11"/>
        <v>0</v>
      </c>
      <c r="G148" s="1">
        <f t="shared" si="12"/>
        <v>0</v>
      </c>
      <c r="H148" s="1">
        <f t="shared" si="13"/>
        <v>0</v>
      </c>
      <c r="I148" s="1">
        <f>'WSO-UV_WUVS_130nm'!I155</f>
        <v>3.8033258728222594E-2</v>
      </c>
      <c r="J148" s="1"/>
      <c r="K148" s="1"/>
      <c r="L148" s="1"/>
      <c r="M148" s="1"/>
      <c r="N148" s="1"/>
      <c r="O148" s="1"/>
      <c r="P148" s="1"/>
    </row>
    <row r="149" spans="1:16">
      <c r="A149" s="1">
        <v>5.0000000000000004E-18</v>
      </c>
      <c r="B149" s="1">
        <f t="shared" si="7"/>
        <v>3.2822450670472315E-7</v>
      </c>
      <c r="C149" s="1">
        <f t="shared" si="8"/>
        <v>0.38620988308847531</v>
      </c>
      <c r="D149" s="1">
        <f t="shared" si="9"/>
        <v>0.39225605989094237</v>
      </c>
      <c r="E149" s="1">
        <f t="shared" si="10"/>
        <v>0</v>
      </c>
      <c r="F149" s="1">
        <f t="shared" si="11"/>
        <v>0</v>
      </c>
      <c r="G149" s="1">
        <f t="shared" si="12"/>
        <v>0</v>
      </c>
      <c r="H149" s="1">
        <f t="shared" si="13"/>
        <v>0</v>
      </c>
      <c r="I149" s="1">
        <f>'WSO-UV_WUVS_130nm'!I156</f>
        <v>3.4576238077930595E-2</v>
      </c>
      <c r="J149" s="1"/>
      <c r="K149" s="1"/>
      <c r="L149" s="1"/>
      <c r="M149" s="1"/>
      <c r="N149" s="1"/>
      <c r="O149" s="1"/>
      <c r="P149" s="1"/>
    </row>
    <row r="150" spans="1:16">
      <c r="A150" s="1">
        <v>4.4999999999999999E-18</v>
      </c>
      <c r="B150" s="1">
        <f t="shared" si="7"/>
        <v>2.9540205603425084E-7</v>
      </c>
      <c r="C150" s="1">
        <f t="shared" si="8"/>
        <v>0.34758889477962773</v>
      </c>
      <c r="D150" s="1">
        <f t="shared" si="9"/>
        <v>0.36028011778276453</v>
      </c>
      <c r="E150" s="1">
        <f t="shared" si="10"/>
        <v>0</v>
      </c>
      <c r="F150" s="1">
        <f t="shared" si="11"/>
        <v>0</v>
      </c>
      <c r="G150" s="1">
        <f t="shared" si="12"/>
        <v>0</v>
      </c>
      <c r="H150" s="1">
        <f t="shared" si="13"/>
        <v>0</v>
      </c>
      <c r="I150" s="1">
        <f>'WSO-UV_WUVS_130nm'!I157</f>
        <v>3.1119107786117563E-2</v>
      </c>
      <c r="J150" s="1"/>
      <c r="K150" s="1"/>
      <c r="L150" s="1"/>
      <c r="M150" s="1"/>
      <c r="N150" s="1"/>
      <c r="O150" s="1"/>
      <c r="P150" s="1"/>
    </row>
    <row r="151" spans="1:16">
      <c r="A151" s="1">
        <v>4.0000000000000003E-18</v>
      </c>
      <c r="B151" s="1">
        <f t="shared" si="7"/>
        <v>2.6257960536377853E-7</v>
      </c>
      <c r="C151" s="1">
        <f t="shared" si="8"/>
        <v>0.30896790647078026</v>
      </c>
      <c r="D151" s="1">
        <f t="shared" si="9"/>
        <v>0.32710717615763807</v>
      </c>
      <c r="E151" s="1">
        <f t="shared" si="10"/>
        <v>0</v>
      </c>
      <c r="F151" s="1">
        <f t="shared" si="11"/>
        <v>0</v>
      </c>
      <c r="G151" s="1">
        <f t="shared" si="12"/>
        <v>0</v>
      </c>
      <c r="H151" s="1">
        <f t="shared" si="13"/>
        <v>0</v>
      </c>
      <c r="I151" s="1">
        <f>'WSO-UV_WUVS_130nm'!I158</f>
        <v>2.7661867844958776E-2</v>
      </c>
      <c r="J151" s="1"/>
      <c r="K151" s="1"/>
      <c r="L151" s="1"/>
      <c r="M151" s="1"/>
      <c r="N151" s="1"/>
      <c r="O151" s="1"/>
      <c r="P151" s="1"/>
    </row>
    <row r="152" spans="1:16">
      <c r="A152" s="1">
        <v>3.4999999999999999E-18</v>
      </c>
      <c r="B152" s="1">
        <f t="shared" ref="B152:B193" si="14">A152*$C$4/($C$2*$C$3/1304*10000000000)</f>
        <v>2.2975715469330617E-7</v>
      </c>
      <c r="C152" s="1">
        <f t="shared" ref="C152:C193" si="15">B152*$C$11*$C$18*3600</f>
        <v>0.27034691816193263</v>
      </c>
      <c r="D152" s="1">
        <f t="shared" ref="D152:D193" si="16">C152/SQRT(C152+($C$19)*2)</f>
        <v>0.2926225050609193</v>
      </c>
      <c r="E152" s="1">
        <f t="shared" ref="E152:E193" si="17">B152*$D$11*$C$18*3600</f>
        <v>0</v>
      </c>
      <c r="F152" s="1">
        <f t="shared" ref="F152:F193" si="18">E152/SQRT(E152+($C$19)*2)</f>
        <v>0</v>
      </c>
      <c r="G152" s="1">
        <f t="shared" ref="G152:G193" si="19">B152*$E$11*$C$18*3600</f>
        <v>0</v>
      </c>
      <c r="H152" s="1">
        <f t="shared" ref="H152:H193" si="20">G152/SQRT(G152+($C$19)*2)</f>
        <v>0</v>
      </c>
      <c r="I152" s="1">
        <f>'WSO-UV_WUVS_130nm'!I159</f>
        <v>2.4204518246628681E-2</v>
      </c>
      <c r="J152" s="1"/>
      <c r="K152" s="1"/>
      <c r="L152" s="1"/>
      <c r="M152" s="1"/>
      <c r="N152" s="1"/>
      <c r="O152" s="1"/>
      <c r="P152" s="1"/>
    </row>
    <row r="153" spans="1:16">
      <c r="A153" s="1">
        <v>2.9999999999999998E-18</v>
      </c>
      <c r="B153" s="1">
        <f t="shared" si="14"/>
        <v>1.9693470402283386E-7</v>
      </c>
      <c r="C153" s="1">
        <f t="shared" si="15"/>
        <v>0.23172592985308513</v>
      </c>
      <c r="D153" s="1">
        <f t="shared" si="16"/>
        <v>0.25669390995826202</v>
      </c>
      <c r="E153" s="1">
        <f t="shared" si="17"/>
        <v>0</v>
      </c>
      <c r="F153" s="1">
        <f t="shared" si="18"/>
        <v>0</v>
      </c>
      <c r="G153" s="1">
        <f t="shared" si="19"/>
        <v>0</v>
      </c>
      <c r="H153" s="1">
        <f t="shared" si="20"/>
        <v>0</v>
      </c>
      <c r="I153" s="1">
        <f>'WSO-UV_WUVS_130nm'!I160</f>
        <v>2.074705898330087E-2</v>
      </c>
      <c r="J153" s="1"/>
      <c r="K153" s="1"/>
      <c r="L153" s="1"/>
      <c r="M153" s="1"/>
      <c r="N153" s="1"/>
      <c r="O153" s="1"/>
      <c r="P153" s="1"/>
    </row>
    <row r="154" spans="1:16">
      <c r="A154" s="1">
        <v>2.5000000000000002E-18</v>
      </c>
      <c r="B154" s="1">
        <f t="shared" si="14"/>
        <v>1.6411225335236158E-7</v>
      </c>
      <c r="C154" s="1">
        <f t="shared" si="15"/>
        <v>0.19310494154423766</v>
      </c>
      <c r="D154" s="1">
        <f t="shared" si="16"/>
        <v>0.21916803413091596</v>
      </c>
      <c r="E154" s="1">
        <f t="shared" si="17"/>
        <v>0</v>
      </c>
      <c r="F154" s="1">
        <f t="shared" si="18"/>
        <v>0</v>
      </c>
      <c r="G154" s="1">
        <f t="shared" si="19"/>
        <v>0</v>
      </c>
      <c r="H154" s="1">
        <f t="shared" si="20"/>
        <v>0</v>
      </c>
      <c r="I154" s="1">
        <f>'WSO-UV_WUVS_130nm'!I161</f>
        <v>1.7289490047148144E-2</v>
      </c>
      <c r="J154" s="1"/>
      <c r="K154" s="1"/>
      <c r="L154" s="1"/>
      <c r="M154" s="1"/>
      <c r="N154" s="1"/>
      <c r="O154" s="1"/>
      <c r="P154" s="1"/>
    </row>
    <row r="155" spans="1:16">
      <c r="A155" s="1">
        <v>2.0000000000000001E-18</v>
      </c>
      <c r="B155" s="1">
        <f t="shared" si="14"/>
        <v>1.3128980268188927E-7</v>
      </c>
      <c r="C155" s="1">
        <f t="shared" si="15"/>
        <v>0.15448395323539013</v>
      </c>
      <c r="D155" s="1">
        <f t="shared" si="16"/>
        <v>0.17986563955922177</v>
      </c>
      <c r="E155" s="1">
        <f t="shared" si="17"/>
        <v>0</v>
      </c>
      <c r="F155" s="1">
        <f t="shared" si="18"/>
        <v>0</v>
      </c>
      <c r="G155" s="1">
        <f t="shared" si="19"/>
        <v>0</v>
      </c>
      <c r="H155" s="1">
        <f t="shared" si="20"/>
        <v>0</v>
      </c>
      <c r="I155" s="1">
        <f>'WSO-UV_WUVS_130nm'!I162</f>
        <v>1.3831811430342435E-2</v>
      </c>
      <c r="J155" s="1"/>
      <c r="K155" s="1"/>
      <c r="L155" s="1"/>
      <c r="M155" s="1"/>
      <c r="N155" s="1"/>
      <c r="O155" s="1"/>
      <c r="P155" s="1"/>
    </row>
    <row r="156" spans="1:16">
      <c r="A156" s="1">
        <v>1.4999999999999999E-18</v>
      </c>
      <c r="B156" s="1">
        <f t="shared" si="14"/>
        <v>9.8467352011416929E-8</v>
      </c>
      <c r="C156" s="1">
        <f t="shared" si="15"/>
        <v>0.11586296492654256</v>
      </c>
      <c r="D156" s="1">
        <f t="shared" si="16"/>
        <v>0.1385755115845298</v>
      </c>
      <c r="E156" s="1">
        <f t="shared" si="17"/>
        <v>0</v>
      </c>
      <c r="F156" s="1">
        <f t="shared" si="18"/>
        <v>0</v>
      </c>
      <c r="G156" s="1">
        <f t="shared" si="19"/>
        <v>0</v>
      </c>
      <c r="H156" s="1">
        <f t="shared" si="20"/>
        <v>0</v>
      </c>
      <c r="I156" s="1">
        <f>'WSO-UV_WUVS_130nm'!I163</f>
        <v>1.0374023125054881E-2</v>
      </c>
      <c r="J156" s="1"/>
      <c r="K156" s="1"/>
      <c r="L156" s="1"/>
      <c r="M156" s="1"/>
      <c r="N156" s="1"/>
      <c r="O156" s="1"/>
      <c r="P156" s="1"/>
    </row>
    <row r="157" spans="1:16">
      <c r="A157" s="1">
        <v>9.9999999999999892E-19</v>
      </c>
      <c r="B157" s="1">
        <f t="shared" si="14"/>
        <v>6.5644901340944553E-8</v>
      </c>
      <c r="C157" s="1">
        <f t="shared" si="15"/>
        <v>7.7241976617694968E-2</v>
      </c>
      <c r="D157" s="1">
        <f t="shared" si="16"/>
        <v>9.5046481520067408E-2</v>
      </c>
      <c r="E157" s="1">
        <f t="shared" si="17"/>
        <v>0</v>
      </c>
      <c r="F157" s="1">
        <f t="shared" si="18"/>
        <v>0</v>
      </c>
      <c r="G157" s="1">
        <f t="shared" si="19"/>
        <v>0</v>
      </c>
      <c r="H157" s="1">
        <f t="shared" si="20"/>
        <v>0</v>
      </c>
      <c r="I157" s="1">
        <f>'WSO-UV_WUVS_130nm'!I164</f>
        <v>6.9161251234557755E-3</v>
      </c>
      <c r="J157" s="1"/>
      <c r="K157" s="1"/>
      <c r="L157" s="1"/>
      <c r="M157" s="1"/>
      <c r="N157" s="1"/>
      <c r="O157" s="1"/>
      <c r="P157" s="1"/>
    </row>
    <row r="158" spans="1:16">
      <c r="A158" s="1">
        <v>9.4999999999999995E-19</v>
      </c>
      <c r="B158" s="1">
        <f t="shared" si="14"/>
        <v>6.2362656273897391E-8</v>
      </c>
      <c r="C158" s="1">
        <f t="shared" si="15"/>
        <v>7.3379877786810294E-2</v>
      </c>
      <c r="D158" s="1">
        <f t="shared" si="16"/>
        <v>9.0559329787582313E-2</v>
      </c>
      <c r="E158" s="1">
        <f t="shared" si="17"/>
        <v>0</v>
      </c>
      <c r="F158" s="1">
        <f t="shared" si="18"/>
        <v>0</v>
      </c>
      <c r="G158" s="1">
        <f t="shared" si="19"/>
        <v>0</v>
      </c>
      <c r="H158" s="1">
        <f t="shared" si="20"/>
        <v>0</v>
      </c>
      <c r="I158" s="1">
        <f>'WSO-UV_WUVS_130nm'!I165</f>
        <v>6.5703292896972703E-3</v>
      </c>
      <c r="J158" s="1"/>
      <c r="K158" s="1"/>
      <c r="L158" s="1"/>
      <c r="M158" s="1"/>
      <c r="N158" s="1"/>
      <c r="O158" s="1"/>
      <c r="P158" s="1"/>
    </row>
    <row r="159" spans="1:16">
      <c r="A159" s="1">
        <v>9.0000000000000003E-19</v>
      </c>
      <c r="B159" s="1">
        <f t="shared" si="14"/>
        <v>5.9080411206850163E-8</v>
      </c>
      <c r="C159" s="1">
        <f t="shared" si="15"/>
        <v>6.9517778955925549E-2</v>
      </c>
      <c r="D159" s="1">
        <f t="shared" si="16"/>
        <v>8.6046491539714998E-2</v>
      </c>
      <c r="E159" s="1">
        <f t="shared" si="17"/>
        <v>0</v>
      </c>
      <c r="F159" s="1">
        <f t="shared" si="18"/>
        <v>0</v>
      </c>
      <c r="G159" s="1">
        <f t="shared" si="19"/>
        <v>0</v>
      </c>
      <c r="H159" s="1">
        <f t="shared" si="20"/>
        <v>0</v>
      </c>
      <c r="I159" s="1">
        <f>'WSO-UV_WUVS_130nm'!I166</f>
        <v>6.2245323588895072E-3</v>
      </c>
      <c r="J159" s="1"/>
      <c r="K159" s="1"/>
      <c r="L159" s="1"/>
      <c r="M159" s="1"/>
      <c r="N159" s="1"/>
      <c r="O159" s="1"/>
      <c r="P159" s="1"/>
    </row>
    <row r="160" spans="1:16">
      <c r="A160" s="1">
        <v>8.5E-19</v>
      </c>
      <c r="B160" s="1">
        <f t="shared" si="14"/>
        <v>5.5798166139802928E-8</v>
      </c>
      <c r="C160" s="1">
        <f t="shared" si="15"/>
        <v>6.5655680125040791E-2</v>
      </c>
      <c r="D160" s="1">
        <f t="shared" si="16"/>
        <v>8.1507626958364471E-2</v>
      </c>
      <c r="E160" s="1">
        <f t="shared" si="17"/>
        <v>0</v>
      </c>
      <c r="F160" s="1">
        <f t="shared" si="18"/>
        <v>0</v>
      </c>
      <c r="G160" s="1">
        <f t="shared" si="19"/>
        <v>0</v>
      </c>
      <c r="H160" s="1">
        <f t="shared" si="20"/>
        <v>0</v>
      </c>
      <c r="I160" s="1">
        <f>'WSO-UV_WUVS_130nm'!I167</f>
        <v>5.8787343310246617E-3</v>
      </c>
      <c r="J160" s="1"/>
      <c r="K160" s="1"/>
      <c r="L160" s="1"/>
      <c r="M160" s="1"/>
      <c r="N160" s="1"/>
      <c r="O160" s="1"/>
      <c r="P160" s="1"/>
    </row>
    <row r="161" spans="1:16">
      <c r="A161" s="1">
        <v>7.9999999999999998E-19</v>
      </c>
      <c r="B161" s="1">
        <f t="shared" si="14"/>
        <v>5.2515921072755693E-8</v>
      </c>
      <c r="C161" s="1">
        <f t="shared" si="15"/>
        <v>6.179358129415604E-2</v>
      </c>
      <c r="D161" s="1">
        <f t="shared" si="16"/>
        <v>7.6942389489606466E-2</v>
      </c>
      <c r="E161" s="1">
        <f t="shared" si="17"/>
        <v>0</v>
      </c>
      <c r="F161" s="1">
        <f t="shared" si="18"/>
        <v>0</v>
      </c>
      <c r="G161" s="1">
        <f t="shared" si="19"/>
        <v>0</v>
      </c>
      <c r="H161" s="1">
        <f t="shared" si="20"/>
        <v>0</v>
      </c>
      <c r="I161" s="1">
        <f>'WSO-UV_WUVS_130nm'!I168</f>
        <v>5.5329352060949017E-3</v>
      </c>
      <c r="J161" s="1"/>
      <c r="K161" s="1"/>
      <c r="L161" s="1"/>
      <c r="M161" s="1"/>
      <c r="N161" s="1"/>
      <c r="O161" s="1"/>
      <c r="P161" s="1"/>
    </row>
    <row r="162" spans="1:16">
      <c r="A162" s="1">
        <v>7.4999999999999996E-19</v>
      </c>
      <c r="B162" s="1">
        <f t="shared" si="14"/>
        <v>4.9233676005708465E-8</v>
      </c>
      <c r="C162" s="1">
        <f t="shared" si="15"/>
        <v>5.7931482463271282E-2</v>
      </c>
      <c r="D162" s="1">
        <f t="shared" si="16"/>
        <v>7.2350425667018409E-2</v>
      </c>
      <c r="E162" s="1">
        <f t="shared" si="17"/>
        <v>0</v>
      </c>
      <c r="F162" s="1">
        <f t="shared" si="18"/>
        <v>0</v>
      </c>
      <c r="G162" s="1">
        <f t="shared" si="19"/>
        <v>0</v>
      </c>
      <c r="H162" s="1">
        <f t="shared" si="20"/>
        <v>0</v>
      </c>
      <c r="I162" s="1">
        <f>'WSO-UV_WUVS_130nm'!I169</f>
        <v>5.1871349840923965E-3</v>
      </c>
      <c r="J162" s="1"/>
      <c r="K162" s="1"/>
      <c r="L162" s="1"/>
      <c r="M162" s="1"/>
      <c r="N162" s="1"/>
      <c r="O162" s="1"/>
      <c r="P162" s="1"/>
    </row>
    <row r="163" spans="1:16">
      <c r="A163" s="1">
        <v>7.0000000000000003E-19</v>
      </c>
      <c r="B163" s="1">
        <f t="shared" si="14"/>
        <v>4.5951430938661236E-8</v>
      </c>
      <c r="C163" s="1">
        <f t="shared" si="15"/>
        <v>5.4069383632386531E-2</v>
      </c>
      <c r="D163" s="1">
        <f t="shared" si="16"/>
        <v>6.7731374929243873E-2</v>
      </c>
      <c r="E163" s="1">
        <f t="shared" si="17"/>
        <v>0</v>
      </c>
      <c r="F163" s="1">
        <f t="shared" si="18"/>
        <v>0</v>
      </c>
      <c r="G163" s="1">
        <f t="shared" si="19"/>
        <v>0</v>
      </c>
      <c r="H163" s="1">
        <f t="shared" si="20"/>
        <v>0</v>
      </c>
      <c r="I163" s="1">
        <f>'WSO-UV_WUVS_130nm'!I170</f>
        <v>4.8413336650093173E-3</v>
      </c>
      <c r="J163" s="1"/>
      <c r="K163" s="1"/>
      <c r="L163" s="1"/>
      <c r="M163" s="1"/>
      <c r="N163" s="1"/>
      <c r="O163" s="1"/>
      <c r="P163" s="1"/>
    </row>
    <row r="164" spans="1:16">
      <c r="A164" s="1">
        <v>6.5000000000000001E-19</v>
      </c>
      <c r="B164" s="1">
        <f t="shared" si="14"/>
        <v>4.2669185871614008E-8</v>
      </c>
      <c r="C164" s="1">
        <f t="shared" si="15"/>
        <v>5.0207284801501786E-2</v>
      </c>
      <c r="D164" s="1">
        <f t="shared" si="16"/>
        <v>6.3084869431571766E-2</v>
      </c>
      <c r="E164" s="1">
        <f t="shared" si="17"/>
        <v>0</v>
      </c>
      <c r="F164" s="1">
        <f t="shared" si="18"/>
        <v>0</v>
      </c>
      <c r="G164" s="1">
        <f t="shared" si="19"/>
        <v>0</v>
      </c>
      <c r="H164" s="1">
        <f t="shared" si="20"/>
        <v>0</v>
      </c>
      <c r="I164" s="1">
        <f>'WSO-UV_WUVS_130nm'!I171</f>
        <v>4.4955312488378302E-3</v>
      </c>
      <c r="J164" s="1"/>
      <c r="K164" s="1"/>
      <c r="L164" s="1"/>
      <c r="M164" s="1"/>
      <c r="N164" s="1"/>
      <c r="O164" s="1"/>
      <c r="P164" s="1"/>
    </row>
    <row r="165" spans="1:16">
      <c r="A165" s="1">
        <v>6.0000000000000104E-19</v>
      </c>
      <c r="B165" s="1">
        <f t="shared" si="14"/>
        <v>3.9386940804566846E-8</v>
      </c>
      <c r="C165" s="1">
        <f t="shared" si="15"/>
        <v>4.6345185970617112E-2</v>
      </c>
      <c r="D165" s="1">
        <f t="shared" si="16"/>
        <v>5.8410533851295299E-2</v>
      </c>
      <c r="E165" s="1">
        <f t="shared" si="17"/>
        <v>0</v>
      </c>
      <c r="F165" s="1">
        <f t="shared" si="18"/>
        <v>0</v>
      </c>
      <c r="G165" s="1">
        <f t="shared" si="19"/>
        <v>0</v>
      </c>
      <c r="H165" s="1">
        <f t="shared" si="20"/>
        <v>0</v>
      </c>
      <c r="I165" s="1">
        <f>'WSO-UV_WUVS_130nm'!I172</f>
        <v>4.1497277355701115E-3</v>
      </c>
      <c r="J165" s="1"/>
      <c r="K165" s="1"/>
      <c r="L165" s="1"/>
      <c r="M165" s="1"/>
      <c r="N165" s="1"/>
      <c r="O165" s="1"/>
      <c r="P165" s="1"/>
    </row>
    <row r="166" spans="1:16">
      <c r="A166" s="1">
        <v>5.5000000000000102E-19</v>
      </c>
      <c r="B166" s="1">
        <f t="shared" si="14"/>
        <v>3.6104695737519604E-8</v>
      </c>
      <c r="C166" s="1">
        <f t="shared" si="15"/>
        <v>4.2483087139732346E-2</v>
      </c>
      <c r="D166" s="1">
        <f t="shared" si="16"/>
        <v>5.3707985186604856E-2</v>
      </c>
      <c r="E166" s="1">
        <f t="shared" si="17"/>
        <v>0</v>
      </c>
      <c r="F166" s="1">
        <f t="shared" si="18"/>
        <v>0</v>
      </c>
      <c r="G166" s="1">
        <f t="shared" si="19"/>
        <v>0</v>
      </c>
      <c r="H166" s="1">
        <f t="shared" si="20"/>
        <v>0</v>
      </c>
      <c r="I166" s="1">
        <f>'WSO-UV_WUVS_130nm'!I173</f>
        <v>3.8039231251983151E-3</v>
      </c>
      <c r="J166" s="1"/>
      <c r="K166" s="1"/>
      <c r="L166" s="1"/>
      <c r="M166" s="1"/>
      <c r="N166" s="1"/>
      <c r="O166" s="1"/>
      <c r="P166" s="1"/>
    </row>
    <row r="167" spans="1:16">
      <c r="A167" s="1">
        <v>5.00000000000001E-19</v>
      </c>
      <c r="B167" s="1">
        <f t="shared" si="14"/>
        <v>3.2822450670472376E-8</v>
      </c>
      <c r="C167" s="1">
        <f t="shared" si="15"/>
        <v>3.8620988308847602E-2</v>
      </c>
      <c r="D167" s="1">
        <f t="shared" si="16"/>
        <v>4.8976832548758981E-2</v>
      </c>
      <c r="E167" s="1">
        <f t="shared" si="17"/>
        <v>0</v>
      </c>
      <c r="F167" s="1">
        <f t="shared" si="18"/>
        <v>0</v>
      </c>
      <c r="G167" s="1">
        <f t="shared" si="19"/>
        <v>0</v>
      </c>
      <c r="H167" s="1">
        <f t="shared" si="20"/>
        <v>0</v>
      </c>
      <c r="I167" s="1">
        <f>'WSO-UV_WUVS_130nm'!I174</f>
        <v>3.4581174177146165E-3</v>
      </c>
      <c r="J167" s="1"/>
      <c r="K167" s="1"/>
      <c r="L167" s="1"/>
      <c r="M167" s="1"/>
      <c r="N167" s="1"/>
      <c r="O167" s="1"/>
      <c r="P167" s="1"/>
    </row>
    <row r="168" spans="1:16">
      <c r="A168" s="1">
        <v>4.5000000000000098E-19</v>
      </c>
      <c r="B168" s="1">
        <f t="shared" si="14"/>
        <v>2.9540205603425144E-8</v>
      </c>
      <c r="C168" s="1">
        <f t="shared" si="15"/>
        <v>3.4758889477962851E-2</v>
      </c>
      <c r="D168" s="1">
        <f t="shared" si="16"/>
        <v>4.421667694726264E-2</v>
      </c>
      <c r="E168" s="1">
        <f t="shared" si="17"/>
        <v>0</v>
      </c>
      <c r="F168" s="1">
        <f t="shared" si="18"/>
        <v>0</v>
      </c>
      <c r="G168" s="1">
        <f t="shared" si="19"/>
        <v>0</v>
      </c>
      <c r="H168" s="1">
        <f t="shared" si="20"/>
        <v>0</v>
      </c>
      <c r="I168" s="1">
        <f>'WSO-UV_WUVS_130nm'!I175</f>
        <v>3.1123106131111852E-3</v>
      </c>
      <c r="J168" s="1"/>
      <c r="K168" s="1"/>
      <c r="L168" s="1"/>
      <c r="M168" s="1"/>
      <c r="N168" s="1"/>
      <c r="O168" s="1"/>
      <c r="P168" s="1"/>
    </row>
    <row r="169" spans="1:16">
      <c r="A169" s="1">
        <v>4.00000000000001E-19</v>
      </c>
      <c r="B169" s="1">
        <f t="shared" si="14"/>
        <v>2.6257960536377916E-8</v>
      </c>
      <c r="C169" s="1">
        <f t="shared" si="15"/>
        <v>3.08967906470781E-2</v>
      </c>
      <c r="D169" s="1">
        <f t="shared" si="16"/>
        <v>3.9427111067773302E-2</v>
      </c>
      <c r="E169" s="1">
        <f t="shared" si="17"/>
        <v>0</v>
      </c>
      <c r="F169" s="1">
        <f t="shared" si="18"/>
        <v>0</v>
      </c>
      <c r="G169" s="1">
        <f t="shared" si="19"/>
        <v>0</v>
      </c>
      <c r="H169" s="1">
        <f t="shared" si="20"/>
        <v>0</v>
      </c>
      <c r="I169" s="1">
        <f>'WSO-UV_WUVS_130nm'!I176</f>
        <v>2.7665027113801866E-3</v>
      </c>
      <c r="J169" s="1"/>
      <c r="K169" s="1"/>
      <c r="L169" s="1"/>
      <c r="M169" s="1"/>
      <c r="N169" s="1"/>
      <c r="O169" s="1"/>
      <c r="P169" s="1"/>
    </row>
    <row r="170" spans="1:16">
      <c r="A170" s="1">
        <v>3.5000000000000098E-19</v>
      </c>
      <c r="B170" s="1">
        <f t="shared" si="14"/>
        <v>2.2975715469330681E-8</v>
      </c>
      <c r="C170" s="1">
        <f t="shared" si="15"/>
        <v>2.7034691816193338E-2</v>
      </c>
      <c r="D170" s="1">
        <f t="shared" si="16"/>
        <v>3.4607719042439068E-2</v>
      </c>
      <c r="E170" s="1">
        <f t="shared" si="17"/>
        <v>0</v>
      </c>
      <c r="F170" s="1">
        <f t="shared" si="18"/>
        <v>0</v>
      </c>
      <c r="G170" s="1">
        <f t="shared" si="19"/>
        <v>0</v>
      </c>
      <c r="H170" s="1">
        <f t="shared" si="20"/>
        <v>0</v>
      </c>
      <c r="I170" s="1">
        <f>'WSO-UV_WUVS_130nm'!I177</f>
        <v>2.420693712513793E-3</v>
      </c>
      <c r="J170" s="1"/>
      <c r="K170" s="1"/>
      <c r="L170" s="1"/>
      <c r="M170" s="1"/>
      <c r="N170" s="1"/>
      <c r="O170" s="1"/>
      <c r="P170" s="1"/>
    </row>
    <row r="171" spans="1:16">
      <c r="A171" s="1">
        <v>3.00000000000001E-19</v>
      </c>
      <c r="B171" s="1">
        <f t="shared" si="14"/>
        <v>1.9693470402283453E-8</v>
      </c>
      <c r="C171" s="1">
        <f t="shared" si="15"/>
        <v>2.317259298530859E-2</v>
      </c>
      <c r="D171" s="1">
        <f t="shared" si="16"/>
        <v>2.9758076212361026E-2</v>
      </c>
      <c r="E171" s="1">
        <f t="shared" si="17"/>
        <v>0</v>
      </c>
      <c r="F171" s="1">
        <f t="shared" si="18"/>
        <v>0</v>
      </c>
      <c r="G171" s="1">
        <f t="shared" si="19"/>
        <v>0</v>
      </c>
      <c r="H171" s="1">
        <f t="shared" si="20"/>
        <v>0</v>
      </c>
      <c r="I171" s="1">
        <f>'WSO-UV_WUVS_130nm'!I178</f>
        <v>2.0748836165041689E-3</v>
      </c>
      <c r="J171" s="1"/>
      <c r="K171" s="1"/>
      <c r="L171" s="1"/>
      <c r="M171" s="1"/>
      <c r="N171" s="1"/>
      <c r="O171" s="1"/>
      <c r="P171" s="1"/>
    </row>
    <row r="172" spans="1:16">
      <c r="A172" s="1">
        <v>2.5000000000000098E-19</v>
      </c>
      <c r="B172" s="1">
        <f t="shared" si="14"/>
        <v>1.6411225335236218E-8</v>
      </c>
      <c r="C172" s="1">
        <f t="shared" si="15"/>
        <v>1.9310494154423836E-2</v>
      </c>
      <c r="D172" s="1">
        <f t="shared" si="16"/>
        <v>2.4877748881856166E-2</v>
      </c>
      <c r="E172" s="1">
        <f t="shared" si="17"/>
        <v>0</v>
      </c>
      <c r="F172" s="1">
        <f t="shared" si="18"/>
        <v>0</v>
      </c>
      <c r="G172" s="1">
        <f t="shared" si="19"/>
        <v>0</v>
      </c>
      <c r="H172" s="1">
        <f t="shared" si="20"/>
        <v>0</v>
      </c>
      <c r="I172" s="1">
        <f>'WSO-UV_WUVS_130nm'!I179</f>
        <v>1.7290724233434832E-3</v>
      </c>
      <c r="J172" s="1"/>
      <c r="K172" s="1"/>
      <c r="L172" s="1"/>
      <c r="M172" s="1"/>
      <c r="N172" s="1"/>
      <c r="O172" s="1"/>
      <c r="P172" s="1"/>
    </row>
    <row r="173" spans="1:16">
      <c r="A173" s="1">
        <v>2.0000000000000101E-19</v>
      </c>
      <c r="B173" s="1">
        <f t="shared" si="14"/>
        <v>1.3128980268188989E-8</v>
      </c>
      <c r="C173" s="1">
        <f t="shared" si="15"/>
        <v>1.5448395323539086E-2</v>
      </c>
      <c r="D173" s="1">
        <f t="shared" si="16"/>
        <v>1.996629406418287E-2</v>
      </c>
      <c r="E173" s="1">
        <f t="shared" si="17"/>
        <v>0</v>
      </c>
      <c r="F173" s="1">
        <f t="shared" si="18"/>
        <v>0</v>
      </c>
      <c r="G173" s="1">
        <f t="shared" si="19"/>
        <v>0</v>
      </c>
      <c r="H173" s="1">
        <f t="shared" si="20"/>
        <v>0</v>
      </c>
      <c r="I173" s="1">
        <f>'WSO-UV_WUVS_130nm'!I180</f>
        <v>1.383260133023904E-3</v>
      </c>
      <c r="J173" s="1"/>
      <c r="K173" s="1"/>
      <c r="L173" s="1"/>
      <c r="M173" s="1"/>
      <c r="N173" s="1"/>
      <c r="O173" s="1"/>
      <c r="P173" s="1"/>
    </row>
    <row r="174" spans="1:16">
      <c r="A174" s="1">
        <v>1.5000000000000101E-19</v>
      </c>
      <c r="B174" s="1">
        <f t="shared" si="14"/>
        <v>9.8467352011417594E-9</v>
      </c>
      <c r="C174" s="1">
        <f t="shared" si="15"/>
        <v>1.1586296492654335E-2</v>
      </c>
      <c r="D174" s="1">
        <f t="shared" si="16"/>
        <v>1.5023259218373533E-2</v>
      </c>
      <c r="E174" s="1">
        <f t="shared" si="17"/>
        <v>0</v>
      </c>
      <c r="F174" s="1">
        <f t="shared" si="18"/>
        <v>0</v>
      </c>
      <c r="G174" s="1">
        <f t="shared" si="19"/>
        <v>0</v>
      </c>
      <c r="H174" s="1">
        <f t="shared" si="20"/>
        <v>0</v>
      </c>
      <c r="I174" s="1">
        <f>'WSO-UV_WUVS_130nm'!I181</f>
        <v>1.0374467455375996E-3</v>
      </c>
      <c r="J174" s="1"/>
      <c r="K174" s="1"/>
      <c r="L174" s="1"/>
      <c r="M174" s="1"/>
      <c r="N174" s="1"/>
      <c r="O174" s="1"/>
      <c r="P174" s="1"/>
    </row>
    <row r="175" spans="1:16">
      <c r="A175" s="1">
        <v>1.00000000000001E-19</v>
      </c>
      <c r="B175" s="1">
        <f t="shared" si="14"/>
        <v>6.5644901340945278E-9</v>
      </c>
      <c r="C175" s="1">
        <f t="shared" si="15"/>
        <v>7.7241976617695822E-3</v>
      </c>
      <c r="D175" s="1">
        <f t="shared" si="16"/>
        <v>1.0048181976802703E-2</v>
      </c>
      <c r="E175" s="1">
        <f t="shared" si="17"/>
        <v>0</v>
      </c>
      <c r="F175" s="1">
        <f t="shared" si="18"/>
        <v>0</v>
      </c>
      <c r="G175" s="1">
        <f t="shared" si="19"/>
        <v>0</v>
      </c>
      <c r="H175" s="1">
        <f t="shared" si="20"/>
        <v>0</v>
      </c>
      <c r="I175" s="1">
        <f>'WSO-UV_WUVS_130nm'!I182</f>
        <v>6.9163226087673641E-4</v>
      </c>
      <c r="J175" s="1"/>
      <c r="K175" s="1"/>
      <c r="L175" s="1"/>
      <c r="M175" s="1"/>
      <c r="N175" s="1"/>
      <c r="O175" s="1"/>
      <c r="P175" s="1"/>
    </row>
    <row r="176" spans="1:16">
      <c r="A176" s="1">
        <v>9.5E-20</v>
      </c>
      <c r="B176" s="1">
        <f t="shared" si="14"/>
        <v>6.2362656273897383E-9</v>
      </c>
      <c r="C176" s="1">
        <f t="shared" si="15"/>
        <v>7.3379877786810283E-3</v>
      </c>
      <c r="D176" s="1">
        <f t="shared" si="16"/>
        <v>9.548893819656918E-3</v>
      </c>
      <c r="E176" s="1">
        <f t="shared" si="17"/>
        <v>0</v>
      </c>
      <c r="F176" s="1">
        <f t="shared" si="18"/>
        <v>0</v>
      </c>
      <c r="G176" s="1">
        <f t="shared" si="19"/>
        <v>0</v>
      </c>
      <c r="H176" s="1">
        <f t="shared" si="20"/>
        <v>0</v>
      </c>
      <c r="I176" s="1">
        <f>'WSO-UV_WUVS_130nm'!I183</f>
        <v>6.5705075206574112E-4</v>
      </c>
      <c r="J176" s="1"/>
      <c r="K176" s="1"/>
      <c r="L176" s="1"/>
      <c r="M176" s="1"/>
      <c r="N176" s="1"/>
      <c r="O176" s="1"/>
      <c r="P176" s="1"/>
    </row>
    <row r="177" spans="1:16">
      <c r="A177" s="1">
        <v>9.0000000000000003E-20</v>
      </c>
      <c r="B177" s="1">
        <f t="shared" si="14"/>
        <v>5.9080411206850166E-9</v>
      </c>
      <c r="C177" s="1">
        <f t="shared" si="15"/>
        <v>6.9517778955925551E-3</v>
      </c>
      <c r="D177" s="1">
        <f t="shared" si="16"/>
        <v>9.0492800442463148E-3</v>
      </c>
      <c r="E177" s="1">
        <f t="shared" si="17"/>
        <v>0</v>
      </c>
      <c r="F177" s="1">
        <f t="shared" si="18"/>
        <v>0</v>
      </c>
      <c r="G177" s="1">
        <f t="shared" si="19"/>
        <v>0</v>
      </c>
      <c r="H177" s="1">
        <f t="shared" si="20"/>
        <v>0</v>
      </c>
      <c r="I177" s="1">
        <f>'WSO-UV_WUVS_130nm'!I184</f>
        <v>6.2246923228292082E-4</v>
      </c>
      <c r="J177" s="1"/>
      <c r="K177" s="1"/>
      <c r="L177" s="1"/>
      <c r="M177" s="1"/>
      <c r="N177" s="1"/>
      <c r="O177" s="1"/>
      <c r="P177" s="1"/>
    </row>
    <row r="178" spans="1:16">
      <c r="A178" s="1">
        <v>8.5000000000000005E-20</v>
      </c>
      <c r="B178" s="1">
        <f t="shared" si="14"/>
        <v>5.5798166139802933E-9</v>
      </c>
      <c r="C178" s="1">
        <f t="shared" si="15"/>
        <v>6.5655680125040793E-3</v>
      </c>
      <c r="D178" s="1">
        <f t="shared" si="16"/>
        <v>8.5493401714046933E-3</v>
      </c>
      <c r="E178" s="1">
        <f t="shared" si="17"/>
        <v>0</v>
      </c>
      <c r="F178" s="1">
        <f t="shared" si="18"/>
        <v>0</v>
      </c>
      <c r="G178" s="1">
        <f t="shared" si="19"/>
        <v>0</v>
      </c>
      <c r="H178" s="1">
        <f t="shared" si="20"/>
        <v>0</v>
      </c>
      <c r="I178" s="1">
        <f>'WSO-UV_WUVS_130nm'!I185</f>
        <v>5.8788770152826098E-4</v>
      </c>
      <c r="J178" s="1"/>
      <c r="K178" s="1"/>
      <c r="L178" s="1"/>
      <c r="M178" s="1"/>
      <c r="N178" s="1"/>
      <c r="O178" s="1"/>
      <c r="P178" s="1"/>
    </row>
    <row r="179" spans="1:16">
      <c r="A179" s="1">
        <v>7.9999999999999996E-20</v>
      </c>
      <c r="B179" s="1">
        <f t="shared" si="14"/>
        <v>5.2515921072755691E-9</v>
      </c>
      <c r="C179" s="1">
        <f t="shared" si="15"/>
        <v>6.1793581294156035E-3</v>
      </c>
      <c r="D179" s="1">
        <f t="shared" si="16"/>
        <v>8.0490737209200844E-3</v>
      </c>
      <c r="E179" s="1">
        <f t="shared" si="17"/>
        <v>0</v>
      </c>
      <c r="F179" s="1">
        <f t="shared" si="18"/>
        <v>0</v>
      </c>
      <c r="G179" s="1">
        <f t="shared" si="19"/>
        <v>0</v>
      </c>
      <c r="H179" s="1">
        <f t="shared" si="20"/>
        <v>0</v>
      </c>
      <c r="I179" s="1">
        <f>'WSO-UV_WUVS_130nm'!I186</f>
        <v>5.5330615980175391E-4</v>
      </c>
      <c r="J179" s="1"/>
      <c r="K179" s="1"/>
      <c r="L179" s="1"/>
      <c r="M179" s="1"/>
      <c r="N179" s="1"/>
      <c r="O179" s="1"/>
      <c r="P179" s="1"/>
    </row>
    <row r="180" spans="1:16">
      <c r="A180" s="1">
        <v>7.4999999999999998E-20</v>
      </c>
      <c r="B180" s="1">
        <f t="shared" si="14"/>
        <v>4.9233676005708458E-9</v>
      </c>
      <c r="C180" s="1">
        <f t="shared" si="15"/>
        <v>5.7931482463271277E-3</v>
      </c>
      <c r="D180" s="1">
        <f t="shared" si="16"/>
        <v>7.5484802115316349E-3</v>
      </c>
      <c r="E180" s="1">
        <f t="shared" si="17"/>
        <v>0</v>
      </c>
      <c r="F180" s="1">
        <f t="shared" si="18"/>
        <v>0</v>
      </c>
      <c r="G180" s="1">
        <f t="shared" si="19"/>
        <v>0</v>
      </c>
      <c r="H180" s="1">
        <f t="shared" si="20"/>
        <v>0</v>
      </c>
      <c r="I180" s="1">
        <f>'WSO-UV_WUVS_130nm'!I187</f>
        <v>5.1872460710339135E-4</v>
      </c>
      <c r="J180" s="1"/>
      <c r="K180" s="1"/>
      <c r="L180" s="1"/>
      <c r="M180" s="1"/>
      <c r="N180" s="1"/>
      <c r="O180" s="1"/>
      <c r="P180" s="1"/>
    </row>
    <row r="181" spans="1:16">
      <c r="A181" s="1">
        <v>7.0000000000000001E-20</v>
      </c>
      <c r="B181" s="1">
        <f t="shared" si="14"/>
        <v>4.5951430938661241E-9</v>
      </c>
      <c r="C181" s="1">
        <f t="shared" si="15"/>
        <v>5.4069383632386536E-3</v>
      </c>
      <c r="D181" s="1">
        <f t="shared" si="16"/>
        <v>7.0475591609266029E-3</v>
      </c>
      <c r="E181" s="1">
        <f t="shared" si="17"/>
        <v>0</v>
      </c>
      <c r="F181" s="1">
        <f t="shared" si="18"/>
        <v>0</v>
      </c>
      <c r="G181" s="1">
        <f t="shared" si="19"/>
        <v>0</v>
      </c>
      <c r="H181" s="1">
        <f t="shared" si="20"/>
        <v>0</v>
      </c>
      <c r="I181" s="1">
        <f>'WSO-UV_WUVS_130nm'!I188</f>
        <v>4.8414304343316584E-4</v>
      </c>
      <c r="J181" s="1"/>
      <c r="K181" s="1"/>
      <c r="L181" s="1"/>
      <c r="M181" s="1"/>
      <c r="N181" s="1"/>
      <c r="O181" s="1"/>
      <c r="P181" s="1"/>
    </row>
    <row r="182" spans="1:16">
      <c r="A182" s="1">
        <v>6.5000000000000003E-20</v>
      </c>
      <c r="B182" s="1">
        <f t="shared" si="14"/>
        <v>4.2669185871614008E-9</v>
      </c>
      <c r="C182" s="1">
        <f t="shared" si="15"/>
        <v>5.0207284801501786E-3</v>
      </c>
      <c r="D182" s="1">
        <f t="shared" si="16"/>
        <v>6.5463100857373283E-3</v>
      </c>
      <c r="E182" s="1">
        <f t="shared" si="17"/>
        <v>0</v>
      </c>
      <c r="F182" s="1">
        <f t="shared" si="18"/>
        <v>0</v>
      </c>
      <c r="G182" s="1">
        <f t="shared" si="19"/>
        <v>0</v>
      </c>
      <c r="H182" s="1">
        <f t="shared" si="20"/>
        <v>0</v>
      </c>
      <c r="I182" s="1">
        <f>'WSO-UV_WUVS_130nm'!I189</f>
        <v>4.4956146879106945E-4</v>
      </c>
      <c r="J182" s="1"/>
      <c r="K182" s="1"/>
      <c r="L182" s="1"/>
      <c r="M182" s="1"/>
      <c r="N182" s="1"/>
      <c r="O182" s="1"/>
      <c r="P182" s="1"/>
    </row>
    <row r="183" spans="1:16">
      <c r="A183" s="1">
        <v>6.0000000000000006E-20</v>
      </c>
      <c r="B183" s="1">
        <f t="shared" si="14"/>
        <v>3.9386940804566775E-9</v>
      </c>
      <c r="C183" s="1">
        <f t="shared" si="15"/>
        <v>4.6345185970617028E-3</v>
      </c>
      <c r="D183" s="1">
        <f t="shared" si="16"/>
        <v>6.0447325015382143E-3</v>
      </c>
      <c r="E183" s="1">
        <f t="shared" si="17"/>
        <v>0</v>
      </c>
      <c r="F183" s="1">
        <f t="shared" si="18"/>
        <v>0</v>
      </c>
      <c r="G183" s="1">
        <f t="shared" si="19"/>
        <v>0</v>
      </c>
      <c r="H183" s="1">
        <f t="shared" si="20"/>
        <v>0</v>
      </c>
      <c r="I183" s="1">
        <f>'WSO-UV_WUVS_130nm'!I190</f>
        <v>4.1497988317709423E-4</v>
      </c>
      <c r="J183" s="1"/>
      <c r="K183" s="1"/>
      <c r="L183" s="1"/>
      <c r="M183" s="1"/>
      <c r="N183" s="1"/>
      <c r="O183" s="1"/>
      <c r="P183" s="1"/>
    </row>
    <row r="184" spans="1:16">
      <c r="A184" s="1">
        <v>5.4999999999999996E-20</v>
      </c>
      <c r="B184" s="1">
        <f t="shared" si="14"/>
        <v>3.6104695737519541E-9</v>
      </c>
      <c r="C184" s="1">
        <f t="shared" si="15"/>
        <v>4.2483087139732279E-3</v>
      </c>
      <c r="D184" s="1">
        <f t="shared" si="16"/>
        <v>5.5428259228426794E-3</v>
      </c>
      <c r="E184" s="1">
        <f t="shared" si="17"/>
        <v>0</v>
      </c>
      <c r="F184" s="1">
        <f t="shared" si="18"/>
        <v>0</v>
      </c>
      <c r="G184" s="1">
        <f t="shared" si="19"/>
        <v>0</v>
      </c>
      <c r="H184" s="1">
        <f t="shared" si="20"/>
        <v>0</v>
      </c>
      <c r="I184" s="1">
        <f>'WSO-UV_WUVS_130nm'!I191</f>
        <v>3.8039828659123257E-4</v>
      </c>
      <c r="J184" s="1"/>
      <c r="K184" s="1"/>
      <c r="L184" s="1"/>
      <c r="M184" s="1"/>
      <c r="N184" s="1"/>
      <c r="O184" s="1"/>
      <c r="P184" s="1"/>
    </row>
    <row r="185" spans="1:16">
      <c r="A185" s="1">
        <v>4.9999999999999999E-20</v>
      </c>
      <c r="B185" s="1">
        <f t="shared" si="14"/>
        <v>3.2822450670472308E-9</v>
      </c>
      <c r="C185" s="1">
        <f t="shared" si="15"/>
        <v>3.8620988308847525E-3</v>
      </c>
      <c r="D185" s="1">
        <f t="shared" si="16"/>
        <v>5.040589863100106E-3</v>
      </c>
      <c r="E185" s="1">
        <f t="shared" si="17"/>
        <v>0</v>
      </c>
      <c r="F185" s="1">
        <f t="shared" si="18"/>
        <v>0</v>
      </c>
      <c r="G185" s="1">
        <f t="shared" si="19"/>
        <v>0</v>
      </c>
      <c r="H185" s="1">
        <f t="shared" si="20"/>
        <v>0</v>
      </c>
      <c r="I185" s="1">
        <f>'WSO-UV_WUVS_130nm'!I192</f>
        <v>3.4581667903347635E-4</v>
      </c>
      <c r="J185" s="1"/>
      <c r="K185" s="1"/>
      <c r="L185" s="1"/>
      <c r="M185" s="1"/>
      <c r="N185" s="1"/>
      <c r="O185" s="1"/>
      <c r="P185" s="1"/>
    </row>
    <row r="186" spans="1:16">
      <c r="A186" s="1">
        <v>4.5000000000000001E-20</v>
      </c>
      <c r="B186" s="1">
        <f t="shared" si="14"/>
        <v>2.9540205603425083E-9</v>
      </c>
      <c r="C186" s="1">
        <f t="shared" si="15"/>
        <v>3.4758889477962776E-3</v>
      </c>
      <c r="D186" s="1">
        <f t="shared" si="16"/>
        <v>4.538023834692778E-3</v>
      </c>
      <c r="E186" s="1">
        <f t="shared" si="17"/>
        <v>0</v>
      </c>
      <c r="F186" s="1">
        <f t="shared" si="18"/>
        <v>0</v>
      </c>
      <c r="G186" s="1">
        <f t="shared" si="19"/>
        <v>0</v>
      </c>
      <c r="H186" s="1">
        <f t="shared" si="20"/>
        <v>0</v>
      </c>
      <c r="I186" s="1">
        <f>'WSO-UV_WUVS_130nm'!I193</f>
        <v>3.1123506050381792E-4</v>
      </c>
      <c r="J186" s="1"/>
      <c r="K186" s="1"/>
      <c r="L186" s="1"/>
      <c r="M186" s="1"/>
      <c r="N186" s="1"/>
      <c r="O186" s="1"/>
      <c r="P186" s="1"/>
    </row>
    <row r="187" spans="1:16">
      <c r="A187" s="1">
        <v>3.9999999999999998E-20</v>
      </c>
      <c r="B187" s="1">
        <f t="shared" si="14"/>
        <v>2.6257960536377846E-9</v>
      </c>
      <c r="C187" s="1">
        <f t="shared" si="15"/>
        <v>3.0896790647078017E-3</v>
      </c>
      <c r="D187" s="1">
        <f t="shared" si="16"/>
        <v>4.0351273489328023E-3</v>
      </c>
      <c r="E187" s="1">
        <f t="shared" si="17"/>
        <v>0</v>
      </c>
      <c r="F187" s="1">
        <f t="shared" si="18"/>
        <v>0</v>
      </c>
      <c r="G187" s="1">
        <f t="shared" si="19"/>
        <v>0</v>
      </c>
      <c r="H187" s="1">
        <f t="shared" si="20"/>
        <v>0</v>
      </c>
      <c r="I187" s="1">
        <f>'WSO-UV_WUVS_130nm'!I194</f>
        <v>2.7665343100224959E-4</v>
      </c>
      <c r="J187" s="1"/>
      <c r="K187" s="1"/>
      <c r="L187" s="1"/>
      <c r="M187" s="1"/>
      <c r="N187" s="1"/>
      <c r="O187" s="1"/>
      <c r="P187" s="1"/>
    </row>
    <row r="188" spans="1:16">
      <c r="A188" s="1">
        <v>3.5E-20</v>
      </c>
      <c r="B188" s="1">
        <f t="shared" si="14"/>
        <v>2.2975715469330621E-9</v>
      </c>
      <c r="C188" s="1">
        <f t="shared" si="15"/>
        <v>2.7034691816193268E-3</v>
      </c>
      <c r="D188" s="1">
        <f t="shared" si="16"/>
        <v>3.5318999160590318E-3</v>
      </c>
      <c r="E188" s="1">
        <f t="shared" si="17"/>
        <v>0</v>
      </c>
      <c r="F188" s="1">
        <f t="shared" si="18"/>
        <v>0</v>
      </c>
      <c r="G188" s="1">
        <f t="shared" si="19"/>
        <v>0</v>
      </c>
      <c r="H188" s="1">
        <f t="shared" si="20"/>
        <v>0</v>
      </c>
      <c r="I188" s="1">
        <f>'WSO-UV_WUVS_130nm'!I195</f>
        <v>2.4207179052876323E-4</v>
      </c>
      <c r="J188" s="1"/>
      <c r="K188" s="1"/>
      <c r="L188" s="1"/>
      <c r="M188" s="1"/>
      <c r="N188" s="1"/>
      <c r="O188" s="1"/>
      <c r="P188" s="1"/>
    </row>
    <row r="189" spans="1:16">
      <c r="A189" s="1">
        <v>3.0000000000000003E-20</v>
      </c>
      <c r="B189" s="1">
        <f t="shared" si="14"/>
        <v>1.9693470402283387E-9</v>
      </c>
      <c r="C189" s="1">
        <f t="shared" si="15"/>
        <v>2.3172592985308514E-3</v>
      </c>
      <c r="D189" s="1">
        <f t="shared" si="16"/>
        <v>3.0283410452339619E-3</v>
      </c>
      <c r="E189" s="1">
        <f t="shared" si="17"/>
        <v>0</v>
      </c>
      <c r="F189" s="1">
        <f t="shared" si="18"/>
        <v>0</v>
      </c>
      <c r="G189" s="1">
        <f t="shared" si="19"/>
        <v>0</v>
      </c>
      <c r="H189" s="1">
        <f t="shared" si="20"/>
        <v>0</v>
      </c>
      <c r="I189" s="1">
        <f>'WSO-UV_WUVS_130nm'!I196</f>
        <v>2.0749013908335121E-4</v>
      </c>
      <c r="J189" s="1"/>
      <c r="K189" s="1"/>
      <c r="L189" s="1"/>
      <c r="M189" s="1"/>
      <c r="N189" s="1"/>
      <c r="O189" s="1"/>
      <c r="P189" s="1"/>
    </row>
    <row r="190" spans="1:16">
      <c r="A190" s="1">
        <v>2.4999999999999999E-20</v>
      </c>
      <c r="B190" s="1">
        <f t="shared" si="14"/>
        <v>1.6411225335236154E-9</v>
      </c>
      <c r="C190" s="1">
        <f t="shared" si="15"/>
        <v>1.9310494154423763E-3</v>
      </c>
      <c r="D190" s="1">
        <f t="shared" si="16"/>
        <v>2.524450244540627E-3</v>
      </c>
      <c r="E190" s="1">
        <f t="shared" si="17"/>
        <v>0</v>
      </c>
      <c r="F190" s="1">
        <f t="shared" si="18"/>
        <v>0</v>
      </c>
      <c r="G190" s="1">
        <f t="shared" si="19"/>
        <v>0</v>
      </c>
      <c r="H190" s="1">
        <f t="shared" si="20"/>
        <v>0</v>
      </c>
      <c r="I190" s="1">
        <f>'WSO-UV_WUVS_130nm'!I197</f>
        <v>1.7290847666600557E-4</v>
      </c>
      <c r="J190" s="1"/>
      <c r="K190" s="1"/>
      <c r="L190" s="1"/>
      <c r="M190" s="1"/>
      <c r="N190" s="1"/>
      <c r="O190" s="1"/>
      <c r="P190" s="1"/>
    </row>
    <row r="191" spans="1:16">
      <c r="A191" s="1">
        <v>1.9999999999999999E-20</v>
      </c>
      <c r="B191" s="1">
        <f t="shared" si="14"/>
        <v>1.3128980268188923E-9</v>
      </c>
      <c r="C191" s="1">
        <f t="shared" si="15"/>
        <v>1.5448395323539009E-3</v>
      </c>
      <c r="D191" s="1">
        <f t="shared" si="16"/>
        <v>2.0202270209794806E-3</v>
      </c>
      <c r="E191" s="1">
        <f t="shared" si="17"/>
        <v>0</v>
      </c>
      <c r="F191" s="1">
        <f t="shared" si="18"/>
        <v>0</v>
      </c>
      <c r="G191" s="1">
        <f t="shared" si="19"/>
        <v>0</v>
      </c>
      <c r="H191" s="1">
        <f t="shared" si="20"/>
        <v>0</v>
      </c>
      <c r="I191" s="1">
        <f>'WSO-UV_WUVS_130nm'!I198</f>
        <v>1.3832680327671858E-4</v>
      </c>
      <c r="J191" s="1"/>
      <c r="K191" s="1"/>
      <c r="L191" s="1"/>
      <c r="M191" s="1"/>
      <c r="N191" s="1"/>
      <c r="O191" s="1"/>
      <c r="P191" s="1"/>
    </row>
    <row r="192" spans="1:16">
      <c r="A192" s="1">
        <v>1.5000000000000001E-20</v>
      </c>
      <c r="B192" s="1">
        <f t="shared" si="14"/>
        <v>9.8467352011416937E-10</v>
      </c>
      <c r="C192" s="1">
        <f t="shared" si="15"/>
        <v>1.1586296492654257E-3</v>
      </c>
      <c r="D192" s="1">
        <f t="shared" si="16"/>
        <v>1.5156708804652673E-3</v>
      </c>
      <c r="E192" s="1">
        <f t="shared" si="17"/>
        <v>0</v>
      </c>
      <c r="F192" s="1">
        <f t="shared" si="18"/>
        <v>0</v>
      </c>
      <c r="G192" s="1">
        <f t="shared" si="19"/>
        <v>0</v>
      </c>
      <c r="H192" s="1">
        <f t="shared" si="20"/>
        <v>0</v>
      </c>
      <c r="I192" s="1">
        <f>'WSO-UV_WUVS_130nm'!I199</f>
        <v>1.0374511891548235E-4</v>
      </c>
      <c r="J192" s="1"/>
      <c r="K192" s="1"/>
      <c r="L192" s="1"/>
      <c r="M192" s="1"/>
      <c r="N192" s="1"/>
      <c r="O192" s="1"/>
      <c r="P192" s="1"/>
    </row>
    <row r="193" spans="1:16">
      <c r="A193" s="1">
        <v>9.9999999999999904E-21</v>
      </c>
      <c r="B193" s="1">
        <f t="shared" si="14"/>
        <v>6.5644901340944552E-10</v>
      </c>
      <c r="C193" s="1">
        <f t="shared" si="15"/>
        <v>7.7241976617694968E-4</v>
      </c>
      <c r="D193" s="1">
        <f t="shared" si="16"/>
        <v>1.0107813278238805E-3</v>
      </c>
      <c r="E193" s="1">
        <f t="shared" si="17"/>
        <v>0</v>
      </c>
      <c r="F193" s="1">
        <f t="shared" si="18"/>
        <v>0</v>
      </c>
      <c r="G193" s="1">
        <f t="shared" si="19"/>
        <v>0</v>
      </c>
      <c r="H193" s="1">
        <f t="shared" si="20"/>
        <v>0</v>
      </c>
      <c r="I193" s="1">
        <f>'WSO-UV_WUVS_130nm'!I200</f>
        <v>6.9163423582288983E-5</v>
      </c>
      <c r="J193" s="1"/>
      <c r="K193" s="1"/>
      <c r="L193" s="1"/>
      <c r="M193" s="1"/>
      <c r="N193" s="1"/>
      <c r="O193" s="1"/>
      <c r="P193" s="1"/>
    </row>
  </sheetData>
  <mergeCells count="15">
    <mergeCell ref="C6:E6"/>
    <mergeCell ref="C7:E7"/>
    <mergeCell ref="C8:D8"/>
    <mergeCell ref="C12:E12"/>
    <mergeCell ref="C15:E15"/>
    <mergeCell ref="M21:N21"/>
    <mergeCell ref="O21:P21"/>
    <mergeCell ref="C16:E16"/>
    <mergeCell ref="C18:E18"/>
    <mergeCell ref="C19:E19"/>
    <mergeCell ref="C21:D21"/>
    <mergeCell ref="E21:F21"/>
    <mergeCell ref="G21:H21"/>
    <mergeCell ref="K21:L21"/>
    <mergeCell ref="C17:E1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9541-6F20-453D-9643-4EA67EAAE8C1}">
  <dimension ref="A1:M570"/>
  <sheetViews>
    <sheetView topLeftCell="A20" workbookViewId="0">
      <selection activeCell="G49" sqref="G49"/>
    </sheetView>
  </sheetViews>
  <sheetFormatPr baseColWidth="10" defaultColWidth="8.83203125" defaultRowHeight="18"/>
  <cols>
    <col min="1" max="1" width="20.5" customWidth="1"/>
    <col min="2" max="2" width="49.5" bestFit="1" customWidth="1"/>
    <col min="3" max="3" width="18.6640625" customWidth="1"/>
    <col min="4" max="5" width="18" customWidth="1"/>
    <col min="6" max="6" width="16.6640625" customWidth="1"/>
    <col min="7" max="8" width="17.1640625" customWidth="1"/>
    <col min="9" max="9" width="16.6640625" customWidth="1"/>
    <col min="10" max="10" width="18.33203125" customWidth="1"/>
    <col min="11" max="11" width="17.1640625" customWidth="1"/>
    <col min="12" max="12" width="16.6640625" customWidth="1"/>
  </cols>
  <sheetData>
    <row r="1" spans="1:10">
      <c r="A1" t="s">
        <v>76</v>
      </c>
    </row>
    <row r="2" spans="1:10">
      <c r="A2" s="16"/>
      <c r="B2" s="16" t="s">
        <v>1</v>
      </c>
      <c r="C2" s="17">
        <v>6.626068E-34</v>
      </c>
      <c r="D2" s="16"/>
      <c r="E2" s="16"/>
      <c r="F2" s="16"/>
      <c r="G2" s="16"/>
      <c r="H2" s="16"/>
      <c r="I2" s="16"/>
      <c r="J2" s="16"/>
    </row>
    <row r="3" spans="1:10">
      <c r="A3" s="16"/>
      <c r="B3" s="16" t="s">
        <v>2</v>
      </c>
      <c r="C3" s="17">
        <v>299792458</v>
      </c>
      <c r="D3" s="16"/>
      <c r="E3" s="16"/>
      <c r="F3" s="16"/>
      <c r="G3" s="16"/>
      <c r="H3" s="16"/>
      <c r="I3" s="16"/>
      <c r="J3" s="16"/>
    </row>
    <row r="4" spans="1:10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/>
      <c r="H4" s="16"/>
      <c r="I4" s="16"/>
      <c r="J4" s="16"/>
    </row>
    <row r="5" spans="1:10" ht="19" thickBot="1">
      <c r="A5" s="16"/>
      <c r="B5" s="16"/>
      <c r="C5" s="17" t="s">
        <v>212</v>
      </c>
      <c r="D5" s="16" t="s">
        <v>213</v>
      </c>
      <c r="E5" s="16" t="s">
        <v>214</v>
      </c>
      <c r="F5" s="16" t="s">
        <v>214</v>
      </c>
      <c r="G5" s="16"/>
      <c r="H5" s="16"/>
      <c r="I5" s="16"/>
      <c r="J5" s="16"/>
    </row>
    <row r="6" spans="1:10">
      <c r="A6" s="16"/>
      <c r="B6" s="18" t="s">
        <v>81</v>
      </c>
      <c r="C6" s="203"/>
      <c r="D6" s="203"/>
      <c r="E6" s="244"/>
      <c r="F6" s="204"/>
      <c r="G6" s="16"/>
      <c r="H6" s="16"/>
      <c r="I6" s="16"/>
      <c r="J6" s="16"/>
    </row>
    <row r="7" spans="1:10">
      <c r="A7" s="16"/>
      <c r="B7" s="19" t="s">
        <v>82</v>
      </c>
      <c r="C7" s="205"/>
      <c r="D7" s="205"/>
      <c r="E7" s="250"/>
      <c r="F7" s="206"/>
      <c r="G7" s="16"/>
      <c r="H7" s="16"/>
      <c r="I7" s="16"/>
      <c r="J7" s="16"/>
    </row>
    <row r="8" spans="1:10">
      <c r="A8" s="16"/>
      <c r="B8" s="20" t="s">
        <v>83</v>
      </c>
      <c r="C8" s="193"/>
      <c r="D8" s="193"/>
      <c r="E8" s="246"/>
      <c r="F8" s="194"/>
      <c r="G8" s="207"/>
      <c r="H8" s="54"/>
      <c r="I8" s="16"/>
      <c r="J8" s="16"/>
    </row>
    <row r="9" spans="1:10">
      <c r="A9" s="16"/>
      <c r="B9" s="20" t="s">
        <v>85</v>
      </c>
      <c r="C9" s="193"/>
      <c r="D9" s="193"/>
      <c r="E9" s="246"/>
      <c r="F9" s="194"/>
      <c r="G9" s="207"/>
      <c r="H9" s="54"/>
      <c r="I9" s="16"/>
      <c r="J9" s="16"/>
    </row>
    <row r="10" spans="1:10">
      <c r="A10" s="16"/>
      <c r="B10" s="20" t="s">
        <v>86</v>
      </c>
      <c r="C10" s="193"/>
      <c r="D10" s="193"/>
      <c r="E10" s="246"/>
      <c r="F10" s="194"/>
      <c r="G10" s="207"/>
      <c r="H10" s="54"/>
      <c r="I10" s="16"/>
      <c r="J10" s="16"/>
    </row>
    <row r="11" spans="1:10">
      <c r="A11" s="16"/>
      <c r="B11" s="20" t="s">
        <v>87</v>
      </c>
      <c r="C11" s="193"/>
      <c r="D11" s="193"/>
      <c r="E11" s="246"/>
      <c r="F11" s="194"/>
      <c r="G11" s="16"/>
      <c r="H11" s="16"/>
      <c r="I11" s="16" t="s">
        <v>89</v>
      </c>
      <c r="J11" s="16"/>
    </row>
    <row r="12" spans="1:10">
      <c r="A12" s="16"/>
      <c r="B12" s="20" t="s">
        <v>90</v>
      </c>
      <c r="C12" s="193"/>
      <c r="D12" s="193"/>
      <c r="E12" s="246"/>
      <c r="F12" s="194"/>
      <c r="I12" s="16">
        <f>C8*C9*C11*C12</f>
        <v>0</v>
      </c>
      <c r="J12" s="16"/>
    </row>
    <row r="13" spans="1:10">
      <c r="A13" s="16"/>
      <c r="B13" s="21" t="s">
        <v>92</v>
      </c>
      <c r="C13" s="70">
        <v>350</v>
      </c>
      <c r="D13" s="70">
        <v>468</v>
      </c>
      <c r="E13" s="72">
        <v>456</v>
      </c>
      <c r="F13" s="71">
        <v>789</v>
      </c>
      <c r="G13" s="16"/>
      <c r="H13" s="16"/>
      <c r="I13" s="16"/>
      <c r="J13" s="16"/>
    </row>
    <row r="14" spans="1:10">
      <c r="A14" s="16"/>
      <c r="B14" s="20" t="s">
        <v>93</v>
      </c>
      <c r="C14" s="76">
        <f>600*32</f>
        <v>19200</v>
      </c>
      <c r="D14" s="76">
        <f>600*32</f>
        <v>19200</v>
      </c>
      <c r="E14" s="76">
        <f>600*32</f>
        <v>19200</v>
      </c>
      <c r="F14" s="76">
        <f>600*32</f>
        <v>19200</v>
      </c>
      <c r="G14" s="16"/>
      <c r="H14" s="16"/>
      <c r="I14" s="16"/>
      <c r="J14" s="16"/>
    </row>
    <row r="15" spans="1:10">
      <c r="A15" s="16"/>
      <c r="B15" s="20" t="s">
        <v>94</v>
      </c>
      <c r="C15" s="197"/>
      <c r="D15" s="197"/>
      <c r="E15" s="249"/>
      <c r="F15" s="198"/>
      <c r="G15" s="16"/>
      <c r="H15" s="16"/>
      <c r="I15" s="16"/>
      <c r="J15" s="16"/>
    </row>
    <row r="16" spans="1:10">
      <c r="A16" s="16"/>
      <c r="B16" s="20" t="s">
        <v>95</v>
      </c>
      <c r="C16" s="216"/>
      <c r="D16" s="217"/>
      <c r="E16" s="217"/>
      <c r="F16" s="218"/>
      <c r="G16" s="16"/>
      <c r="H16" s="16"/>
      <c r="I16" s="16"/>
      <c r="J16" s="16"/>
    </row>
    <row r="17" spans="1:12">
      <c r="A17" s="16"/>
      <c r="B17" s="20" t="s">
        <v>96</v>
      </c>
      <c r="C17" s="216"/>
      <c r="D17" s="217"/>
      <c r="E17" s="217"/>
      <c r="F17" s="218"/>
      <c r="G17" s="16"/>
      <c r="H17" s="16"/>
      <c r="I17" s="16"/>
      <c r="J17" s="16"/>
    </row>
    <row r="18" spans="1:12">
      <c r="A18" s="16"/>
      <c r="B18" s="21" t="s">
        <v>97</v>
      </c>
      <c r="C18" s="70">
        <v>0.1</v>
      </c>
      <c r="D18" s="70">
        <v>0.1</v>
      </c>
      <c r="E18" s="72">
        <v>0.5</v>
      </c>
      <c r="F18" s="71">
        <v>0.5</v>
      </c>
      <c r="G18" s="16"/>
      <c r="H18" s="16"/>
      <c r="I18" s="16"/>
      <c r="J18" s="16"/>
    </row>
    <row r="19" spans="1:12" ht="19" thickBot="1">
      <c r="A19" s="16"/>
      <c r="B19" s="24" t="s">
        <v>98</v>
      </c>
      <c r="C19" s="73">
        <v>0.1</v>
      </c>
      <c r="D19" s="73">
        <v>0.1</v>
      </c>
      <c r="E19" s="72">
        <v>0.5</v>
      </c>
      <c r="F19" s="71">
        <v>0.5</v>
      </c>
      <c r="G19" s="16"/>
      <c r="H19" s="16"/>
      <c r="I19" s="16"/>
      <c r="J19" s="16"/>
    </row>
    <row r="20" spans="1:12">
      <c r="A20" s="16"/>
      <c r="B20" s="25" t="s">
        <v>99</v>
      </c>
      <c r="C20" s="74">
        <f>C18/3600</f>
        <v>2.7777777777777779E-5</v>
      </c>
      <c r="D20" s="74">
        <f t="shared" ref="C20:F21" si="0">D18/3600</f>
        <v>2.7777777777777779E-5</v>
      </c>
      <c r="E20" s="74">
        <f t="shared" si="0"/>
        <v>1.3888888888888889E-4</v>
      </c>
      <c r="F20" s="74">
        <f t="shared" si="0"/>
        <v>1.3888888888888889E-4</v>
      </c>
      <c r="G20" s="16">
        <f>(C14*TAN(RADIANS(C20)))</f>
        <v>9.3084226773038226E-3</v>
      </c>
      <c r="H20" s="16" t="s">
        <v>230</v>
      </c>
      <c r="I20" s="16"/>
      <c r="J20" s="16"/>
    </row>
    <row r="21" spans="1:12">
      <c r="A21" s="16"/>
      <c r="B21" s="26" t="s">
        <v>101</v>
      </c>
      <c r="C21" s="74">
        <f t="shared" si="0"/>
        <v>2.7777777777777779E-5</v>
      </c>
      <c r="D21" s="74">
        <f t="shared" si="0"/>
        <v>2.7777777777777779E-5</v>
      </c>
      <c r="E21" s="74">
        <f t="shared" si="0"/>
        <v>1.3888888888888889E-4</v>
      </c>
      <c r="F21" s="74">
        <f t="shared" si="0"/>
        <v>1.3888888888888889E-4</v>
      </c>
      <c r="G21" s="16"/>
      <c r="H21" s="16"/>
      <c r="I21" s="16"/>
      <c r="J21" s="16"/>
    </row>
    <row r="22" spans="1:12">
      <c r="A22" s="16"/>
      <c r="B22" s="26" t="s">
        <v>308</v>
      </c>
      <c r="C22" s="74">
        <f>$C$14*ATAN(RADIANS(C20))*1000</f>
        <v>9.3084226773023619</v>
      </c>
      <c r="D22" s="74"/>
      <c r="E22" s="74"/>
      <c r="F22" s="74"/>
      <c r="G22" s="16"/>
      <c r="H22" s="16"/>
      <c r="I22" s="16"/>
      <c r="J22" s="16"/>
    </row>
    <row r="23" spans="1:12">
      <c r="A23" s="16"/>
      <c r="B23" s="26" t="s">
        <v>305</v>
      </c>
      <c r="C23" s="176">
        <f>$C$14*ATAN(RADIANS(C20))/10*$C$14*ATAN(RADIANS(C21))/10</f>
        <v>8.6646732739316881E-7</v>
      </c>
      <c r="D23" s="74"/>
      <c r="E23" s="74"/>
      <c r="F23" s="74"/>
      <c r="G23" s="16"/>
      <c r="H23" s="16"/>
      <c r="I23" s="16"/>
      <c r="J23" s="16"/>
    </row>
    <row r="24" spans="1:12">
      <c r="A24" s="16"/>
      <c r="B24" s="26" t="s">
        <v>306</v>
      </c>
      <c r="C24" s="176">
        <v>3</v>
      </c>
      <c r="D24" s="74"/>
      <c r="E24" s="74"/>
      <c r="F24" s="74"/>
      <c r="G24" s="16"/>
      <c r="H24" s="16"/>
      <c r="I24" s="16"/>
      <c r="J24" s="16"/>
    </row>
    <row r="25" spans="1:12">
      <c r="A25" s="16"/>
      <c r="B25" s="178" t="s">
        <v>307</v>
      </c>
      <c r="C25" s="179">
        <f>C23*C24^2</f>
        <v>7.7982059465385185E-6</v>
      </c>
      <c r="D25" s="74"/>
      <c r="E25" s="74"/>
      <c r="F25" s="74"/>
      <c r="G25" s="16"/>
      <c r="H25" s="16"/>
      <c r="I25" s="16"/>
      <c r="J25" s="16"/>
    </row>
    <row r="26" spans="1:12">
      <c r="A26" s="16"/>
      <c r="B26" s="13" t="s">
        <v>105</v>
      </c>
      <c r="C26" s="75">
        <v>500</v>
      </c>
      <c r="D26" s="75">
        <v>500</v>
      </c>
      <c r="E26" s="75">
        <v>0</v>
      </c>
      <c r="F26" s="75">
        <v>0</v>
      </c>
      <c r="G26" s="16"/>
      <c r="H26" s="16"/>
      <c r="I26" s="16"/>
      <c r="J26" s="16"/>
    </row>
    <row r="27" spans="1:12" ht="19" thickBot="1">
      <c r="A27" s="16"/>
      <c r="B27" s="13" t="s">
        <v>215</v>
      </c>
      <c r="C27" s="75">
        <v>30000</v>
      </c>
      <c r="D27" s="75">
        <v>30000</v>
      </c>
      <c r="E27" s="75">
        <v>30000</v>
      </c>
      <c r="F27" s="75">
        <v>30000</v>
      </c>
      <c r="G27" s="16"/>
      <c r="H27" s="16"/>
      <c r="I27" s="16"/>
      <c r="J27" s="16"/>
    </row>
    <row r="28" spans="1:12">
      <c r="A28" s="16"/>
      <c r="B28" s="13" t="s">
        <v>216</v>
      </c>
      <c r="C28" s="75"/>
      <c r="D28" s="75">
        <v>1500</v>
      </c>
      <c r="E28" s="75">
        <v>1500</v>
      </c>
      <c r="F28" s="75">
        <v>1500</v>
      </c>
      <c r="G28" s="16"/>
      <c r="H28" s="253"/>
      <c r="I28" s="251" t="s">
        <v>228</v>
      </c>
      <c r="J28" s="251"/>
      <c r="K28" s="251"/>
      <c r="L28" s="252"/>
    </row>
    <row r="29" spans="1:12" ht="39" thickBot="1">
      <c r="A29" s="16"/>
      <c r="B29" s="13" t="s">
        <v>229</v>
      </c>
      <c r="C29" s="75">
        <v>1</v>
      </c>
      <c r="D29" s="75">
        <v>10</v>
      </c>
      <c r="E29" s="75">
        <v>10</v>
      </c>
      <c r="F29" s="75">
        <v>10</v>
      </c>
      <c r="G29" s="16"/>
      <c r="H29" s="254"/>
      <c r="I29" s="89" t="s">
        <v>222</v>
      </c>
      <c r="J29" s="89" t="s">
        <v>223</v>
      </c>
      <c r="K29" s="90" t="s">
        <v>224</v>
      </c>
      <c r="L29" s="91" t="s">
        <v>225</v>
      </c>
    </row>
    <row r="30" spans="1:12" ht="19" thickTop="1">
      <c r="A30" s="16"/>
      <c r="B30" s="13" t="s">
        <v>217</v>
      </c>
      <c r="C30" s="75">
        <v>1</v>
      </c>
      <c r="D30" s="75">
        <v>1</v>
      </c>
      <c r="E30" s="75">
        <v>1</v>
      </c>
      <c r="F30" s="75">
        <v>1</v>
      </c>
      <c r="G30" s="16"/>
      <c r="H30" s="85" t="s">
        <v>220</v>
      </c>
      <c r="I30" s="86">
        <v>0.10386069710749732</v>
      </c>
      <c r="J30" s="86">
        <v>0.2670177086938586</v>
      </c>
      <c r="K30" s="87">
        <v>6.5042989988992348</v>
      </c>
      <c r="L30" s="88">
        <v>11.253537185809924</v>
      </c>
    </row>
    <row r="31" spans="1:12">
      <c r="A31" s="16"/>
      <c r="B31" s="178" t="s">
        <v>218</v>
      </c>
      <c r="C31" s="177">
        <f>(C26+C27)*1000000/(4*PI())*C13*RADIANS(C20)*RADIANS(C21)+(C29+C30)*(C14*TAN(RADIANS(C20))*C14*TAN(RADIANS(C21)))/100</f>
        <v>0.1996694044564255</v>
      </c>
      <c r="D31" s="30">
        <f>(D26+D27)*1000000/(4*PI())*D13*RADIANS(D20)*RADIANS(D21)+(D29+D30)*(D14*TAN(RADIANS(D20))*D14*TAN(RADIANS(D21)))/100</f>
        <v>0.26699373191828335</v>
      </c>
      <c r="E31" s="30">
        <f>(E26+E27)*1000000/(4*PI())*E13*RADIANS(E20)*RADIANS(E21)+(E29+E30)*(E14*TAN(RADIANS(E20))*E14*TAN(RADIANS(E21)))/100</f>
        <v>6.3970854598214117</v>
      </c>
      <c r="F31" s="30">
        <f>(F26+F27)*1000000/(4*PI())*F13*RADIANS(F20)*RADIANS(F21)+(F29+F30)*(F14*TAN(RADIANS(F20))*F14*TAN(RADIANS(F21)))/100</f>
        <v>11.068467283012255</v>
      </c>
      <c r="G31" s="16">
        <f>(C14*TAN(RADIANS(C20))*C14*TAN(RADIANS(C21)))/100</f>
        <v>8.664673273934406E-7</v>
      </c>
      <c r="H31" s="79" t="s">
        <v>221</v>
      </c>
      <c r="I31" s="77">
        <v>6.8418481910172508E-3</v>
      </c>
      <c r="J31" s="77">
        <v>1.7540668622909792E-2</v>
      </c>
      <c r="K31" s="78">
        <v>0.42729417665817532</v>
      </c>
      <c r="L31" s="80">
        <v>0.73871963153756459</v>
      </c>
    </row>
    <row r="32" spans="1:12" ht="19" thickBot="1">
      <c r="A32" s="16"/>
      <c r="B32" s="13" t="s">
        <v>219</v>
      </c>
      <c r="C32" s="30"/>
      <c r="D32" s="30"/>
      <c r="E32" s="30"/>
      <c r="F32" s="30"/>
      <c r="G32" s="16"/>
      <c r="H32" s="81" t="s">
        <v>226</v>
      </c>
      <c r="I32" s="82">
        <v>1.7355929848867201E-3</v>
      </c>
      <c r="J32" s="82">
        <v>4.4102980928598552E-3</v>
      </c>
      <c r="K32" s="83">
        <v>0.10745181759285638</v>
      </c>
      <c r="L32" s="84">
        <v>0.18530818131270371</v>
      </c>
    </row>
    <row r="33" spans="1:13">
      <c r="A33" s="16"/>
      <c r="B33" s="13" t="s">
        <v>227</v>
      </c>
      <c r="C33" s="30"/>
      <c r="D33" s="30"/>
      <c r="E33" s="30"/>
      <c r="F33" s="30"/>
      <c r="G33" s="16"/>
      <c r="I33" s="16"/>
      <c r="J33" s="16"/>
      <c r="K33" s="54"/>
      <c r="L33" s="54"/>
    </row>
    <row r="34" spans="1:13">
      <c r="A34" s="16"/>
      <c r="B34" s="13" t="s">
        <v>108</v>
      </c>
      <c r="C34" s="266">
        <f>($C$26+$C$27)*1000000/(4*PI())*$C$13*RADIANS($C$20)*RADIANS($C$21)</f>
        <v>0.19966767152177073</v>
      </c>
      <c r="D34" s="266"/>
      <c r="E34" s="266"/>
      <c r="F34" s="266"/>
      <c r="G34" s="16"/>
      <c r="H34" s="16"/>
      <c r="I34" s="16"/>
      <c r="J34" s="16"/>
      <c r="K34" s="54"/>
      <c r="L34" s="54"/>
      <c r="M34" s="54"/>
    </row>
    <row r="35" spans="1:13">
      <c r="A35" s="16"/>
      <c r="B35" s="13" t="s">
        <v>53</v>
      </c>
      <c r="C35" s="180">
        <v>1</v>
      </c>
      <c r="D35" s="180"/>
      <c r="E35" s="180"/>
      <c r="F35" s="180"/>
      <c r="G35" s="16"/>
      <c r="H35" s="16"/>
      <c r="I35" s="16"/>
      <c r="J35" s="16"/>
      <c r="K35" s="54"/>
      <c r="L35" s="54"/>
      <c r="M35" s="54"/>
    </row>
    <row r="36" spans="1:13">
      <c r="A36" s="16"/>
      <c r="B36" s="13" t="s">
        <v>314</v>
      </c>
      <c r="C36" s="180">
        <v>5</v>
      </c>
      <c r="D36" s="180"/>
      <c r="E36" s="180"/>
      <c r="F36" s="180"/>
      <c r="G36" s="16"/>
      <c r="H36" s="16"/>
      <c r="I36" s="16"/>
      <c r="J36" s="16"/>
      <c r="K36" s="54"/>
      <c r="L36" s="54"/>
      <c r="M36" s="54"/>
    </row>
    <row r="37" spans="1:13">
      <c r="A37" s="16"/>
      <c r="B37" s="27" t="s">
        <v>71</v>
      </c>
      <c r="C37" s="28">
        <v>9.9999999999999994E-12</v>
      </c>
      <c r="D37" s="28">
        <v>9.9999999999999998E-13</v>
      </c>
      <c r="E37" s="28"/>
      <c r="F37" s="28">
        <v>4.9999999999999999E-17</v>
      </c>
      <c r="G37" s="16"/>
      <c r="H37" s="16"/>
      <c r="I37" s="16"/>
      <c r="J37" s="16"/>
      <c r="K37" s="16"/>
      <c r="L37" s="16"/>
      <c r="M37" s="54"/>
    </row>
    <row r="38" spans="1:13">
      <c r="A38" s="16"/>
      <c r="B38" s="13" t="s">
        <v>109</v>
      </c>
      <c r="C38" s="29">
        <f>$C$37*$C$4/($C$2*$C$3/1306*10000000000)</f>
        <v>0.65745583704964472</v>
      </c>
      <c r="D38" s="29">
        <f>$D$37*$C$4/($C$2*$C$3/1306*10000000000)</f>
        <v>6.5745583704964486E-2</v>
      </c>
      <c r="E38" s="29"/>
      <c r="F38" s="29">
        <f>$F$37*$C$4/($C$2*$C$3/1306*10000000000)</f>
        <v>3.2872791852482239E-6</v>
      </c>
      <c r="G38" s="16"/>
      <c r="H38" s="16"/>
      <c r="I38" s="16"/>
      <c r="J38" s="16"/>
      <c r="K38" s="17"/>
      <c r="L38" s="17"/>
      <c r="M38" s="16"/>
    </row>
    <row r="39" spans="1:13">
      <c r="A39" s="16"/>
      <c r="B39" s="178" t="s">
        <v>110</v>
      </c>
      <c r="C39" s="177">
        <f>$C$13*C38</f>
        <v>230.10954296737566</v>
      </c>
      <c r="D39" s="30">
        <f>$C$13*D38</f>
        <v>23.01095429673757</v>
      </c>
      <c r="E39" s="30"/>
      <c r="F39" s="29">
        <f>$C$13*F38</f>
        <v>1.1505477148368783E-3</v>
      </c>
      <c r="G39" s="16"/>
      <c r="H39" s="16"/>
      <c r="I39" s="16"/>
      <c r="J39" s="16"/>
      <c r="K39" s="17"/>
      <c r="L39" s="17"/>
      <c r="M39" s="31"/>
    </row>
    <row r="40" spans="1:13">
      <c r="A40" s="16"/>
      <c r="B40" s="13" t="s">
        <v>315</v>
      </c>
      <c r="C40" s="177">
        <f>C39*(C35*3600)</f>
        <v>828394.3546825524</v>
      </c>
      <c r="D40" s="30"/>
      <c r="E40" s="30"/>
      <c r="F40" s="29"/>
      <c r="G40" s="16"/>
      <c r="H40" s="16"/>
      <c r="I40" s="16"/>
      <c r="J40" s="16"/>
      <c r="K40" s="17"/>
      <c r="L40" s="17"/>
      <c r="M40" s="31"/>
    </row>
    <row r="41" spans="1:13">
      <c r="A41" s="16"/>
      <c r="B41" s="13" t="s">
        <v>316</v>
      </c>
      <c r="C41" s="177">
        <f>C31*(C35*3600)</f>
        <v>718.80985604313184</v>
      </c>
      <c r="D41" s="30"/>
      <c r="E41" s="30"/>
      <c r="F41" s="29"/>
      <c r="G41" s="16"/>
      <c r="H41" s="16"/>
      <c r="I41" s="16"/>
      <c r="J41" s="16"/>
      <c r="K41" s="17"/>
      <c r="L41" s="17"/>
      <c r="M41" s="31"/>
    </row>
    <row r="42" spans="1:13">
      <c r="A42" s="16"/>
      <c r="B42" s="13" t="s">
        <v>39</v>
      </c>
      <c r="C42" s="177">
        <f>C40/C41</f>
        <v>1152.4526934600699</v>
      </c>
      <c r="D42" s="30"/>
      <c r="E42" s="30"/>
      <c r="F42" s="29"/>
      <c r="G42" s="16"/>
      <c r="H42" s="16"/>
      <c r="I42" s="16"/>
      <c r="J42" s="16"/>
      <c r="K42" s="17"/>
      <c r="L42" s="17"/>
      <c r="M42" s="31"/>
    </row>
    <row r="43" spans="1:13">
      <c r="A43" s="16"/>
      <c r="B43" s="13" t="s">
        <v>50</v>
      </c>
      <c r="C43" s="191">
        <f>(0.08/1000)^2</f>
        <v>6.4000000000000011E-9</v>
      </c>
      <c r="D43" s="191"/>
      <c r="E43" s="191"/>
      <c r="F43" s="191"/>
      <c r="G43" s="16"/>
      <c r="H43" s="54"/>
      <c r="I43" s="54"/>
      <c r="J43" s="54"/>
      <c r="K43" s="17"/>
      <c r="L43" s="17"/>
      <c r="M43" s="31"/>
    </row>
    <row r="44" spans="1:13">
      <c r="A44" s="16"/>
      <c r="B44" s="13" t="s">
        <v>112</v>
      </c>
      <c r="C44" s="29">
        <f>C39/$C$43</f>
        <v>35954616088.652443</v>
      </c>
      <c r="D44" s="29">
        <f>D39/$C$43</f>
        <v>3595461608.8652449</v>
      </c>
      <c r="E44" s="29"/>
      <c r="F44" s="29">
        <f>F39/$C$43</f>
        <v>179773.08044326221</v>
      </c>
      <c r="G44" s="54"/>
      <c r="H44" s="46"/>
      <c r="I44" s="46"/>
      <c r="J44" s="16"/>
      <c r="K44" s="17"/>
      <c r="L44" s="17"/>
      <c r="M44" s="31"/>
    </row>
    <row r="45" spans="1:13">
      <c r="A45" s="16" t="s">
        <v>113</v>
      </c>
      <c r="B45" s="46" t="s">
        <v>114</v>
      </c>
      <c r="C45" s="46"/>
      <c r="D45" s="46"/>
      <c r="E45" s="46"/>
      <c r="F45" s="46"/>
      <c r="G45" s="46"/>
      <c r="H45" s="69"/>
      <c r="I45" s="69"/>
      <c r="J45" s="16"/>
      <c r="K45" s="17"/>
      <c r="L45" s="17"/>
      <c r="M45" s="31"/>
    </row>
    <row r="46" spans="1:13">
      <c r="A46" s="16" t="s">
        <v>113</v>
      </c>
      <c r="B46" s="69"/>
      <c r="C46" s="69"/>
      <c r="D46" s="69"/>
      <c r="E46" s="69"/>
      <c r="F46" s="69"/>
      <c r="G46" s="69"/>
      <c r="H46" s="16"/>
      <c r="I46" s="16"/>
      <c r="J46" s="31"/>
      <c r="K46" s="17"/>
      <c r="L46" s="17"/>
      <c r="M46" s="31"/>
    </row>
    <row r="47" spans="1:13">
      <c r="A47" s="16" t="s">
        <v>317</v>
      </c>
      <c r="B47" s="16" t="s">
        <v>110</v>
      </c>
      <c r="C47" s="16" t="s">
        <v>49</v>
      </c>
      <c r="D47" s="16" t="s">
        <v>315</v>
      </c>
      <c r="E47" s="16" t="s">
        <v>318</v>
      </c>
      <c r="F47" s="16" t="s">
        <v>39</v>
      </c>
      <c r="G47" s="16"/>
      <c r="H47" s="17"/>
      <c r="I47" s="17"/>
      <c r="J47" s="31"/>
      <c r="K47" s="17"/>
      <c r="L47" s="17"/>
      <c r="M47" s="31"/>
    </row>
    <row r="48" spans="1:13">
      <c r="A48" s="17">
        <v>5.0000000000000004E-16</v>
      </c>
      <c r="B48" s="17">
        <f>A48*$C$4/($C$2*$C$3/1306*10000000000)*$C$13</f>
        <v>1.1505477148368784E-2</v>
      </c>
      <c r="C48" s="17">
        <f>$C$31</f>
        <v>0.1996694044564255</v>
      </c>
      <c r="D48" s="17">
        <f t="shared" ref="D48:E51" si="1">B48*($C$35*3600)</f>
        <v>41.419717734127623</v>
      </c>
      <c r="E48" s="17">
        <f t="shared" si="1"/>
        <v>718.80985604313184</v>
      </c>
      <c r="F48" s="17">
        <f>D48/(SQRT(D48+E48))</f>
        <v>1.5022242032470028</v>
      </c>
      <c r="G48" s="16"/>
      <c r="H48" s="17"/>
      <c r="I48" s="17"/>
      <c r="J48" s="31"/>
      <c r="K48" s="17"/>
      <c r="L48" s="17"/>
      <c r="M48" s="31"/>
    </row>
    <row r="49" spans="1:13">
      <c r="A49" s="17">
        <v>1.0000000000000001E-15</v>
      </c>
      <c r="B49" s="17">
        <f>A49*$C$4/($C$2*$C$3/1306*10000000000)*$C$13</f>
        <v>2.3010954296737569E-2</v>
      </c>
      <c r="C49" s="17">
        <f>$C$31</f>
        <v>0.1996694044564255</v>
      </c>
      <c r="D49" s="17">
        <f t="shared" si="1"/>
        <v>82.839435468255246</v>
      </c>
      <c r="E49" s="17">
        <f t="shared" si="1"/>
        <v>718.80985604313184</v>
      </c>
      <c r="F49" s="17">
        <f>D49/(SQRT(D49+E49))</f>
        <v>2.9258019435948381</v>
      </c>
      <c r="G49" s="16"/>
      <c r="H49" s="17"/>
      <c r="I49" s="17"/>
      <c r="J49" s="31"/>
      <c r="K49" s="17"/>
      <c r="L49" s="17"/>
      <c r="M49" s="31"/>
    </row>
    <row r="50" spans="1:13">
      <c r="A50" s="17">
        <v>5E-15</v>
      </c>
      <c r="B50" s="17">
        <f>A50*$C$4/($C$2*$C$3/1306*10000000000)*$C$13</f>
        <v>0.11505477148368784</v>
      </c>
      <c r="C50" s="17">
        <f>$C$31</f>
        <v>0.1996694044564255</v>
      </c>
      <c r="D50" s="17">
        <f t="shared" si="1"/>
        <v>414.19717734127624</v>
      </c>
      <c r="E50" s="17">
        <f t="shared" si="1"/>
        <v>718.80985604313184</v>
      </c>
      <c r="F50" s="17">
        <f>D50/(SQRT(D50+E50))</f>
        <v>12.305261065528255</v>
      </c>
      <c r="G50" s="16"/>
      <c r="H50" s="17"/>
      <c r="I50" s="17"/>
      <c r="J50" s="31"/>
      <c r="K50" s="17"/>
      <c r="L50" s="17"/>
      <c r="M50" s="31"/>
    </row>
    <row r="51" spans="1:13">
      <c r="A51" s="17">
        <v>1E-14</v>
      </c>
      <c r="B51" s="17">
        <f>A51*$C$4/($C$2*$C$3/1306*10000000000)*$C$13</f>
        <v>0.23010954296737568</v>
      </c>
      <c r="C51" s="17">
        <f>$C$31</f>
        <v>0.1996694044564255</v>
      </c>
      <c r="D51" s="17">
        <f t="shared" si="1"/>
        <v>828.39435468255249</v>
      </c>
      <c r="E51" s="17">
        <f t="shared" si="1"/>
        <v>718.80985604313184</v>
      </c>
      <c r="F51" s="17">
        <f>D51/(SQRT(D51+E51))</f>
        <v>21.060239768703838</v>
      </c>
      <c r="G51" s="17"/>
      <c r="H51" s="17"/>
      <c r="I51" s="17"/>
      <c r="J51" s="31"/>
      <c r="K51" s="17"/>
      <c r="L51" s="17"/>
      <c r="M51" s="31"/>
    </row>
    <row r="52" spans="1:13">
      <c r="A52" s="17">
        <v>5.0000000000000002E-14</v>
      </c>
      <c r="B52" s="17">
        <f t="shared" ref="B52:B55" si="2">A52*$C$4/($C$2*$C$3/1306*10000000000)*$C$13</f>
        <v>1.1505477148368783</v>
      </c>
      <c r="C52" s="17">
        <f t="shared" ref="C52:C55" si="3">$C$31</f>
        <v>0.1996694044564255</v>
      </c>
      <c r="D52" s="17">
        <f t="shared" ref="D52:E55" si="4">B52*($C$35*3600)</f>
        <v>4141.9717734127616</v>
      </c>
      <c r="E52" s="17">
        <f t="shared" si="4"/>
        <v>718.80985604313184</v>
      </c>
      <c r="F52" s="17">
        <f t="shared" ref="F52:F55" si="5">D52/(SQRT(D52+E52))</f>
        <v>59.409251338077695</v>
      </c>
      <c r="G52" s="17"/>
      <c r="H52" s="17"/>
      <c r="I52" s="17"/>
      <c r="J52" s="31"/>
      <c r="K52" s="17"/>
      <c r="L52" s="17"/>
      <c r="M52" s="31"/>
    </row>
    <row r="53" spans="1:13">
      <c r="A53" s="17">
        <v>1E-13</v>
      </c>
      <c r="B53" s="17">
        <f t="shared" si="2"/>
        <v>2.3010954296737567</v>
      </c>
      <c r="C53" s="17">
        <f t="shared" si="3"/>
        <v>0.1996694044564255</v>
      </c>
      <c r="D53" s="17">
        <f t="shared" si="4"/>
        <v>8283.9435468255233</v>
      </c>
      <c r="E53" s="17">
        <f t="shared" si="4"/>
        <v>718.80985604313184</v>
      </c>
      <c r="F53" s="17">
        <f t="shared" si="5"/>
        <v>87.307077988750478</v>
      </c>
      <c r="G53" s="17"/>
      <c r="H53" s="17"/>
      <c r="I53" s="17"/>
      <c r="J53" s="31"/>
      <c r="K53" s="17"/>
      <c r="L53" s="17"/>
      <c r="M53" s="31"/>
    </row>
    <row r="54" spans="1:13">
      <c r="A54" s="17">
        <v>4.9999999999999999E-13</v>
      </c>
      <c r="B54" s="17">
        <f t="shared" si="2"/>
        <v>11.505477148368785</v>
      </c>
      <c r="C54" s="17">
        <f t="shared" si="3"/>
        <v>0.1996694044564255</v>
      </c>
      <c r="D54" s="17">
        <f t="shared" si="4"/>
        <v>41419.717734127626</v>
      </c>
      <c r="E54" s="17">
        <f t="shared" si="4"/>
        <v>718.80985604313184</v>
      </c>
      <c r="F54" s="17">
        <f t="shared" si="5"/>
        <v>201.77504682624183</v>
      </c>
      <c r="G54" s="17"/>
      <c r="H54" s="17"/>
      <c r="I54" s="17"/>
      <c r="J54" s="31"/>
      <c r="K54" s="17"/>
      <c r="L54" s="17"/>
      <c r="M54" s="31"/>
    </row>
    <row r="55" spans="1:13">
      <c r="A55" s="17">
        <v>9.9999999999999998E-13</v>
      </c>
      <c r="B55" s="17">
        <f t="shared" si="2"/>
        <v>23.01095429673757</v>
      </c>
      <c r="C55" s="17">
        <f t="shared" si="3"/>
        <v>0.1996694044564255</v>
      </c>
      <c r="D55" s="17">
        <f t="shared" si="4"/>
        <v>82839.435468255251</v>
      </c>
      <c r="E55" s="17">
        <f t="shared" si="4"/>
        <v>718.80985604313184</v>
      </c>
      <c r="F55" s="17">
        <f t="shared" si="5"/>
        <v>286.57775415135478</v>
      </c>
      <c r="G55" s="17"/>
      <c r="H55" s="17"/>
      <c r="I55" s="17"/>
      <c r="J55" s="31"/>
      <c r="K55" s="17"/>
      <c r="L55" s="17"/>
      <c r="M55" s="31"/>
    </row>
    <row r="56" spans="1:13">
      <c r="A56" s="16"/>
      <c r="B56" s="17"/>
      <c r="C56" s="17"/>
      <c r="D56" s="17"/>
      <c r="E56" s="17"/>
      <c r="F56" s="17"/>
      <c r="G56" s="17"/>
      <c r="H56" s="17"/>
      <c r="I56" s="17"/>
      <c r="J56" s="31"/>
      <c r="K56" s="17"/>
      <c r="L56" s="17"/>
      <c r="M56" s="31"/>
    </row>
    <row r="57" spans="1:13">
      <c r="A57" s="16"/>
      <c r="B57" s="17"/>
      <c r="C57" s="17"/>
      <c r="D57" s="17"/>
      <c r="E57" s="17"/>
      <c r="F57" s="17"/>
      <c r="G57" s="17"/>
      <c r="H57" s="17"/>
      <c r="I57" s="17"/>
      <c r="J57" s="31"/>
      <c r="K57" s="17"/>
      <c r="L57" s="17"/>
      <c r="M57" s="31"/>
    </row>
    <row r="58" spans="1:13">
      <c r="A58" s="16"/>
      <c r="B58" s="17"/>
      <c r="C58" s="17"/>
      <c r="D58" s="17"/>
      <c r="E58" s="17"/>
      <c r="F58" s="17"/>
      <c r="G58" s="17"/>
      <c r="H58" s="17"/>
      <c r="I58" s="17"/>
      <c r="J58" s="31"/>
      <c r="K58" s="17"/>
      <c r="L58" s="17"/>
      <c r="M58" s="31"/>
    </row>
    <row r="59" spans="1:13">
      <c r="A59" s="16"/>
      <c r="B59" s="17"/>
      <c r="C59" s="17"/>
      <c r="D59" s="17"/>
      <c r="E59" s="17"/>
      <c r="F59" s="17"/>
      <c r="G59" s="17"/>
      <c r="H59" s="17"/>
      <c r="I59" s="17"/>
      <c r="J59" s="31"/>
      <c r="K59" s="17"/>
      <c r="L59" s="17"/>
      <c r="M59" s="31"/>
    </row>
    <row r="60" spans="1:13">
      <c r="A60" s="16"/>
      <c r="B60" s="17"/>
      <c r="C60" s="17"/>
      <c r="D60" s="17"/>
      <c r="E60" s="17"/>
      <c r="F60" s="17"/>
      <c r="G60" s="17"/>
      <c r="H60" s="17"/>
      <c r="I60" s="17"/>
      <c r="J60" s="31"/>
      <c r="K60" s="17"/>
      <c r="L60" s="17"/>
      <c r="M60" s="31"/>
    </row>
    <row r="61" spans="1:13">
      <c r="A61" s="16"/>
      <c r="B61" s="17"/>
      <c r="C61" s="17"/>
      <c r="D61" s="17"/>
      <c r="E61" s="17"/>
      <c r="F61" s="17"/>
      <c r="G61" s="17"/>
      <c r="H61" s="17"/>
      <c r="I61" s="17"/>
      <c r="J61" s="31"/>
      <c r="K61" s="17"/>
      <c r="L61" s="17"/>
      <c r="M61" s="31"/>
    </row>
    <row r="62" spans="1:13">
      <c r="A62" s="16"/>
      <c r="B62" s="17"/>
      <c r="C62" s="17"/>
      <c r="D62" s="17"/>
      <c r="E62" s="17"/>
      <c r="F62" s="17"/>
      <c r="G62" s="17"/>
      <c r="H62" s="17"/>
      <c r="I62" s="17"/>
      <c r="J62" s="31"/>
      <c r="K62" s="17"/>
      <c r="L62" s="17"/>
      <c r="M62" s="31"/>
    </row>
    <row r="63" spans="1:13">
      <c r="A63" s="16"/>
      <c r="B63" s="17"/>
      <c r="C63" s="17"/>
      <c r="D63" s="17"/>
      <c r="E63" s="17"/>
      <c r="F63" s="17"/>
      <c r="G63" s="17"/>
      <c r="H63" s="17"/>
      <c r="I63" s="17"/>
      <c r="J63" s="31"/>
      <c r="K63" s="17"/>
      <c r="L63" s="17"/>
      <c r="M63" s="31"/>
    </row>
    <row r="64" spans="1:13">
      <c r="A64" s="16"/>
      <c r="B64" s="17"/>
      <c r="C64" s="17"/>
      <c r="D64" s="17"/>
      <c r="E64" s="17"/>
      <c r="F64" s="17"/>
      <c r="G64" s="17"/>
      <c r="H64" s="17"/>
      <c r="I64" s="17"/>
      <c r="J64" s="31"/>
      <c r="K64" s="17"/>
      <c r="L64" s="17"/>
      <c r="M64" s="31"/>
    </row>
    <row r="65" spans="1:13">
      <c r="A65" s="16"/>
      <c r="B65" s="17"/>
      <c r="C65" s="17"/>
      <c r="D65" s="17"/>
      <c r="E65" s="17"/>
      <c r="F65" s="17"/>
      <c r="G65" s="17"/>
      <c r="H65" s="17"/>
      <c r="I65" s="17"/>
      <c r="J65" s="31"/>
      <c r="K65" s="17"/>
      <c r="L65" s="17"/>
      <c r="M65" s="31"/>
    </row>
    <row r="66" spans="1:13">
      <c r="A66" s="16"/>
      <c r="B66" s="17"/>
      <c r="C66" s="17"/>
      <c r="D66" s="17"/>
      <c r="E66" s="17"/>
      <c r="F66" s="17"/>
      <c r="G66" s="17"/>
      <c r="H66" s="17"/>
      <c r="I66" s="17"/>
      <c r="J66" s="31"/>
      <c r="K66" s="17"/>
      <c r="L66" s="17"/>
      <c r="M66" s="31"/>
    </row>
    <row r="67" spans="1:13">
      <c r="A67" s="16"/>
      <c r="B67" s="17"/>
      <c r="C67" s="17"/>
      <c r="D67" s="17"/>
      <c r="E67" s="17"/>
      <c r="F67" s="17"/>
      <c r="G67" s="17"/>
      <c r="H67" s="17"/>
      <c r="I67" s="17"/>
      <c r="J67" s="31"/>
      <c r="K67" s="17"/>
      <c r="L67" s="17"/>
      <c r="M67" s="31"/>
    </row>
    <row r="68" spans="1:13">
      <c r="A68" s="16"/>
      <c r="B68" s="17"/>
      <c r="C68" s="17"/>
      <c r="D68" s="17"/>
      <c r="E68" s="17"/>
      <c r="F68" s="17"/>
      <c r="G68" s="17"/>
      <c r="H68" s="17"/>
      <c r="I68" s="17"/>
      <c r="J68" s="31"/>
      <c r="K68" s="17"/>
      <c r="L68" s="17"/>
      <c r="M68" s="31"/>
    </row>
    <row r="69" spans="1:13">
      <c r="A69" s="16"/>
      <c r="B69" s="17"/>
      <c r="C69" s="17"/>
      <c r="D69" s="17"/>
      <c r="E69" s="17"/>
      <c r="F69" s="17"/>
      <c r="G69" s="17"/>
      <c r="H69" s="17"/>
      <c r="I69" s="17"/>
      <c r="J69" s="31"/>
      <c r="K69" s="17"/>
      <c r="L69" s="17"/>
      <c r="M69" s="31"/>
    </row>
    <row r="70" spans="1:13">
      <c r="A70" s="16"/>
      <c r="B70" s="17"/>
      <c r="C70" s="17"/>
      <c r="D70" s="17"/>
      <c r="E70" s="17"/>
      <c r="F70" s="17"/>
      <c r="G70" s="17"/>
      <c r="H70" s="17"/>
      <c r="I70" s="17"/>
      <c r="J70" s="31"/>
      <c r="K70" s="17"/>
      <c r="L70" s="17"/>
      <c r="M70" s="31"/>
    </row>
    <row r="71" spans="1:13">
      <c r="A71" s="16"/>
      <c r="B71" s="17"/>
      <c r="C71" s="17"/>
      <c r="D71" s="17"/>
      <c r="E71" s="17"/>
      <c r="F71" s="17"/>
      <c r="G71" s="17"/>
      <c r="H71" s="17"/>
      <c r="I71" s="17"/>
      <c r="J71" s="31"/>
      <c r="K71" s="17"/>
      <c r="L71" s="17"/>
      <c r="M71" s="31"/>
    </row>
    <row r="72" spans="1:13">
      <c r="A72" s="16"/>
      <c r="B72" s="17"/>
      <c r="C72" s="17"/>
      <c r="D72" s="17"/>
      <c r="E72" s="17"/>
      <c r="F72" s="17"/>
      <c r="G72" s="17"/>
      <c r="H72" s="17"/>
      <c r="I72" s="17"/>
      <c r="J72" s="31"/>
      <c r="K72" s="17"/>
      <c r="L72" s="17"/>
      <c r="M72" s="31"/>
    </row>
    <row r="73" spans="1:13">
      <c r="A73" s="16"/>
      <c r="B73" s="17"/>
      <c r="C73" s="17"/>
      <c r="D73" s="17"/>
      <c r="E73" s="17"/>
      <c r="F73" s="17"/>
      <c r="G73" s="17"/>
      <c r="H73" s="17"/>
      <c r="I73" s="17"/>
      <c r="J73" s="31"/>
      <c r="K73" s="17"/>
      <c r="L73" s="17"/>
      <c r="M73" s="31"/>
    </row>
    <row r="74" spans="1:13">
      <c r="A74" s="16"/>
      <c r="B74" s="17"/>
      <c r="C74" s="17"/>
      <c r="D74" s="17"/>
      <c r="E74" s="17"/>
      <c r="F74" s="17"/>
      <c r="G74" s="17"/>
      <c r="H74" s="17"/>
      <c r="I74" s="17"/>
      <c r="J74" s="31"/>
      <c r="K74" s="17"/>
      <c r="L74" s="17"/>
      <c r="M74" s="31"/>
    </row>
    <row r="75" spans="1:13">
      <c r="A75" s="16"/>
      <c r="B75" s="17"/>
      <c r="C75" s="17"/>
      <c r="D75" s="17"/>
      <c r="E75" s="17"/>
      <c r="F75" s="17"/>
      <c r="G75" s="17"/>
      <c r="H75" s="17"/>
      <c r="I75" s="17"/>
      <c r="J75" s="31"/>
      <c r="K75" s="17"/>
      <c r="L75" s="17"/>
      <c r="M75" s="31"/>
    </row>
    <row r="76" spans="1:13">
      <c r="A76" s="16"/>
      <c r="B76" s="17"/>
      <c r="C76" s="17"/>
      <c r="D76" s="17"/>
      <c r="E76" s="17"/>
      <c r="F76" s="17"/>
      <c r="G76" s="17"/>
      <c r="H76" s="17"/>
      <c r="I76" s="17"/>
      <c r="J76" s="31"/>
      <c r="K76" s="17"/>
      <c r="L76" s="17"/>
      <c r="M76" s="31"/>
    </row>
    <row r="77" spans="1:13">
      <c r="A77" s="16"/>
      <c r="B77" s="17"/>
      <c r="C77" s="17"/>
      <c r="D77" s="17"/>
      <c r="E77" s="17"/>
      <c r="F77" s="17"/>
      <c r="G77" s="17"/>
      <c r="H77" s="17"/>
      <c r="I77" s="17"/>
      <c r="J77" s="31"/>
      <c r="K77" s="17"/>
      <c r="L77" s="17"/>
      <c r="M77" s="31"/>
    </row>
    <row r="78" spans="1:13">
      <c r="A78" s="16"/>
      <c r="B78" s="17"/>
      <c r="C78" s="17"/>
      <c r="D78" s="17"/>
      <c r="E78" s="17"/>
      <c r="F78" s="17"/>
      <c r="G78" s="17"/>
      <c r="H78" s="17"/>
      <c r="I78" s="17"/>
      <c r="J78" s="31"/>
      <c r="K78" s="17"/>
      <c r="L78" s="17"/>
      <c r="M78" s="31"/>
    </row>
    <row r="79" spans="1:13">
      <c r="A79" s="16"/>
      <c r="B79" s="17"/>
      <c r="C79" s="17"/>
      <c r="D79" s="17"/>
      <c r="E79" s="17"/>
      <c r="F79" s="17"/>
      <c r="G79" s="17"/>
      <c r="H79" s="17"/>
      <c r="I79" s="17"/>
      <c r="J79" s="31"/>
      <c r="K79" s="17"/>
      <c r="L79" s="17"/>
      <c r="M79" s="31"/>
    </row>
    <row r="80" spans="1:13">
      <c r="A80" s="16"/>
      <c r="B80" s="17"/>
      <c r="C80" s="17"/>
      <c r="D80" s="17"/>
      <c r="E80" s="17"/>
      <c r="F80" s="17"/>
      <c r="G80" s="17"/>
      <c r="H80" s="17"/>
      <c r="I80" s="17"/>
      <c r="J80" s="31"/>
      <c r="K80" s="17"/>
      <c r="L80" s="17"/>
      <c r="M80" s="31"/>
    </row>
    <row r="81" spans="1:13">
      <c r="A81" s="16"/>
      <c r="B81" s="17"/>
      <c r="C81" s="17"/>
      <c r="D81" s="17"/>
      <c r="E81" s="17"/>
      <c r="F81" s="17"/>
      <c r="G81" s="17"/>
      <c r="H81" s="17"/>
      <c r="I81" s="17"/>
      <c r="J81" s="31"/>
      <c r="K81" s="17"/>
      <c r="L81" s="17"/>
      <c r="M81" s="31"/>
    </row>
    <row r="82" spans="1:13">
      <c r="A82" s="16"/>
      <c r="B82" s="17"/>
      <c r="C82" s="17"/>
      <c r="D82" s="17"/>
      <c r="E82" s="17"/>
      <c r="F82" s="17"/>
      <c r="G82" s="17"/>
      <c r="H82" s="17"/>
      <c r="I82" s="17"/>
      <c r="J82" s="31"/>
      <c r="K82" s="17"/>
      <c r="L82" s="17"/>
      <c r="M82" s="31"/>
    </row>
    <row r="83" spans="1:13">
      <c r="A83" s="16"/>
      <c r="B83" s="17"/>
      <c r="C83" s="17"/>
      <c r="D83" s="17"/>
      <c r="E83" s="17"/>
      <c r="F83" s="17"/>
      <c r="G83" s="17"/>
      <c r="H83" s="17"/>
      <c r="I83" s="17"/>
      <c r="J83" s="31"/>
      <c r="K83" s="17"/>
      <c r="L83" s="17"/>
      <c r="M83" s="31"/>
    </row>
    <row r="84" spans="1:13">
      <c r="A84" s="16"/>
      <c r="B84" s="17"/>
      <c r="C84" s="17"/>
      <c r="D84" s="17"/>
      <c r="E84" s="17"/>
      <c r="F84" s="17"/>
      <c r="G84" s="17"/>
      <c r="H84" s="17"/>
      <c r="I84" s="17"/>
      <c r="J84" s="31"/>
      <c r="K84" s="17"/>
      <c r="L84" s="17"/>
      <c r="M84" s="31"/>
    </row>
    <row r="85" spans="1:13">
      <c r="A85" s="16"/>
      <c r="B85" s="17"/>
      <c r="C85" s="17"/>
      <c r="D85" s="17"/>
      <c r="E85" s="17"/>
      <c r="F85" s="17"/>
      <c r="G85" s="17"/>
      <c r="H85" s="17"/>
      <c r="I85" s="17"/>
      <c r="J85" s="31"/>
      <c r="K85" s="17"/>
      <c r="L85" s="17"/>
      <c r="M85" s="31"/>
    </row>
    <row r="86" spans="1:13">
      <c r="A86" s="16"/>
      <c r="B86" s="17"/>
      <c r="C86" s="17"/>
      <c r="D86" s="17"/>
      <c r="E86" s="17"/>
      <c r="F86" s="17"/>
      <c r="G86" s="17"/>
      <c r="H86" s="17"/>
      <c r="I86" s="17"/>
      <c r="J86" s="31"/>
      <c r="K86" s="17"/>
      <c r="L86" s="17"/>
      <c r="M86" s="31"/>
    </row>
    <row r="87" spans="1:13">
      <c r="A87" s="16"/>
      <c r="B87" s="17"/>
      <c r="C87" s="17"/>
      <c r="D87" s="17"/>
      <c r="E87" s="17"/>
      <c r="F87" s="17"/>
      <c r="G87" s="17"/>
      <c r="H87" s="17"/>
      <c r="I87" s="17"/>
      <c r="J87" s="31"/>
      <c r="K87" s="17"/>
      <c r="L87" s="17"/>
      <c r="M87" s="31"/>
    </row>
    <row r="88" spans="1:13">
      <c r="A88" s="16"/>
      <c r="B88" s="17"/>
      <c r="C88" s="17"/>
      <c r="D88" s="17"/>
      <c r="E88" s="17"/>
      <c r="F88" s="17"/>
      <c r="G88" s="17"/>
      <c r="H88" s="17"/>
      <c r="I88" s="17"/>
      <c r="J88" s="31"/>
      <c r="K88" s="17"/>
      <c r="L88" s="17"/>
      <c r="M88" s="31"/>
    </row>
    <row r="89" spans="1:13">
      <c r="A89" s="16"/>
      <c r="B89" s="17"/>
      <c r="C89" s="17"/>
      <c r="D89" s="17"/>
      <c r="E89" s="17"/>
      <c r="F89" s="17"/>
      <c r="G89" s="17"/>
      <c r="H89" s="17"/>
      <c r="I89" s="17"/>
      <c r="J89" s="31"/>
      <c r="K89" s="17"/>
      <c r="L89" s="17"/>
      <c r="M89" s="31"/>
    </row>
    <row r="90" spans="1:13">
      <c r="A90" s="16"/>
      <c r="B90" s="17"/>
      <c r="C90" s="17"/>
      <c r="D90" s="17"/>
      <c r="E90" s="17"/>
      <c r="F90" s="17"/>
      <c r="G90" s="17"/>
      <c r="H90" s="17"/>
      <c r="I90" s="17"/>
      <c r="J90" s="31"/>
      <c r="K90" s="17"/>
      <c r="L90" s="17"/>
      <c r="M90" s="31"/>
    </row>
    <row r="91" spans="1:13">
      <c r="A91" s="16"/>
      <c r="B91" s="17"/>
      <c r="C91" s="17"/>
      <c r="D91" s="17"/>
      <c r="E91" s="17"/>
      <c r="F91" s="17"/>
      <c r="G91" s="17"/>
      <c r="H91" s="17"/>
      <c r="I91" s="17"/>
      <c r="J91" s="31"/>
      <c r="K91" s="17"/>
      <c r="L91" s="17"/>
      <c r="M91" s="31"/>
    </row>
    <row r="92" spans="1:13">
      <c r="A92" s="16"/>
      <c r="B92" s="17"/>
      <c r="C92" s="17"/>
      <c r="D92" s="17"/>
      <c r="E92" s="17"/>
      <c r="F92" s="17"/>
      <c r="G92" s="17"/>
      <c r="H92" s="17"/>
      <c r="I92" s="17"/>
      <c r="J92" s="31"/>
      <c r="K92" s="17"/>
      <c r="L92" s="17"/>
      <c r="M92" s="31"/>
    </row>
    <row r="93" spans="1:13">
      <c r="A93" s="16"/>
      <c r="B93" s="17"/>
      <c r="C93" s="17"/>
      <c r="D93" s="17"/>
      <c r="E93" s="17"/>
      <c r="F93" s="17"/>
      <c r="G93" s="17"/>
      <c r="H93" s="17"/>
      <c r="I93" s="17"/>
      <c r="J93" s="31"/>
      <c r="K93" s="17"/>
      <c r="L93" s="17"/>
      <c r="M93" s="31"/>
    </row>
    <row r="94" spans="1:13">
      <c r="A94" s="16"/>
      <c r="B94" s="17"/>
      <c r="C94" s="17"/>
      <c r="D94" s="17"/>
      <c r="E94" s="17"/>
      <c r="F94" s="17"/>
      <c r="G94" s="17"/>
      <c r="H94" s="17"/>
      <c r="I94" s="17"/>
      <c r="J94" s="31"/>
      <c r="K94" s="17"/>
      <c r="L94" s="17"/>
      <c r="M94" s="31"/>
    </row>
    <row r="95" spans="1:13">
      <c r="A95" s="16"/>
      <c r="B95" s="17"/>
      <c r="C95" s="17"/>
      <c r="D95" s="17"/>
      <c r="E95" s="17"/>
      <c r="F95" s="17"/>
      <c r="G95" s="17"/>
      <c r="H95" s="17"/>
      <c r="I95" s="17"/>
      <c r="J95" s="31"/>
      <c r="K95" s="17"/>
      <c r="L95" s="17"/>
      <c r="M95" s="31"/>
    </row>
    <row r="96" spans="1:13">
      <c r="A96" s="16"/>
      <c r="B96" s="17"/>
      <c r="C96" s="17"/>
      <c r="D96" s="17"/>
      <c r="E96" s="17"/>
      <c r="F96" s="17"/>
      <c r="G96" s="17"/>
      <c r="H96" s="17"/>
      <c r="I96" s="17"/>
      <c r="J96" s="31"/>
      <c r="K96" s="17"/>
      <c r="L96" s="17"/>
      <c r="M96" s="31"/>
    </row>
    <row r="97" spans="1:13">
      <c r="A97" s="16"/>
      <c r="B97" s="17"/>
      <c r="C97" s="17"/>
      <c r="D97" s="17"/>
      <c r="E97" s="17"/>
      <c r="F97" s="17"/>
      <c r="G97" s="17"/>
      <c r="H97" s="17"/>
      <c r="I97" s="17"/>
      <c r="J97" s="31"/>
      <c r="K97" s="17"/>
      <c r="L97" s="17"/>
      <c r="M97" s="31"/>
    </row>
    <row r="98" spans="1:13">
      <c r="A98" s="16"/>
      <c r="B98" s="17"/>
      <c r="C98" s="17"/>
      <c r="D98" s="17"/>
      <c r="E98" s="17"/>
      <c r="F98" s="17"/>
      <c r="G98" s="17"/>
      <c r="H98" s="17"/>
      <c r="I98" s="17"/>
      <c r="J98" s="31"/>
      <c r="K98" s="17"/>
      <c r="L98" s="17"/>
      <c r="M98" s="31"/>
    </row>
    <row r="99" spans="1:13">
      <c r="A99" s="16"/>
      <c r="B99" s="17"/>
      <c r="C99" s="17"/>
      <c r="D99" s="17"/>
      <c r="E99" s="17"/>
      <c r="F99" s="17"/>
      <c r="G99" s="17"/>
      <c r="H99" s="17"/>
      <c r="I99" s="17"/>
      <c r="J99" s="31"/>
      <c r="K99" s="17"/>
      <c r="L99" s="17"/>
      <c r="M99" s="31"/>
    </row>
    <row r="100" spans="1:13">
      <c r="A100" s="16"/>
      <c r="B100" s="17"/>
      <c r="C100" s="17"/>
      <c r="D100" s="17"/>
      <c r="E100" s="17"/>
      <c r="F100" s="17"/>
      <c r="G100" s="17"/>
      <c r="H100" s="17"/>
      <c r="I100" s="17"/>
      <c r="J100" s="31"/>
      <c r="K100" s="17"/>
      <c r="L100" s="17"/>
      <c r="M100" s="31"/>
    </row>
    <row r="101" spans="1:13">
      <c r="A101" s="16"/>
      <c r="B101" s="17"/>
      <c r="C101" s="17"/>
      <c r="D101" s="17"/>
      <c r="E101" s="17"/>
      <c r="F101" s="17"/>
      <c r="G101" s="17"/>
      <c r="H101" s="17"/>
      <c r="I101" s="17"/>
      <c r="J101" s="31"/>
      <c r="K101" s="17"/>
      <c r="L101" s="17"/>
      <c r="M101" s="31"/>
    </row>
    <row r="102" spans="1:13">
      <c r="A102" s="16"/>
      <c r="B102" s="17"/>
      <c r="C102" s="17"/>
      <c r="D102" s="17"/>
      <c r="E102" s="17"/>
      <c r="F102" s="17"/>
      <c r="G102" s="17"/>
      <c r="H102" s="17"/>
      <c r="I102" s="17"/>
      <c r="J102" s="31"/>
      <c r="K102" s="17"/>
      <c r="L102" s="17"/>
      <c r="M102" s="31"/>
    </row>
    <row r="103" spans="1:13">
      <c r="A103" s="16"/>
      <c r="B103" s="17"/>
      <c r="C103" s="17"/>
      <c r="D103" s="17"/>
      <c r="E103" s="17"/>
      <c r="F103" s="17"/>
      <c r="G103" s="17"/>
      <c r="H103" s="17"/>
      <c r="I103" s="17"/>
      <c r="J103" s="31"/>
      <c r="K103" s="17"/>
      <c r="L103" s="17"/>
      <c r="M103" s="31"/>
    </row>
    <row r="104" spans="1:13">
      <c r="A104" s="16"/>
      <c r="B104" s="17"/>
      <c r="C104" s="17"/>
      <c r="D104" s="17"/>
      <c r="E104" s="17"/>
      <c r="F104" s="17"/>
      <c r="G104" s="17"/>
      <c r="H104" s="17"/>
      <c r="I104" s="17"/>
      <c r="J104" s="31"/>
      <c r="K104" s="17"/>
      <c r="L104" s="17"/>
      <c r="M104" s="31"/>
    </row>
    <row r="105" spans="1:13">
      <c r="A105" s="16"/>
      <c r="B105" s="17"/>
      <c r="C105" s="17"/>
      <c r="D105" s="17"/>
      <c r="E105" s="17"/>
      <c r="F105" s="17"/>
      <c r="G105" s="17"/>
      <c r="H105" s="17"/>
      <c r="I105" s="17"/>
      <c r="J105" s="31"/>
      <c r="K105" s="17"/>
      <c r="L105" s="17"/>
      <c r="M105" s="31"/>
    </row>
    <row r="106" spans="1:13">
      <c r="A106" s="16"/>
      <c r="B106" s="17"/>
      <c r="C106" s="17"/>
      <c r="D106" s="17"/>
      <c r="E106" s="17"/>
      <c r="F106" s="17"/>
      <c r="G106" s="17"/>
      <c r="H106" s="17"/>
      <c r="I106" s="17"/>
      <c r="J106" s="31"/>
      <c r="K106" s="17"/>
      <c r="L106" s="17"/>
      <c r="M106" s="31"/>
    </row>
    <row r="107" spans="1:13">
      <c r="A107" s="16"/>
      <c r="B107" s="17"/>
      <c r="C107" s="17"/>
      <c r="D107" s="17"/>
      <c r="E107" s="17"/>
      <c r="F107" s="17"/>
      <c r="G107" s="17"/>
      <c r="H107" s="17"/>
      <c r="I107" s="17"/>
      <c r="J107" s="31"/>
      <c r="K107" s="17"/>
      <c r="L107" s="17"/>
      <c r="M107" s="31"/>
    </row>
    <row r="108" spans="1:13">
      <c r="A108" s="16"/>
      <c r="B108" s="17"/>
      <c r="C108" s="17"/>
      <c r="D108" s="17"/>
      <c r="E108" s="17"/>
      <c r="F108" s="17"/>
      <c r="G108" s="17"/>
      <c r="H108" s="17"/>
      <c r="I108" s="17"/>
      <c r="J108" s="31"/>
      <c r="K108" s="17"/>
      <c r="L108" s="17"/>
      <c r="M108" s="31"/>
    </row>
    <row r="109" spans="1:13">
      <c r="A109" s="16"/>
      <c r="B109" s="17"/>
      <c r="C109" s="17"/>
      <c r="D109" s="17"/>
      <c r="E109" s="17"/>
      <c r="F109" s="17"/>
      <c r="G109" s="17"/>
      <c r="H109" s="17"/>
      <c r="I109" s="17"/>
      <c r="J109" s="31"/>
      <c r="K109" s="17"/>
      <c r="L109" s="17"/>
      <c r="M109" s="31"/>
    </row>
    <row r="110" spans="1:13">
      <c r="A110" s="16"/>
      <c r="B110" s="17"/>
      <c r="C110" s="17"/>
      <c r="D110" s="17"/>
      <c r="E110" s="17"/>
      <c r="F110" s="17"/>
      <c r="G110" s="17"/>
      <c r="H110" s="17"/>
      <c r="I110" s="17"/>
      <c r="J110" s="31"/>
      <c r="K110" s="17"/>
      <c r="L110" s="17"/>
      <c r="M110" s="31"/>
    </row>
    <row r="111" spans="1:13">
      <c r="A111" s="16"/>
      <c r="B111" s="17"/>
      <c r="C111" s="17"/>
      <c r="D111" s="17"/>
      <c r="E111" s="17"/>
      <c r="F111" s="17"/>
      <c r="G111" s="17"/>
      <c r="H111" s="17"/>
      <c r="I111" s="17"/>
      <c r="J111" s="31"/>
      <c r="K111" s="17"/>
      <c r="L111" s="17"/>
      <c r="M111" s="31"/>
    </row>
    <row r="112" spans="1:13">
      <c r="A112" s="16"/>
      <c r="B112" s="17"/>
      <c r="C112" s="17"/>
      <c r="D112" s="17"/>
      <c r="E112" s="17"/>
      <c r="F112" s="17"/>
      <c r="G112" s="17"/>
      <c r="H112" s="17"/>
      <c r="I112" s="17"/>
      <c r="J112" s="31"/>
      <c r="K112" s="17"/>
      <c r="L112" s="17"/>
      <c r="M112" s="31"/>
    </row>
    <row r="113" spans="1:13">
      <c r="A113" s="16"/>
      <c r="B113" s="17"/>
      <c r="C113" s="17"/>
      <c r="D113" s="17"/>
      <c r="E113" s="17"/>
      <c r="F113" s="17"/>
      <c r="G113" s="17"/>
      <c r="H113" s="17"/>
      <c r="I113" s="17"/>
      <c r="J113" s="31"/>
      <c r="K113" s="17"/>
      <c r="L113" s="17"/>
      <c r="M113" s="31"/>
    </row>
    <row r="114" spans="1:13">
      <c r="A114" s="16"/>
      <c r="B114" s="17"/>
      <c r="C114" s="17"/>
      <c r="D114" s="17"/>
      <c r="E114" s="17"/>
      <c r="F114" s="17"/>
      <c r="G114" s="17"/>
      <c r="H114" s="17"/>
      <c r="I114" s="17"/>
      <c r="J114" s="31"/>
      <c r="K114" s="17"/>
      <c r="L114" s="17"/>
      <c r="M114" s="31"/>
    </row>
    <row r="115" spans="1:13">
      <c r="A115" s="16"/>
      <c r="B115" s="17"/>
      <c r="C115" s="17"/>
      <c r="D115" s="17"/>
      <c r="E115" s="17"/>
      <c r="F115" s="17"/>
      <c r="G115" s="17"/>
      <c r="H115" s="17"/>
      <c r="I115" s="17"/>
      <c r="J115" s="31"/>
      <c r="K115" s="17"/>
      <c r="L115" s="17"/>
      <c r="M115" s="31"/>
    </row>
    <row r="116" spans="1:13">
      <c r="A116" s="16"/>
      <c r="B116" s="17"/>
      <c r="C116" s="17"/>
      <c r="D116" s="17"/>
      <c r="E116" s="17"/>
      <c r="F116" s="17"/>
      <c r="G116" s="17"/>
      <c r="H116" s="17"/>
      <c r="I116" s="17"/>
      <c r="J116" s="31"/>
      <c r="K116" s="17"/>
      <c r="L116" s="17"/>
      <c r="M116" s="31"/>
    </row>
    <row r="117" spans="1:13">
      <c r="A117" s="16"/>
      <c r="B117" s="17"/>
      <c r="C117" s="17"/>
      <c r="D117" s="17"/>
      <c r="E117" s="17"/>
      <c r="F117" s="17"/>
      <c r="G117" s="17"/>
      <c r="H117" s="17"/>
      <c r="I117" s="17"/>
      <c r="J117" s="31"/>
      <c r="K117" s="17"/>
      <c r="L117" s="17"/>
      <c r="M117" s="31"/>
    </row>
    <row r="118" spans="1:13">
      <c r="A118" s="16"/>
      <c r="B118" s="17"/>
      <c r="C118" s="17"/>
      <c r="D118" s="17"/>
      <c r="E118" s="17"/>
      <c r="F118" s="17"/>
      <c r="G118" s="17"/>
      <c r="H118" s="17"/>
      <c r="I118" s="17"/>
      <c r="J118" s="31"/>
      <c r="K118" s="17"/>
      <c r="L118" s="17"/>
      <c r="M118" s="31"/>
    </row>
    <row r="119" spans="1:13">
      <c r="A119" s="16"/>
      <c r="B119" s="17"/>
      <c r="C119" s="17"/>
      <c r="D119" s="17"/>
      <c r="E119" s="17"/>
      <c r="F119" s="17"/>
      <c r="G119" s="17"/>
      <c r="H119" s="17"/>
      <c r="I119" s="17"/>
      <c r="J119" s="31"/>
      <c r="K119" s="17"/>
      <c r="L119" s="17"/>
      <c r="M119" s="31"/>
    </row>
    <row r="120" spans="1:13">
      <c r="A120" s="16"/>
      <c r="B120" s="17"/>
      <c r="C120" s="17"/>
      <c r="D120" s="17"/>
      <c r="E120" s="17"/>
      <c r="F120" s="17"/>
      <c r="G120" s="17"/>
      <c r="H120" s="17"/>
      <c r="I120" s="17"/>
      <c r="J120" s="31"/>
      <c r="K120" s="17"/>
      <c r="L120" s="17"/>
      <c r="M120" s="31"/>
    </row>
    <row r="121" spans="1:13">
      <c r="A121" s="16"/>
      <c r="B121" s="17"/>
      <c r="C121" s="17"/>
      <c r="D121" s="17"/>
      <c r="E121" s="17"/>
      <c r="F121" s="17"/>
      <c r="G121" s="17"/>
      <c r="H121" s="17"/>
      <c r="I121" s="17"/>
      <c r="J121" s="31"/>
      <c r="K121" s="17"/>
      <c r="L121" s="17"/>
      <c r="M121" s="31"/>
    </row>
    <row r="122" spans="1:13">
      <c r="A122" s="16"/>
      <c r="B122" s="17"/>
      <c r="C122" s="17"/>
      <c r="D122" s="17"/>
      <c r="E122" s="17"/>
      <c r="F122" s="17"/>
      <c r="G122" s="17"/>
      <c r="H122" s="17"/>
      <c r="I122" s="17"/>
      <c r="J122" s="31"/>
      <c r="K122" s="17"/>
      <c r="L122" s="17"/>
      <c r="M122" s="31"/>
    </row>
    <row r="123" spans="1:13">
      <c r="A123" s="16"/>
      <c r="B123" s="17"/>
      <c r="C123" s="17"/>
      <c r="D123" s="17"/>
      <c r="E123" s="17"/>
      <c r="F123" s="17"/>
      <c r="G123" s="17"/>
      <c r="H123" s="17"/>
      <c r="I123" s="17"/>
      <c r="J123" s="31"/>
      <c r="K123" s="17"/>
      <c r="L123" s="17"/>
      <c r="M123" s="31"/>
    </row>
    <row r="124" spans="1:13">
      <c r="A124" s="16"/>
      <c r="B124" s="17"/>
      <c r="C124" s="17"/>
      <c r="D124" s="17"/>
      <c r="E124" s="17"/>
      <c r="F124" s="17"/>
      <c r="G124" s="17"/>
      <c r="H124" s="17"/>
      <c r="I124" s="17"/>
      <c r="J124" s="31"/>
      <c r="K124" s="17"/>
      <c r="L124" s="17"/>
      <c r="M124" s="31"/>
    </row>
    <row r="125" spans="1:13">
      <c r="A125" s="16"/>
      <c r="B125" s="17"/>
      <c r="C125" s="17"/>
      <c r="D125" s="17"/>
      <c r="E125" s="17"/>
      <c r="F125" s="17"/>
      <c r="G125" s="17"/>
      <c r="H125" s="17"/>
      <c r="I125" s="17"/>
      <c r="J125" s="31"/>
      <c r="K125" s="17"/>
      <c r="L125" s="17"/>
      <c r="M125" s="31"/>
    </row>
    <row r="126" spans="1:13">
      <c r="A126" s="16"/>
      <c r="B126" s="17"/>
      <c r="C126" s="17"/>
      <c r="D126" s="17"/>
      <c r="E126" s="17"/>
      <c r="F126" s="17"/>
      <c r="G126" s="17"/>
      <c r="H126" s="17"/>
      <c r="I126" s="17"/>
      <c r="J126" s="31"/>
      <c r="K126" s="17"/>
      <c r="L126" s="17"/>
      <c r="M126" s="31"/>
    </row>
    <row r="127" spans="1:13">
      <c r="A127" s="16"/>
      <c r="B127" s="17"/>
      <c r="C127" s="17"/>
      <c r="D127" s="17"/>
      <c r="E127" s="17"/>
      <c r="F127" s="17"/>
      <c r="G127" s="17"/>
      <c r="H127" s="17"/>
      <c r="I127" s="17"/>
      <c r="J127" s="31"/>
      <c r="K127" s="17"/>
      <c r="L127" s="17"/>
      <c r="M127" s="31"/>
    </row>
    <row r="128" spans="1:13">
      <c r="A128" s="16"/>
      <c r="B128" s="17"/>
      <c r="C128" s="17"/>
      <c r="D128" s="17"/>
      <c r="E128" s="17"/>
      <c r="F128" s="17"/>
      <c r="G128" s="17"/>
      <c r="H128" s="17"/>
      <c r="I128" s="17"/>
      <c r="J128" s="31"/>
      <c r="K128" s="17"/>
      <c r="L128" s="17"/>
      <c r="M128" s="31"/>
    </row>
    <row r="129" spans="1:13">
      <c r="A129" s="16"/>
      <c r="B129" s="17"/>
      <c r="C129" s="17"/>
      <c r="D129" s="17"/>
      <c r="E129" s="17"/>
      <c r="F129" s="17"/>
      <c r="G129" s="17"/>
      <c r="H129" s="17"/>
      <c r="I129" s="17"/>
      <c r="J129" s="31"/>
      <c r="K129" s="17"/>
      <c r="L129" s="17"/>
      <c r="M129" s="31"/>
    </row>
    <row r="130" spans="1:13">
      <c r="A130" s="16"/>
      <c r="B130" s="17"/>
      <c r="C130" s="17"/>
      <c r="D130" s="17"/>
      <c r="E130" s="17"/>
      <c r="F130" s="17"/>
      <c r="G130" s="17"/>
      <c r="H130" s="17"/>
      <c r="I130" s="17"/>
      <c r="J130" s="31"/>
      <c r="K130" s="17"/>
      <c r="L130" s="17"/>
      <c r="M130" s="31"/>
    </row>
    <row r="131" spans="1:13">
      <c r="A131" s="16"/>
      <c r="B131" s="17"/>
      <c r="C131" s="17"/>
      <c r="D131" s="17"/>
      <c r="E131" s="17"/>
      <c r="F131" s="17"/>
      <c r="G131" s="17"/>
      <c r="H131" s="17"/>
      <c r="I131" s="17"/>
      <c r="J131" s="31"/>
      <c r="K131" s="17"/>
      <c r="L131" s="17"/>
      <c r="M131" s="31"/>
    </row>
    <row r="132" spans="1:13">
      <c r="A132" s="16"/>
      <c r="B132" s="17"/>
      <c r="C132" s="17"/>
      <c r="D132" s="17"/>
      <c r="E132" s="17"/>
      <c r="F132" s="17"/>
      <c r="G132" s="17"/>
      <c r="H132" s="17"/>
      <c r="I132" s="17"/>
      <c r="J132" s="31"/>
      <c r="K132" s="17"/>
      <c r="L132" s="17"/>
      <c r="M132" s="31"/>
    </row>
    <row r="133" spans="1:13">
      <c r="A133" s="16"/>
      <c r="B133" s="17"/>
      <c r="C133" s="17"/>
      <c r="D133" s="17"/>
      <c r="E133" s="17"/>
      <c r="F133" s="17"/>
      <c r="G133" s="17"/>
      <c r="H133" s="17"/>
      <c r="I133" s="17"/>
      <c r="J133" s="31"/>
      <c r="K133" s="17"/>
      <c r="L133" s="17"/>
      <c r="M133" s="31"/>
    </row>
    <row r="134" spans="1:13">
      <c r="A134" s="16"/>
      <c r="B134" s="17"/>
      <c r="C134" s="17"/>
      <c r="D134" s="17"/>
      <c r="E134" s="17"/>
      <c r="F134" s="17"/>
      <c r="G134" s="17"/>
      <c r="H134" s="17"/>
      <c r="I134" s="17"/>
      <c r="J134" s="31"/>
      <c r="K134" s="17"/>
      <c r="L134" s="17"/>
      <c r="M134" s="31"/>
    </row>
    <row r="135" spans="1:13">
      <c r="A135" s="16"/>
      <c r="B135" s="17"/>
      <c r="C135" s="17"/>
      <c r="D135" s="17"/>
      <c r="E135" s="17"/>
      <c r="F135" s="17"/>
      <c r="G135" s="17"/>
      <c r="H135" s="17"/>
      <c r="I135" s="17"/>
      <c r="J135" s="31"/>
      <c r="K135" s="17"/>
      <c r="L135" s="17"/>
      <c r="M135" s="31"/>
    </row>
    <row r="136" spans="1:13">
      <c r="A136" s="16"/>
      <c r="B136" s="17"/>
      <c r="C136" s="17"/>
      <c r="D136" s="17"/>
      <c r="E136" s="17"/>
      <c r="F136" s="17"/>
      <c r="G136" s="17"/>
      <c r="H136" s="17"/>
      <c r="I136" s="17"/>
      <c r="J136" s="31"/>
      <c r="K136" s="17"/>
      <c r="L136" s="17"/>
      <c r="M136" s="31"/>
    </row>
    <row r="137" spans="1:13">
      <c r="A137" s="16"/>
      <c r="B137" s="17"/>
      <c r="C137" s="17"/>
      <c r="D137" s="17"/>
      <c r="E137" s="17"/>
      <c r="F137" s="17"/>
      <c r="G137" s="17"/>
      <c r="H137" s="17"/>
      <c r="I137" s="17"/>
      <c r="J137" s="31"/>
      <c r="K137" s="17"/>
      <c r="L137" s="17"/>
      <c r="M137" s="31"/>
    </row>
    <row r="138" spans="1:13">
      <c r="A138" s="16"/>
      <c r="B138" s="17"/>
      <c r="C138" s="17"/>
      <c r="D138" s="17"/>
      <c r="E138" s="17"/>
      <c r="F138" s="17"/>
      <c r="G138" s="17"/>
      <c r="H138" s="17"/>
      <c r="I138" s="17"/>
      <c r="J138" s="31"/>
      <c r="K138" s="17"/>
      <c r="L138" s="17"/>
      <c r="M138" s="31"/>
    </row>
    <row r="139" spans="1:13">
      <c r="A139" s="16"/>
      <c r="B139" s="17"/>
      <c r="C139" s="17"/>
      <c r="D139" s="17"/>
      <c r="E139" s="17"/>
      <c r="F139" s="17"/>
      <c r="G139" s="17"/>
      <c r="H139" s="17"/>
      <c r="I139" s="17"/>
      <c r="J139" s="31"/>
      <c r="K139" s="17"/>
      <c r="L139" s="17"/>
      <c r="M139" s="31"/>
    </row>
    <row r="140" spans="1:13">
      <c r="A140" s="16"/>
      <c r="B140" s="17"/>
      <c r="C140" s="17"/>
      <c r="D140" s="17"/>
      <c r="E140" s="17"/>
      <c r="F140" s="17"/>
      <c r="G140" s="17"/>
      <c r="H140" s="17"/>
      <c r="I140" s="17"/>
      <c r="J140" s="31"/>
      <c r="K140" s="17"/>
      <c r="L140" s="17"/>
      <c r="M140" s="31"/>
    </row>
    <row r="141" spans="1:13">
      <c r="A141" s="16"/>
      <c r="B141" s="17"/>
      <c r="C141" s="17"/>
      <c r="D141" s="17"/>
      <c r="E141" s="17"/>
      <c r="F141" s="17"/>
      <c r="G141" s="17"/>
      <c r="H141" s="17"/>
      <c r="I141" s="17"/>
      <c r="J141" s="31"/>
      <c r="K141" s="17"/>
      <c r="L141" s="17"/>
      <c r="M141" s="31"/>
    </row>
    <row r="142" spans="1:13">
      <c r="A142" s="16"/>
      <c r="B142" s="17"/>
      <c r="C142" s="17"/>
      <c r="D142" s="17"/>
      <c r="E142" s="17"/>
      <c r="F142" s="17"/>
      <c r="G142" s="17"/>
      <c r="H142" s="17"/>
      <c r="I142" s="17"/>
      <c r="J142" s="31"/>
      <c r="K142" s="17"/>
      <c r="L142" s="17"/>
      <c r="M142" s="31"/>
    </row>
    <row r="143" spans="1:13">
      <c r="A143" s="16"/>
      <c r="B143" s="17"/>
      <c r="C143" s="17"/>
      <c r="D143" s="17"/>
      <c r="E143" s="17"/>
      <c r="F143" s="17"/>
      <c r="G143" s="17"/>
      <c r="H143" s="17"/>
      <c r="I143" s="17"/>
      <c r="J143" s="31"/>
      <c r="K143" s="17"/>
      <c r="L143" s="17"/>
      <c r="M143" s="31"/>
    </row>
    <row r="144" spans="1:13">
      <c r="A144" s="16"/>
      <c r="B144" s="17"/>
      <c r="C144" s="17"/>
      <c r="D144" s="17"/>
      <c r="E144" s="17"/>
      <c r="F144" s="17"/>
      <c r="G144" s="17"/>
      <c r="H144" s="17"/>
      <c r="I144" s="17"/>
      <c r="J144" s="31"/>
      <c r="K144" s="17"/>
      <c r="L144" s="17"/>
      <c r="M144" s="31"/>
    </row>
    <row r="145" spans="1:13">
      <c r="A145" s="16"/>
      <c r="B145" s="17"/>
      <c r="C145" s="17"/>
      <c r="D145" s="17"/>
      <c r="E145" s="17"/>
      <c r="F145" s="17"/>
      <c r="G145" s="17"/>
      <c r="H145" s="17"/>
      <c r="I145" s="17"/>
      <c r="J145" s="31"/>
      <c r="K145" s="17"/>
      <c r="L145" s="17"/>
      <c r="M145" s="31"/>
    </row>
    <row r="146" spans="1:13">
      <c r="A146" s="16"/>
      <c r="B146" s="17"/>
      <c r="C146" s="17"/>
      <c r="D146" s="17"/>
      <c r="E146" s="17"/>
      <c r="F146" s="17"/>
      <c r="G146" s="17"/>
      <c r="H146" s="17"/>
      <c r="I146" s="17"/>
      <c r="J146" s="31"/>
      <c r="K146" s="17"/>
      <c r="L146" s="17"/>
      <c r="M146" s="31"/>
    </row>
    <row r="147" spans="1:13">
      <c r="A147" s="16"/>
      <c r="B147" s="17"/>
      <c r="C147" s="17"/>
      <c r="D147" s="17"/>
      <c r="E147" s="17"/>
      <c r="F147" s="17"/>
      <c r="G147" s="17"/>
      <c r="H147" s="17"/>
      <c r="I147" s="17"/>
      <c r="J147" s="31"/>
      <c r="K147" s="17"/>
      <c r="L147" s="17"/>
      <c r="M147" s="31"/>
    </row>
    <row r="148" spans="1:13">
      <c r="A148" s="16"/>
      <c r="B148" s="17"/>
      <c r="C148" s="17"/>
      <c r="D148" s="17"/>
      <c r="E148" s="17"/>
      <c r="F148" s="17"/>
      <c r="G148" s="17"/>
      <c r="H148" s="17"/>
      <c r="I148" s="17"/>
      <c r="J148" s="31"/>
      <c r="K148" s="17"/>
      <c r="L148" s="17"/>
      <c r="M148" s="31"/>
    </row>
    <row r="149" spans="1:13">
      <c r="A149" s="16"/>
      <c r="B149" s="17"/>
      <c r="C149" s="17"/>
      <c r="D149" s="17"/>
      <c r="E149" s="17"/>
      <c r="F149" s="17"/>
      <c r="G149" s="17"/>
      <c r="H149" s="17"/>
      <c r="I149" s="17"/>
      <c r="J149" s="31"/>
      <c r="K149" s="17"/>
      <c r="L149" s="17"/>
      <c r="M149" s="31"/>
    </row>
    <row r="150" spans="1:13">
      <c r="A150" s="16"/>
      <c r="B150" s="17"/>
      <c r="C150" s="17"/>
      <c r="D150" s="17"/>
      <c r="E150" s="17"/>
      <c r="F150" s="17"/>
      <c r="G150" s="17"/>
      <c r="H150" s="17"/>
      <c r="I150" s="17"/>
      <c r="J150" s="31"/>
      <c r="K150" s="17"/>
      <c r="L150" s="17"/>
      <c r="M150" s="31"/>
    </row>
    <row r="151" spans="1:13">
      <c r="A151" s="16"/>
      <c r="B151" s="17"/>
      <c r="C151" s="17"/>
      <c r="D151" s="17"/>
      <c r="E151" s="17"/>
      <c r="F151" s="17"/>
      <c r="G151" s="17"/>
      <c r="H151" s="17"/>
      <c r="I151" s="17"/>
      <c r="J151" s="31"/>
      <c r="K151" s="17"/>
      <c r="L151" s="17"/>
      <c r="M151" s="31"/>
    </row>
    <row r="152" spans="1:13">
      <c r="A152" s="16"/>
      <c r="B152" s="17"/>
      <c r="C152" s="17"/>
      <c r="D152" s="17"/>
      <c r="E152" s="17"/>
      <c r="F152" s="17"/>
      <c r="G152" s="17"/>
      <c r="H152" s="17"/>
      <c r="I152" s="17"/>
      <c r="J152" s="31"/>
      <c r="K152" s="17"/>
      <c r="L152" s="17"/>
      <c r="M152" s="31"/>
    </row>
    <row r="153" spans="1:13">
      <c r="A153" s="16"/>
      <c r="B153" s="17"/>
      <c r="C153" s="17"/>
      <c r="D153" s="17"/>
      <c r="E153" s="17"/>
      <c r="F153" s="17"/>
      <c r="G153" s="17"/>
      <c r="H153" s="17"/>
      <c r="I153" s="17"/>
      <c r="J153" s="31"/>
      <c r="K153" s="17"/>
      <c r="L153" s="17"/>
      <c r="M153" s="31"/>
    </row>
    <row r="154" spans="1:13">
      <c r="A154" s="16"/>
      <c r="B154" s="17"/>
      <c r="C154" s="17"/>
      <c r="D154" s="17"/>
      <c r="E154" s="17"/>
      <c r="F154" s="17"/>
      <c r="G154" s="17"/>
      <c r="H154" s="17"/>
      <c r="I154" s="17"/>
      <c r="J154" s="31"/>
      <c r="K154" s="17"/>
      <c r="L154" s="17"/>
      <c r="M154" s="31"/>
    </row>
    <row r="155" spans="1:13">
      <c r="A155" s="16"/>
      <c r="B155" s="17"/>
      <c r="C155" s="17"/>
      <c r="D155" s="17"/>
      <c r="E155" s="17"/>
      <c r="F155" s="17"/>
      <c r="G155" s="17"/>
      <c r="H155" s="17"/>
      <c r="I155" s="17"/>
      <c r="J155" s="31"/>
      <c r="K155" s="17"/>
      <c r="L155" s="17"/>
      <c r="M155" s="31"/>
    </row>
    <row r="156" spans="1:13">
      <c r="A156" s="16"/>
      <c r="B156" s="17"/>
      <c r="C156" s="17"/>
      <c r="D156" s="17"/>
      <c r="E156" s="17"/>
      <c r="F156" s="17"/>
      <c r="G156" s="17"/>
      <c r="H156" s="17"/>
      <c r="I156" s="17"/>
      <c r="J156" s="31"/>
      <c r="K156" s="17"/>
      <c r="L156" s="17"/>
      <c r="M156" s="31"/>
    </row>
    <row r="157" spans="1:13">
      <c r="A157" s="16"/>
      <c r="B157" s="17"/>
      <c r="C157" s="17"/>
      <c r="D157" s="17"/>
      <c r="E157" s="17"/>
      <c r="F157" s="17"/>
      <c r="G157" s="17"/>
      <c r="H157" s="17"/>
      <c r="I157" s="17"/>
      <c r="J157" s="31"/>
      <c r="K157" s="17"/>
      <c r="L157" s="17"/>
      <c r="M157" s="31"/>
    </row>
    <row r="158" spans="1:13">
      <c r="A158" s="16"/>
      <c r="B158" s="17"/>
      <c r="C158" s="17"/>
      <c r="D158" s="17"/>
      <c r="E158" s="17"/>
      <c r="F158" s="17"/>
      <c r="G158" s="17"/>
      <c r="H158" s="17"/>
      <c r="I158" s="17"/>
      <c r="J158" s="31"/>
      <c r="K158" s="17"/>
      <c r="L158" s="17"/>
      <c r="M158" s="31"/>
    </row>
    <row r="159" spans="1:13">
      <c r="A159" s="16"/>
      <c r="B159" s="17"/>
      <c r="C159" s="17"/>
      <c r="D159" s="17"/>
      <c r="E159" s="17"/>
      <c r="F159" s="17"/>
      <c r="G159" s="17"/>
      <c r="H159" s="17"/>
      <c r="I159" s="17"/>
      <c r="J159" s="31"/>
      <c r="K159" s="17"/>
      <c r="L159" s="17"/>
      <c r="M159" s="31"/>
    </row>
    <row r="160" spans="1:13">
      <c r="A160" s="16"/>
      <c r="B160" s="17"/>
      <c r="C160" s="17"/>
      <c r="D160" s="17"/>
      <c r="E160" s="17"/>
      <c r="F160" s="17"/>
      <c r="G160" s="17"/>
      <c r="H160" s="17"/>
      <c r="I160" s="17"/>
      <c r="J160" s="31"/>
      <c r="K160" s="17"/>
      <c r="L160" s="17"/>
      <c r="M160" s="31"/>
    </row>
    <row r="161" spans="1:13">
      <c r="A161" s="16"/>
      <c r="B161" s="17"/>
      <c r="C161" s="17"/>
      <c r="D161" s="17"/>
      <c r="E161" s="17"/>
      <c r="F161" s="17"/>
      <c r="G161" s="17"/>
      <c r="H161" s="17"/>
      <c r="I161" s="17"/>
      <c r="J161" s="31"/>
      <c r="K161" s="17"/>
      <c r="L161" s="17"/>
      <c r="M161" s="31"/>
    </row>
    <row r="162" spans="1:13">
      <c r="A162" s="16"/>
      <c r="B162" s="17"/>
      <c r="C162" s="17"/>
      <c r="D162" s="17"/>
      <c r="E162" s="17"/>
      <c r="F162" s="17"/>
      <c r="G162" s="17"/>
      <c r="H162" s="17"/>
      <c r="I162" s="17"/>
      <c r="J162" s="31"/>
      <c r="K162" s="17"/>
      <c r="L162" s="17"/>
      <c r="M162" s="31"/>
    </row>
    <row r="163" spans="1:13">
      <c r="A163" s="16"/>
      <c r="B163" s="17"/>
      <c r="C163" s="17"/>
      <c r="D163" s="17"/>
      <c r="E163" s="17"/>
      <c r="F163" s="17"/>
      <c r="G163" s="17"/>
      <c r="H163" s="17"/>
      <c r="I163" s="17"/>
      <c r="J163" s="31"/>
      <c r="K163" s="17"/>
      <c r="L163" s="17"/>
      <c r="M163" s="31"/>
    </row>
    <row r="164" spans="1:13">
      <c r="A164" s="16"/>
      <c r="B164" s="17"/>
      <c r="C164" s="17"/>
      <c r="D164" s="17"/>
      <c r="E164" s="17"/>
      <c r="F164" s="17"/>
      <c r="G164" s="17"/>
      <c r="H164" s="17"/>
      <c r="I164" s="17"/>
      <c r="J164" s="31"/>
      <c r="K164" s="17"/>
      <c r="L164" s="17"/>
      <c r="M164" s="31"/>
    </row>
    <row r="165" spans="1:13">
      <c r="A165" s="16"/>
      <c r="B165" s="17"/>
      <c r="C165" s="17"/>
      <c r="D165" s="17"/>
      <c r="E165" s="17"/>
      <c r="F165" s="17"/>
      <c r="G165" s="17"/>
      <c r="H165" s="17"/>
      <c r="I165" s="17"/>
      <c r="J165" s="31"/>
      <c r="K165" s="17"/>
      <c r="L165" s="17"/>
      <c r="M165" s="31"/>
    </row>
    <row r="166" spans="1:13">
      <c r="A166" s="16"/>
      <c r="B166" s="17"/>
      <c r="C166" s="17"/>
      <c r="D166" s="17"/>
      <c r="E166" s="17"/>
      <c r="F166" s="17"/>
      <c r="G166" s="17"/>
      <c r="H166" s="17"/>
      <c r="I166" s="17"/>
      <c r="J166" s="31"/>
      <c r="K166" s="17"/>
      <c r="L166" s="17"/>
      <c r="M166" s="31"/>
    </row>
    <row r="167" spans="1:13">
      <c r="A167" s="16"/>
      <c r="B167" s="17"/>
      <c r="C167" s="17"/>
      <c r="D167" s="17"/>
      <c r="E167" s="17"/>
      <c r="F167" s="17"/>
      <c r="G167" s="17"/>
      <c r="H167" s="17"/>
      <c r="I167" s="17"/>
      <c r="J167" s="31"/>
      <c r="K167" s="17"/>
      <c r="L167" s="17"/>
      <c r="M167" s="31"/>
    </row>
    <row r="168" spans="1:13">
      <c r="A168" s="16"/>
      <c r="B168" s="17"/>
      <c r="C168" s="17"/>
      <c r="D168" s="17"/>
      <c r="E168" s="17"/>
      <c r="F168" s="17"/>
      <c r="G168" s="17"/>
      <c r="H168" s="17"/>
      <c r="I168" s="17"/>
      <c r="J168" s="31"/>
      <c r="K168" s="17"/>
      <c r="L168" s="17"/>
      <c r="M168" s="31"/>
    </row>
    <row r="169" spans="1:13">
      <c r="A169" s="16"/>
      <c r="B169" s="17"/>
      <c r="C169" s="17"/>
      <c r="D169" s="17"/>
      <c r="E169" s="17"/>
      <c r="F169" s="17"/>
      <c r="G169" s="17"/>
      <c r="H169" s="17"/>
      <c r="I169" s="17"/>
      <c r="J169" s="31"/>
      <c r="K169" s="17"/>
      <c r="L169" s="17"/>
      <c r="M169" s="31"/>
    </row>
    <row r="170" spans="1:13">
      <c r="A170" s="16"/>
      <c r="B170" s="17"/>
      <c r="C170" s="17"/>
      <c r="D170" s="17"/>
      <c r="E170" s="17"/>
      <c r="F170" s="17"/>
      <c r="G170" s="17"/>
      <c r="H170" s="17"/>
      <c r="I170" s="17"/>
      <c r="J170" s="31"/>
      <c r="K170" s="17"/>
      <c r="L170" s="17"/>
      <c r="M170" s="31"/>
    </row>
    <row r="171" spans="1:13">
      <c r="A171" s="16"/>
      <c r="B171" s="17"/>
      <c r="C171" s="17"/>
      <c r="D171" s="17"/>
      <c r="E171" s="17"/>
      <c r="F171" s="17"/>
      <c r="G171" s="17"/>
      <c r="H171" s="17"/>
      <c r="I171" s="17"/>
      <c r="J171" s="31"/>
      <c r="K171" s="17"/>
      <c r="L171" s="17"/>
      <c r="M171" s="31"/>
    </row>
    <row r="172" spans="1:13">
      <c r="A172" s="16"/>
      <c r="B172" s="17"/>
      <c r="C172" s="17"/>
      <c r="D172" s="17"/>
      <c r="E172" s="17"/>
      <c r="F172" s="17"/>
      <c r="G172" s="17"/>
      <c r="H172" s="17"/>
      <c r="I172" s="17"/>
      <c r="J172" s="31"/>
      <c r="K172" s="17"/>
      <c r="L172" s="17"/>
      <c r="M172" s="31"/>
    </row>
    <row r="173" spans="1:13">
      <c r="A173" s="16"/>
      <c r="B173" s="17"/>
      <c r="C173" s="17"/>
      <c r="D173" s="17"/>
      <c r="E173" s="17"/>
      <c r="F173" s="17"/>
      <c r="G173" s="17"/>
      <c r="H173" s="17"/>
      <c r="I173" s="17"/>
      <c r="J173" s="31"/>
      <c r="K173" s="17"/>
      <c r="L173" s="17"/>
      <c r="M173" s="31"/>
    </row>
    <row r="174" spans="1:13">
      <c r="A174" s="16"/>
      <c r="B174" s="17"/>
      <c r="C174" s="17"/>
      <c r="D174" s="17"/>
      <c r="E174" s="17"/>
      <c r="F174" s="17"/>
      <c r="G174" s="17"/>
      <c r="H174" s="17"/>
      <c r="I174" s="17"/>
      <c r="J174" s="31"/>
      <c r="K174" s="17"/>
      <c r="L174" s="17"/>
      <c r="M174" s="31"/>
    </row>
    <row r="175" spans="1:13">
      <c r="A175" s="16"/>
      <c r="B175" s="17"/>
      <c r="C175" s="17"/>
      <c r="D175" s="17"/>
      <c r="E175" s="17"/>
      <c r="F175" s="17"/>
      <c r="G175" s="17"/>
      <c r="H175" s="17"/>
      <c r="I175" s="17"/>
      <c r="J175" s="31"/>
      <c r="K175" s="17"/>
      <c r="L175" s="17"/>
      <c r="M175" s="31"/>
    </row>
    <row r="176" spans="1:13">
      <c r="A176" s="16"/>
      <c r="B176" s="17"/>
      <c r="C176" s="17"/>
      <c r="D176" s="17"/>
      <c r="E176" s="17"/>
      <c r="F176" s="17"/>
      <c r="G176" s="17"/>
      <c r="H176" s="17"/>
      <c r="I176" s="17"/>
      <c r="J176" s="31"/>
      <c r="K176" s="17"/>
      <c r="L176" s="17"/>
      <c r="M176" s="31"/>
    </row>
    <row r="177" spans="1:13">
      <c r="A177" s="16"/>
      <c r="B177" s="17"/>
      <c r="C177" s="17"/>
      <c r="D177" s="17"/>
      <c r="E177" s="17"/>
      <c r="F177" s="17"/>
      <c r="G177" s="17"/>
      <c r="H177" s="17"/>
      <c r="I177" s="17"/>
      <c r="J177" s="31"/>
      <c r="K177" s="17"/>
      <c r="L177" s="17"/>
      <c r="M177" s="31"/>
    </row>
    <row r="178" spans="1:13">
      <c r="A178" s="16"/>
      <c r="B178" s="17"/>
      <c r="C178" s="17"/>
      <c r="D178" s="17"/>
      <c r="E178" s="17"/>
      <c r="F178" s="17"/>
      <c r="G178" s="17"/>
      <c r="H178" s="17"/>
      <c r="I178" s="17"/>
      <c r="J178" s="31"/>
      <c r="K178" s="17"/>
      <c r="L178" s="17"/>
      <c r="M178" s="31"/>
    </row>
    <row r="179" spans="1:13">
      <c r="A179" s="16"/>
      <c r="B179" s="17"/>
      <c r="C179" s="17"/>
      <c r="D179" s="17"/>
      <c r="E179" s="17"/>
      <c r="F179" s="17"/>
      <c r="G179" s="17"/>
      <c r="H179" s="17"/>
      <c r="I179" s="17"/>
      <c r="J179" s="31"/>
      <c r="K179" s="17"/>
      <c r="L179" s="17"/>
      <c r="M179" s="31"/>
    </row>
    <row r="180" spans="1:13">
      <c r="A180" s="16"/>
      <c r="B180" s="17"/>
      <c r="C180" s="17"/>
      <c r="D180" s="17"/>
      <c r="E180" s="17"/>
      <c r="F180" s="17"/>
      <c r="G180" s="17"/>
      <c r="H180" s="17"/>
      <c r="I180" s="17"/>
      <c r="J180" s="31"/>
      <c r="K180" s="17"/>
      <c r="L180" s="17"/>
      <c r="M180" s="31"/>
    </row>
    <row r="181" spans="1:13">
      <c r="A181" s="16"/>
      <c r="B181" s="17"/>
      <c r="C181" s="17"/>
      <c r="D181" s="17"/>
      <c r="E181" s="17"/>
      <c r="F181" s="17"/>
      <c r="G181" s="17"/>
      <c r="H181" s="17"/>
      <c r="I181" s="17"/>
      <c r="J181" s="31"/>
      <c r="K181" s="17"/>
      <c r="L181" s="17"/>
      <c r="M181" s="31"/>
    </row>
    <row r="182" spans="1:13">
      <c r="A182" s="16"/>
      <c r="B182" s="17"/>
      <c r="C182" s="17"/>
      <c r="D182" s="17"/>
      <c r="E182" s="17"/>
      <c r="F182" s="17"/>
      <c r="G182" s="17"/>
      <c r="H182" s="17"/>
      <c r="I182" s="17"/>
      <c r="J182" s="31"/>
      <c r="K182" s="17"/>
      <c r="L182" s="17"/>
      <c r="M182" s="31"/>
    </row>
    <row r="183" spans="1:13">
      <c r="A183" s="16"/>
      <c r="B183" s="17"/>
      <c r="C183" s="17"/>
      <c r="D183" s="17"/>
      <c r="E183" s="17"/>
      <c r="F183" s="17"/>
      <c r="G183" s="17"/>
      <c r="H183" s="17"/>
      <c r="I183" s="17"/>
      <c r="J183" s="31"/>
      <c r="K183" s="17"/>
      <c r="L183" s="17"/>
      <c r="M183" s="31"/>
    </row>
    <row r="184" spans="1:13">
      <c r="A184" s="16"/>
      <c r="B184" s="17"/>
      <c r="C184" s="17"/>
      <c r="D184" s="17"/>
      <c r="E184" s="17"/>
      <c r="F184" s="17"/>
      <c r="G184" s="17"/>
      <c r="H184" s="17"/>
      <c r="I184" s="17"/>
      <c r="J184" s="31"/>
      <c r="K184" s="17"/>
      <c r="L184" s="17"/>
      <c r="M184" s="31"/>
    </row>
    <row r="185" spans="1:13">
      <c r="A185" s="16"/>
      <c r="B185" s="17"/>
      <c r="C185" s="17"/>
      <c r="D185" s="17"/>
      <c r="E185" s="17"/>
      <c r="F185" s="17"/>
      <c r="G185" s="17"/>
      <c r="H185" s="17"/>
      <c r="I185" s="17"/>
      <c r="J185" s="31"/>
      <c r="K185" s="17"/>
      <c r="L185" s="17"/>
      <c r="M185" s="31"/>
    </row>
    <row r="186" spans="1:13">
      <c r="A186" s="16"/>
      <c r="B186" s="17"/>
      <c r="C186" s="17"/>
      <c r="D186" s="17"/>
      <c r="E186" s="17"/>
      <c r="F186" s="17"/>
      <c r="G186" s="17"/>
      <c r="H186" s="17"/>
      <c r="I186" s="17"/>
      <c r="J186" s="31"/>
      <c r="K186" s="17"/>
      <c r="L186" s="17"/>
      <c r="M186" s="31"/>
    </row>
    <row r="187" spans="1:13">
      <c r="A187" s="16"/>
      <c r="B187" s="17"/>
      <c r="C187" s="17"/>
      <c r="D187" s="17"/>
      <c r="E187" s="17"/>
      <c r="F187" s="17"/>
      <c r="G187" s="17"/>
      <c r="H187" s="17"/>
      <c r="I187" s="17"/>
      <c r="J187" s="31"/>
      <c r="K187" s="17"/>
      <c r="L187" s="17"/>
      <c r="M187" s="31"/>
    </row>
    <row r="188" spans="1:13">
      <c r="A188" s="16"/>
      <c r="B188" s="17"/>
      <c r="C188" s="17"/>
      <c r="D188" s="17"/>
      <c r="E188" s="17"/>
      <c r="F188" s="17"/>
      <c r="G188" s="17"/>
      <c r="H188" s="17"/>
      <c r="I188" s="17"/>
      <c r="J188" s="31"/>
      <c r="K188" s="17"/>
      <c r="L188" s="17"/>
      <c r="M188" s="31"/>
    </row>
    <row r="189" spans="1:13">
      <c r="A189" s="16"/>
      <c r="B189" s="17"/>
      <c r="C189" s="17"/>
      <c r="D189" s="17"/>
      <c r="E189" s="17"/>
      <c r="F189" s="17"/>
      <c r="G189" s="17"/>
      <c r="H189" s="17"/>
      <c r="I189" s="17"/>
      <c r="J189" s="31"/>
      <c r="K189" s="17"/>
      <c r="L189" s="17"/>
      <c r="M189" s="31"/>
    </row>
    <row r="190" spans="1:13">
      <c r="A190" s="16"/>
      <c r="B190" s="17"/>
      <c r="C190" s="17"/>
      <c r="D190" s="17"/>
      <c r="E190" s="17"/>
      <c r="F190" s="17"/>
      <c r="G190" s="17"/>
      <c r="H190" s="17"/>
      <c r="I190" s="17"/>
      <c r="J190" s="31"/>
      <c r="K190" s="17"/>
      <c r="L190" s="17"/>
      <c r="M190" s="31"/>
    </row>
    <row r="191" spans="1:13">
      <c r="A191" s="16"/>
      <c r="B191" s="17"/>
      <c r="C191" s="17"/>
      <c r="D191" s="17"/>
      <c r="E191" s="17"/>
      <c r="F191" s="17"/>
      <c r="G191" s="17"/>
      <c r="H191" s="17"/>
      <c r="I191" s="17"/>
      <c r="J191" s="31"/>
      <c r="K191" s="17"/>
      <c r="L191" s="17"/>
      <c r="M191" s="31"/>
    </row>
    <row r="192" spans="1:13">
      <c r="A192" s="16"/>
      <c r="B192" s="17"/>
      <c r="C192" s="17"/>
      <c r="D192" s="17"/>
      <c r="E192" s="17"/>
      <c r="F192" s="17"/>
      <c r="G192" s="17"/>
      <c r="H192" s="17"/>
      <c r="I192" s="17"/>
      <c r="J192" s="31"/>
      <c r="K192" s="17"/>
      <c r="L192" s="17"/>
      <c r="M192" s="31"/>
    </row>
    <row r="193" spans="1:13">
      <c r="A193" s="16"/>
      <c r="B193" s="17"/>
      <c r="C193" s="17"/>
      <c r="D193" s="17"/>
      <c r="E193" s="17"/>
      <c r="F193" s="17"/>
      <c r="G193" s="17"/>
      <c r="H193" s="17"/>
      <c r="I193" s="17"/>
      <c r="J193" s="31"/>
      <c r="K193" s="17"/>
      <c r="L193" s="17"/>
      <c r="M193" s="31"/>
    </row>
    <row r="194" spans="1:13">
      <c r="A194" s="16"/>
      <c r="B194" s="17"/>
      <c r="C194" s="17"/>
      <c r="D194" s="17"/>
      <c r="E194" s="17"/>
      <c r="F194" s="17"/>
      <c r="G194" s="17"/>
      <c r="H194" s="17"/>
      <c r="I194" s="17"/>
      <c r="J194" s="31"/>
      <c r="K194" s="17"/>
      <c r="L194" s="17"/>
      <c r="M194" s="31"/>
    </row>
    <row r="195" spans="1:13">
      <c r="A195" s="16"/>
      <c r="B195" s="17"/>
      <c r="C195" s="17"/>
      <c r="D195" s="17"/>
      <c r="E195" s="17"/>
      <c r="F195" s="17"/>
      <c r="G195" s="17"/>
      <c r="H195" s="17"/>
      <c r="I195" s="17"/>
      <c r="J195" s="31"/>
      <c r="K195" s="17"/>
      <c r="L195" s="17"/>
      <c r="M195" s="31"/>
    </row>
    <row r="196" spans="1:13">
      <c r="A196" s="16"/>
      <c r="B196" s="17"/>
      <c r="C196" s="17"/>
      <c r="D196" s="17"/>
      <c r="E196" s="17"/>
      <c r="F196" s="17"/>
      <c r="G196" s="17"/>
      <c r="H196" s="17"/>
      <c r="I196" s="17"/>
      <c r="J196" s="31"/>
      <c r="K196" s="17"/>
      <c r="L196" s="17"/>
      <c r="M196" s="31"/>
    </row>
    <row r="197" spans="1:13">
      <c r="A197" s="16"/>
      <c r="B197" s="17"/>
      <c r="C197" s="17"/>
      <c r="D197" s="17"/>
      <c r="E197" s="17"/>
      <c r="F197" s="17"/>
      <c r="G197" s="17"/>
      <c r="H197" s="17"/>
      <c r="I197" s="17"/>
      <c r="J197" s="31"/>
      <c r="K197" s="17"/>
      <c r="L197" s="17"/>
      <c r="M197" s="31"/>
    </row>
    <row r="198" spans="1:13">
      <c r="A198" s="16"/>
      <c r="B198" s="17"/>
      <c r="C198" s="17"/>
      <c r="D198" s="17"/>
      <c r="E198" s="17"/>
      <c r="F198" s="17"/>
      <c r="G198" s="17"/>
      <c r="H198" s="17"/>
      <c r="I198" s="17"/>
      <c r="J198" s="31"/>
      <c r="K198" s="17"/>
      <c r="L198" s="17"/>
      <c r="M198" s="31"/>
    </row>
    <row r="199" spans="1:13">
      <c r="A199" s="16"/>
      <c r="B199" s="17"/>
      <c r="C199" s="17"/>
      <c r="D199" s="17"/>
      <c r="E199" s="17"/>
      <c r="F199" s="17"/>
      <c r="G199" s="17"/>
      <c r="H199" s="17"/>
      <c r="I199" s="17"/>
      <c r="J199" s="31"/>
      <c r="K199" s="17"/>
      <c r="L199" s="17"/>
      <c r="M199" s="31"/>
    </row>
    <row r="200" spans="1:13">
      <c r="A200" s="16"/>
      <c r="B200" s="17"/>
      <c r="C200" s="17"/>
      <c r="D200" s="17"/>
      <c r="E200" s="17"/>
      <c r="F200" s="17"/>
      <c r="G200" s="17"/>
      <c r="H200" s="17"/>
      <c r="I200" s="17"/>
      <c r="J200" s="31"/>
      <c r="K200" s="17"/>
      <c r="L200" s="17"/>
      <c r="M200" s="31"/>
    </row>
    <row r="201" spans="1:13">
      <c r="A201" s="16"/>
      <c r="B201" s="17"/>
      <c r="C201" s="17"/>
      <c r="D201" s="17"/>
      <c r="E201" s="17"/>
      <c r="F201" s="17"/>
      <c r="G201" s="17"/>
      <c r="H201" s="17"/>
      <c r="I201" s="17"/>
      <c r="J201" s="31"/>
      <c r="K201" s="17"/>
      <c r="L201" s="17"/>
      <c r="M201" s="31"/>
    </row>
    <row r="202" spans="1:13">
      <c r="A202" s="16"/>
      <c r="B202" s="17"/>
      <c r="C202" s="17"/>
      <c r="D202" s="17"/>
      <c r="E202" s="17"/>
      <c r="F202" s="17"/>
      <c r="G202" s="17"/>
      <c r="H202" s="17"/>
      <c r="I202" s="17"/>
      <c r="J202" s="31"/>
      <c r="K202" s="17"/>
      <c r="L202" s="17"/>
      <c r="M202" s="31"/>
    </row>
    <row r="203" spans="1:13">
      <c r="A203" s="16"/>
      <c r="B203" s="17"/>
      <c r="C203" s="17"/>
      <c r="D203" s="17"/>
      <c r="E203" s="17"/>
      <c r="F203" s="17"/>
      <c r="G203" s="17"/>
      <c r="H203" s="17"/>
      <c r="I203" s="17"/>
      <c r="J203" s="31"/>
      <c r="K203" s="17"/>
      <c r="L203" s="17"/>
      <c r="M203" s="31"/>
    </row>
    <row r="204" spans="1:13">
      <c r="A204" s="16"/>
      <c r="B204" s="17"/>
      <c r="C204" s="17"/>
      <c r="D204" s="17"/>
      <c r="E204" s="17"/>
      <c r="F204" s="17"/>
      <c r="G204" s="17"/>
      <c r="H204" s="17"/>
      <c r="I204" s="17"/>
      <c r="J204" s="31"/>
      <c r="K204" s="17"/>
      <c r="L204" s="17"/>
      <c r="M204" s="31"/>
    </row>
    <row r="205" spans="1:13">
      <c r="A205" s="16"/>
      <c r="B205" s="17"/>
      <c r="C205" s="17"/>
      <c r="D205" s="17"/>
      <c r="E205" s="17"/>
      <c r="F205" s="17"/>
      <c r="G205" s="17"/>
      <c r="H205" s="17"/>
      <c r="I205" s="17"/>
      <c r="J205" s="31"/>
      <c r="K205" s="17"/>
      <c r="L205" s="17"/>
      <c r="M205" s="31"/>
    </row>
    <row r="206" spans="1:13">
      <c r="A206" s="16"/>
      <c r="B206" s="17"/>
      <c r="C206" s="17"/>
      <c r="D206" s="17"/>
      <c r="E206" s="17"/>
      <c r="F206" s="17"/>
      <c r="G206" s="17"/>
      <c r="H206" s="17"/>
      <c r="I206" s="17"/>
      <c r="J206" s="31"/>
      <c r="K206" s="17"/>
      <c r="L206" s="17"/>
      <c r="M206" s="31"/>
    </row>
    <row r="207" spans="1:13">
      <c r="A207" s="16"/>
      <c r="B207" s="17"/>
      <c r="C207" s="17"/>
      <c r="D207" s="17"/>
      <c r="E207" s="17"/>
      <c r="F207" s="17"/>
      <c r="G207" s="17"/>
      <c r="H207" s="17"/>
      <c r="I207" s="17"/>
      <c r="J207" s="31"/>
      <c r="K207" s="17"/>
      <c r="L207" s="17"/>
      <c r="M207" s="31"/>
    </row>
    <row r="208" spans="1:13">
      <c r="A208" s="16"/>
      <c r="B208" s="17"/>
      <c r="C208" s="17"/>
      <c r="D208" s="17"/>
      <c r="E208" s="17"/>
      <c r="F208" s="17"/>
      <c r="G208" s="17"/>
      <c r="H208" s="17"/>
      <c r="I208" s="17"/>
      <c r="J208" s="31"/>
      <c r="K208" s="17"/>
      <c r="L208" s="17"/>
      <c r="M208" s="31"/>
    </row>
    <row r="209" spans="1:13">
      <c r="A209" s="16"/>
      <c r="B209" s="17"/>
      <c r="C209" s="17"/>
      <c r="D209" s="17"/>
      <c r="E209" s="17"/>
      <c r="F209" s="17"/>
      <c r="G209" s="17"/>
      <c r="H209" s="17"/>
      <c r="I209" s="17"/>
      <c r="J209" s="31"/>
      <c r="K209" s="17"/>
      <c r="L209" s="17"/>
      <c r="M209" s="31"/>
    </row>
    <row r="210" spans="1:13">
      <c r="A210" s="16"/>
      <c r="B210" s="17"/>
      <c r="C210" s="17"/>
      <c r="D210" s="17"/>
      <c r="E210" s="17"/>
      <c r="F210" s="17"/>
      <c r="G210" s="17"/>
      <c r="H210" s="17"/>
      <c r="I210" s="17"/>
      <c r="J210" s="31"/>
      <c r="K210" s="17"/>
      <c r="L210" s="17"/>
      <c r="M210" s="31"/>
    </row>
    <row r="211" spans="1:13">
      <c r="A211" s="16"/>
      <c r="B211" s="17"/>
      <c r="C211" s="17"/>
      <c r="D211" s="17"/>
      <c r="E211" s="17"/>
      <c r="F211" s="17"/>
      <c r="G211" s="17"/>
      <c r="H211" s="17"/>
      <c r="I211" s="17"/>
      <c r="J211" s="31"/>
      <c r="K211" s="17"/>
      <c r="L211" s="17"/>
      <c r="M211" s="31"/>
    </row>
    <row r="212" spans="1:13">
      <c r="A212" s="16"/>
      <c r="B212" s="17"/>
      <c r="C212" s="17"/>
      <c r="D212" s="17"/>
      <c r="E212" s="17"/>
      <c r="F212" s="17"/>
      <c r="G212" s="17"/>
      <c r="H212" s="17"/>
      <c r="I212" s="17"/>
      <c r="J212" s="31"/>
      <c r="K212" s="17"/>
      <c r="L212" s="17"/>
      <c r="M212" s="31"/>
    </row>
    <row r="213" spans="1:13">
      <c r="A213" s="16"/>
      <c r="B213" s="17"/>
      <c r="C213" s="17"/>
      <c r="D213" s="17"/>
      <c r="E213" s="17"/>
      <c r="F213" s="17"/>
      <c r="G213" s="17"/>
      <c r="H213" s="17"/>
      <c r="I213" s="17"/>
      <c r="J213" s="31"/>
      <c r="K213" s="17"/>
      <c r="L213" s="17"/>
      <c r="M213" s="31"/>
    </row>
    <row r="214" spans="1:13">
      <c r="A214" s="16"/>
      <c r="B214" s="17"/>
      <c r="C214" s="17"/>
      <c r="D214" s="17"/>
      <c r="E214" s="17"/>
      <c r="F214" s="17"/>
      <c r="G214" s="17"/>
      <c r="H214" s="17"/>
      <c r="I214" s="17"/>
      <c r="J214" s="31"/>
      <c r="K214" s="17"/>
      <c r="L214" s="17"/>
      <c r="M214" s="31"/>
    </row>
    <row r="215" spans="1:13">
      <c r="A215" s="16"/>
      <c r="B215" s="17"/>
      <c r="C215" s="17"/>
      <c r="D215" s="17"/>
      <c r="E215" s="17"/>
      <c r="F215" s="17"/>
      <c r="G215" s="17"/>
      <c r="H215" s="17"/>
      <c r="I215" s="17"/>
      <c r="J215" s="31"/>
      <c r="K215" s="17"/>
      <c r="L215" s="17"/>
      <c r="M215" s="31"/>
    </row>
    <row r="216" spans="1:13">
      <c r="A216" s="16"/>
      <c r="B216" s="17"/>
      <c r="C216" s="17"/>
      <c r="D216" s="17"/>
      <c r="E216" s="17"/>
      <c r="F216" s="17"/>
      <c r="G216" s="17"/>
      <c r="H216" s="17"/>
      <c r="I216" s="17"/>
      <c r="J216" s="31"/>
      <c r="K216" s="17"/>
      <c r="L216" s="17"/>
      <c r="M216" s="31"/>
    </row>
    <row r="217" spans="1:13">
      <c r="A217" s="16"/>
      <c r="B217" s="17"/>
      <c r="C217" s="17"/>
      <c r="D217" s="17"/>
      <c r="E217" s="17"/>
      <c r="F217" s="17"/>
      <c r="G217" s="17"/>
      <c r="H217" s="17"/>
      <c r="I217" s="17"/>
      <c r="J217" s="31"/>
      <c r="K217" s="17"/>
      <c r="L217" s="17"/>
      <c r="M217" s="31"/>
    </row>
    <row r="218" spans="1:13">
      <c r="A218" s="16"/>
      <c r="B218" s="17"/>
      <c r="C218" s="17"/>
      <c r="D218" s="17"/>
      <c r="E218" s="17"/>
      <c r="F218" s="17"/>
      <c r="G218" s="17"/>
      <c r="H218" s="17"/>
      <c r="I218" s="17"/>
      <c r="J218" s="31"/>
      <c r="K218" s="17"/>
      <c r="L218" s="17"/>
      <c r="M218" s="31"/>
    </row>
    <row r="219" spans="1:13">
      <c r="A219" s="16"/>
      <c r="B219" s="17"/>
      <c r="C219" s="17"/>
      <c r="D219" s="17"/>
      <c r="E219" s="17"/>
      <c r="F219" s="17"/>
      <c r="G219" s="17"/>
      <c r="H219" s="17"/>
      <c r="I219" s="17"/>
      <c r="J219" s="31"/>
      <c r="K219" s="17"/>
      <c r="L219" s="17"/>
      <c r="M219" s="31"/>
    </row>
    <row r="220" spans="1:13">
      <c r="A220" s="16"/>
      <c r="B220" s="17"/>
      <c r="C220" s="17"/>
      <c r="D220" s="17"/>
      <c r="E220" s="17"/>
      <c r="F220" s="17"/>
      <c r="G220" s="17"/>
      <c r="H220" s="17"/>
      <c r="I220" s="17"/>
      <c r="J220" s="31"/>
      <c r="K220" s="17"/>
      <c r="L220" s="17"/>
      <c r="M220" s="31"/>
    </row>
    <row r="221" spans="1:13">
      <c r="A221" s="16"/>
      <c r="B221" s="17"/>
      <c r="C221" s="17"/>
      <c r="D221" s="17"/>
      <c r="E221" s="17"/>
      <c r="F221" s="17"/>
      <c r="G221" s="17"/>
      <c r="H221" s="17"/>
      <c r="I221" s="17"/>
      <c r="J221" s="31"/>
      <c r="K221" s="17"/>
      <c r="L221" s="17"/>
      <c r="M221" s="31"/>
    </row>
    <row r="222" spans="1:13">
      <c r="A222" s="16"/>
      <c r="B222" s="17"/>
      <c r="C222" s="17"/>
      <c r="D222" s="17"/>
      <c r="E222" s="17"/>
      <c r="F222" s="17"/>
      <c r="G222" s="17"/>
      <c r="H222" s="17"/>
      <c r="I222" s="17"/>
      <c r="J222" s="31"/>
      <c r="K222" s="17"/>
      <c r="L222" s="17"/>
      <c r="M222" s="31"/>
    </row>
    <row r="223" spans="1:13">
      <c r="A223" s="16"/>
      <c r="B223" s="17"/>
      <c r="C223" s="17"/>
      <c r="D223" s="17"/>
      <c r="E223" s="17"/>
      <c r="F223" s="17"/>
      <c r="G223" s="17"/>
      <c r="H223" s="17"/>
      <c r="I223" s="17"/>
      <c r="J223" s="31"/>
      <c r="K223" s="17"/>
      <c r="L223" s="17"/>
      <c r="M223" s="31"/>
    </row>
    <row r="224" spans="1:13">
      <c r="A224" s="16"/>
      <c r="B224" s="17"/>
      <c r="C224" s="17"/>
      <c r="D224" s="17"/>
      <c r="E224" s="17"/>
      <c r="F224" s="17"/>
      <c r="G224" s="17"/>
      <c r="H224" s="17"/>
      <c r="I224" s="17"/>
      <c r="J224" s="31"/>
      <c r="K224" s="17"/>
      <c r="L224" s="17"/>
      <c r="M224" s="31"/>
    </row>
    <row r="225" spans="1:13">
      <c r="A225" s="16"/>
      <c r="B225" s="17"/>
      <c r="C225" s="17"/>
      <c r="D225" s="17"/>
      <c r="E225" s="17"/>
      <c r="F225" s="17"/>
      <c r="G225" s="17"/>
      <c r="H225" s="17"/>
      <c r="I225" s="17"/>
      <c r="J225" s="31"/>
      <c r="K225" s="17"/>
      <c r="L225" s="17"/>
      <c r="M225" s="31"/>
    </row>
    <row r="226" spans="1:13">
      <c r="A226" s="16"/>
      <c r="B226" s="17"/>
      <c r="C226" s="17"/>
      <c r="D226" s="17"/>
      <c r="E226" s="17"/>
      <c r="F226" s="17"/>
      <c r="G226" s="17"/>
      <c r="H226" s="17"/>
      <c r="I226" s="17"/>
      <c r="J226" s="31"/>
      <c r="K226" s="17"/>
      <c r="L226" s="17"/>
      <c r="M226" s="31"/>
    </row>
    <row r="227" spans="1:13">
      <c r="A227" s="16"/>
      <c r="B227" s="17"/>
      <c r="C227" s="17"/>
      <c r="D227" s="17"/>
      <c r="E227" s="17"/>
      <c r="F227" s="17"/>
      <c r="G227" s="17"/>
      <c r="H227" s="17"/>
      <c r="I227" s="17"/>
      <c r="J227" s="31"/>
      <c r="K227" s="17"/>
      <c r="L227" s="17"/>
      <c r="M227" s="31"/>
    </row>
    <row r="228" spans="1:13">
      <c r="A228" s="16"/>
      <c r="B228" s="17"/>
      <c r="C228" s="17"/>
      <c r="D228" s="17"/>
      <c r="E228" s="17"/>
      <c r="F228" s="17"/>
      <c r="G228" s="17"/>
      <c r="H228" s="17"/>
      <c r="I228" s="17"/>
      <c r="J228" s="31"/>
      <c r="K228" s="17"/>
      <c r="L228" s="17"/>
      <c r="M228" s="31"/>
    </row>
    <row r="229" spans="1:13">
      <c r="A229" s="16"/>
      <c r="B229" s="17"/>
      <c r="C229" s="17"/>
      <c r="D229" s="17"/>
      <c r="E229" s="17"/>
      <c r="F229" s="17"/>
      <c r="G229" s="17"/>
      <c r="H229" s="17"/>
      <c r="I229" s="17"/>
      <c r="J229" s="31"/>
      <c r="K229" s="17"/>
      <c r="L229" s="17"/>
      <c r="M229" s="31"/>
    </row>
    <row r="230" spans="1:13">
      <c r="A230" s="16"/>
      <c r="B230" s="17"/>
      <c r="C230" s="17"/>
      <c r="D230" s="17"/>
      <c r="E230" s="17"/>
      <c r="F230" s="17"/>
      <c r="G230" s="17"/>
      <c r="H230" s="17"/>
      <c r="I230" s="17"/>
      <c r="J230" s="31"/>
      <c r="K230" s="17"/>
      <c r="L230" s="17"/>
      <c r="M230" s="31"/>
    </row>
    <row r="231" spans="1:13">
      <c r="A231" s="16"/>
      <c r="B231" s="17"/>
      <c r="C231" s="17"/>
      <c r="D231" s="17"/>
      <c r="E231" s="17"/>
      <c r="F231" s="17"/>
      <c r="G231" s="17"/>
      <c r="H231" s="17"/>
      <c r="I231" s="17"/>
      <c r="J231" s="31"/>
      <c r="K231" s="17"/>
      <c r="L231" s="17"/>
      <c r="M231" s="31"/>
    </row>
    <row r="232" spans="1:13">
      <c r="A232" s="16"/>
      <c r="B232" s="17"/>
      <c r="C232" s="17"/>
      <c r="D232" s="17"/>
      <c r="E232" s="17"/>
      <c r="F232" s="17"/>
      <c r="G232" s="17"/>
      <c r="H232" s="17"/>
      <c r="I232" s="17"/>
      <c r="J232" s="31"/>
      <c r="K232" s="17"/>
      <c r="L232" s="17"/>
      <c r="M232" s="31"/>
    </row>
    <row r="233" spans="1:13">
      <c r="A233" s="16"/>
      <c r="B233" s="17"/>
      <c r="C233" s="17"/>
      <c r="D233" s="17"/>
      <c r="E233" s="17"/>
      <c r="F233" s="17"/>
      <c r="G233" s="17"/>
      <c r="H233" s="17"/>
      <c r="I233" s="17"/>
      <c r="J233" s="31"/>
      <c r="K233" s="17"/>
      <c r="L233" s="17"/>
      <c r="M233" s="31"/>
    </row>
    <row r="234" spans="1:13">
      <c r="A234" s="16"/>
      <c r="B234" s="17"/>
      <c r="C234" s="17"/>
      <c r="D234" s="17"/>
      <c r="E234" s="17"/>
      <c r="F234" s="17"/>
      <c r="G234" s="17"/>
      <c r="H234" s="17"/>
      <c r="I234" s="17"/>
      <c r="J234" s="31"/>
      <c r="K234" s="17"/>
      <c r="L234" s="17"/>
      <c r="M234" s="31"/>
    </row>
    <row r="235" spans="1:13">
      <c r="A235" s="16"/>
      <c r="B235" s="17"/>
      <c r="C235" s="17"/>
      <c r="D235" s="17"/>
      <c r="E235" s="17"/>
      <c r="F235" s="17"/>
      <c r="G235" s="17"/>
      <c r="H235" s="17"/>
      <c r="I235" s="17"/>
      <c r="J235" s="31"/>
      <c r="K235" s="17"/>
      <c r="L235" s="17"/>
      <c r="M235" s="31"/>
    </row>
    <row r="236" spans="1:13">
      <c r="A236" s="16"/>
      <c r="B236" s="17"/>
      <c r="C236" s="17"/>
      <c r="D236" s="17"/>
      <c r="E236" s="17"/>
      <c r="F236" s="17"/>
      <c r="G236" s="17"/>
      <c r="H236" s="17"/>
      <c r="I236" s="17"/>
      <c r="J236" s="31"/>
      <c r="K236" s="17"/>
      <c r="L236" s="17"/>
      <c r="M236" s="31"/>
    </row>
    <row r="237" spans="1:13">
      <c r="A237" s="16"/>
      <c r="B237" s="17"/>
      <c r="C237" s="17"/>
      <c r="D237" s="17"/>
      <c r="E237" s="17"/>
      <c r="F237" s="17"/>
      <c r="G237" s="17"/>
      <c r="H237" s="17"/>
      <c r="I237" s="17"/>
      <c r="J237" s="31"/>
      <c r="K237" s="17"/>
      <c r="L237" s="17"/>
      <c r="M237" s="31"/>
    </row>
    <row r="238" spans="1:13">
      <c r="A238" s="16"/>
      <c r="B238" s="17"/>
      <c r="C238" s="17"/>
      <c r="D238" s="17"/>
      <c r="E238" s="17"/>
      <c r="F238" s="17"/>
      <c r="G238" s="17"/>
      <c r="H238" s="17"/>
      <c r="I238" s="17"/>
      <c r="J238" s="31"/>
      <c r="K238" s="17"/>
      <c r="L238" s="17"/>
      <c r="M238" s="31"/>
    </row>
    <row r="239" spans="1:13">
      <c r="A239" s="16"/>
      <c r="B239" s="17"/>
      <c r="C239" s="17"/>
      <c r="D239" s="17"/>
      <c r="E239" s="17"/>
      <c r="F239" s="17"/>
      <c r="G239" s="17"/>
      <c r="H239" s="17"/>
      <c r="I239" s="17"/>
      <c r="J239" s="31"/>
      <c r="K239" s="17"/>
      <c r="L239" s="17"/>
      <c r="M239" s="31"/>
    </row>
    <row r="240" spans="1:13">
      <c r="A240" s="16"/>
      <c r="B240" s="17"/>
      <c r="C240" s="17"/>
      <c r="D240" s="17"/>
      <c r="E240" s="17"/>
      <c r="F240" s="17"/>
      <c r="G240" s="17"/>
      <c r="H240" s="17"/>
      <c r="I240" s="17"/>
      <c r="J240" s="31"/>
      <c r="K240" s="17"/>
      <c r="L240" s="17"/>
      <c r="M240" s="31"/>
    </row>
    <row r="241" spans="1:13">
      <c r="A241" s="16"/>
      <c r="B241" s="17"/>
      <c r="C241" s="17"/>
      <c r="D241" s="17"/>
      <c r="E241" s="17"/>
      <c r="F241" s="17"/>
      <c r="G241" s="17"/>
      <c r="H241" s="17"/>
      <c r="I241" s="17"/>
      <c r="J241" s="31"/>
      <c r="K241" s="17"/>
      <c r="L241" s="17"/>
      <c r="M241" s="31"/>
    </row>
    <row r="242" spans="1:13">
      <c r="A242" s="16"/>
      <c r="B242" s="17"/>
      <c r="C242" s="17"/>
      <c r="D242" s="17"/>
      <c r="E242" s="17"/>
      <c r="F242" s="17"/>
      <c r="G242" s="17"/>
      <c r="H242" s="17"/>
      <c r="I242" s="17"/>
      <c r="J242" s="31"/>
      <c r="K242" s="17"/>
      <c r="L242" s="17"/>
      <c r="M242" s="31"/>
    </row>
    <row r="243" spans="1:13">
      <c r="A243" s="16"/>
      <c r="B243" s="17"/>
      <c r="C243" s="17"/>
      <c r="D243" s="17"/>
      <c r="E243" s="17"/>
      <c r="F243" s="17"/>
      <c r="G243" s="17"/>
      <c r="H243" s="17"/>
      <c r="I243" s="17"/>
      <c r="J243" s="31"/>
      <c r="K243" s="17"/>
      <c r="L243" s="17"/>
      <c r="M243" s="31"/>
    </row>
    <row r="244" spans="1:13">
      <c r="A244" s="16"/>
      <c r="B244" s="17"/>
      <c r="C244" s="17"/>
      <c r="D244" s="17"/>
      <c r="E244" s="17"/>
      <c r="F244" s="17"/>
      <c r="G244" s="17"/>
      <c r="H244" s="17"/>
      <c r="I244" s="17"/>
      <c r="J244" s="31"/>
      <c r="K244" s="17"/>
      <c r="L244" s="17"/>
      <c r="M244" s="31"/>
    </row>
    <row r="245" spans="1:13">
      <c r="A245" s="16"/>
      <c r="B245" s="17"/>
      <c r="C245" s="17"/>
      <c r="D245" s="17"/>
      <c r="E245" s="17"/>
      <c r="F245" s="17"/>
      <c r="G245" s="17"/>
      <c r="H245" s="17"/>
      <c r="I245" s="17"/>
      <c r="J245" s="31"/>
      <c r="K245" s="17"/>
      <c r="L245" s="17"/>
      <c r="M245" s="31"/>
    </row>
    <row r="246" spans="1:13">
      <c r="A246" s="16"/>
      <c r="B246" s="17"/>
      <c r="C246" s="17"/>
      <c r="D246" s="17"/>
      <c r="E246" s="17"/>
      <c r="F246" s="17"/>
      <c r="G246" s="17"/>
      <c r="H246" s="17"/>
      <c r="I246" s="17"/>
      <c r="J246" s="31"/>
      <c r="K246" s="17"/>
      <c r="L246" s="17"/>
      <c r="M246" s="31"/>
    </row>
    <row r="247" spans="1:13">
      <c r="A247" s="16"/>
      <c r="B247" s="17"/>
      <c r="C247" s="17"/>
      <c r="D247" s="17"/>
      <c r="E247" s="17"/>
      <c r="F247" s="17"/>
      <c r="G247" s="17"/>
      <c r="H247" s="17"/>
      <c r="I247" s="17"/>
      <c r="J247" s="31"/>
      <c r="K247" s="17"/>
      <c r="L247" s="17"/>
      <c r="M247" s="31"/>
    </row>
    <row r="248" spans="1:13">
      <c r="A248" s="16"/>
      <c r="B248" s="17"/>
      <c r="C248" s="17"/>
      <c r="D248" s="17"/>
      <c r="E248" s="17"/>
      <c r="F248" s="17"/>
      <c r="G248" s="17"/>
      <c r="H248" s="17"/>
      <c r="I248" s="17"/>
      <c r="J248" s="31"/>
      <c r="K248" s="17"/>
      <c r="L248" s="17"/>
      <c r="M248" s="31"/>
    </row>
    <row r="249" spans="1:13">
      <c r="A249" s="16"/>
      <c r="B249" s="17"/>
      <c r="C249" s="17"/>
      <c r="D249" s="17"/>
      <c r="E249" s="17"/>
      <c r="F249" s="17"/>
      <c r="G249" s="17"/>
      <c r="H249" s="17"/>
      <c r="I249" s="17"/>
      <c r="J249" s="31"/>
      <c r="K249" s="17"/>
      <c r="L249" s="17"/>
      <c r="M249" s="31"/>
    </row>
    <row r="250" spans="1:13">
      <c r="A250" s="16"/>
      <c r="B250" s="17"/>
      <c r="C250" s="17"/>
      <c r="D250" s="17"/>
      <c r="E250" s="17"/>
      <c r="F250" s="17"/>
      <c r="G250" s="17"/>
      <c r="H250" s="17"/>
      <c r="I250" s="17"/>
      <c r="J250" s="31"/>
      <c r="K250" s="17"/>
      <c r="L250" s="17"/>
      <c r="M250" s="31"/>
    </row>
    <row r="251" spans="1:13">
      <c r="A251" s="16"/>
      <c r="B251" s="17"/>
      <c r="C251" s="17"/>
      <c r="D251" s="17"/>
      <c r="E251" s="17"/>
      <c r="F251" s="17"/>
      <c r="G251" s="17"/>
      <c r="H251" s="17"/>
      <c r="I251" s="17"/>
      <c r="J251" s="31"/>
      <c r="K251" s="17"/>
      <c r="L251" s="17"/>
      <c r="M251" s="31"/>
    </row>
    <row r="252" spans="1:13">
      <c r="A252" s="16"/>
      <c r="B252" s="17"/>
      <c r="C252" s="17"/>
      <c r="D252" s="17"/>
      <c r="E252" s="17"/>
      <c r="F252" s="17"/>
      <c r="G252" s="17"/>
      <c r="H252" s="17"/>
      <c r="I252" s="17"/>
      <c r="J252" s="31"/>
      <c r="K252" s="17"/>
      <c r="L252" s="17"/>
      <c r="M252" s="31"/>
    </row>
    <row r="253" spans="1:13">
      <c r="A253" s="16"/>
      <c r="B253" s="17"/>
      <c r="C253" s="17"/>
      <c r="D253" s="17"/>
      <c r="E253" s="17"/>
      <c r="F253" s="17"/>
      <c r="G253" s="17"/>
      <c r="H253" s="17"/>
      <c r="I253" s="17"/>
      <c r="J253" s="31"/>
      <c r="K253" s="17"/>
      <c r="L253" s="17"/>
      <c r="M253" s="31"/>
    </row>
    <row r="254" spans="1:13">
      <c r="A254" s="16"/>
      <c r="B254" s="17"/>
      <c r="C254" s="17"/>
      <c r="D254" s="17"/>
      <c r="E254" s="17"/>
      <c r="F254" s="17"/>
      <c r="G254" s="17"/>
      <c r="H254" s="17"/>
      <c r="I254" s="17"/>
      <c r="J254" s="31"/>
      <c r="K254" s="17"/>
      <c r="L254" s="17"/>
      <c r="M254" s="31"/>
    </row>
    <row r="255" spans="1:13">
      <c r="A255" s="16"/>
      <c r="B255" s="17"/>
      <c r="C255" s="17"/>
      <c r="D255" s="17"/>
      <c r="E255" s="17"/>
      <c r="F255" s="17"/>
      <c r="G255" s="17"/>
      <c r="H255" s="17"/>
      <c r="I255" s="17"/>
      <c r="J255" s="31"/>
      <c r="K255" s="17"/>
      <c r="L255" s="17"/>
      <c r="M255" s="31"/>
    </row>
    <row r="256" spans="1:13">
      <c r="A256" s="16"/>
      <c r="B256" s="17"/>
      <c r="C256" s="17"/>
      <c r="D256" s="17"/>
      <c r="E256" s="17"/>
      <c r="F256" s="17"/>
      <c r="G256" s="17"/>
      <c r="H256" s="17"/>
      <c r="I256" s="17"/>
      <c r="J256" s="31"/>
      <c r="K256" s="17"/>
      <c r="L256" s="17"/>
      <c r="M256" s="31"/>
    </row>
    <row r="257" spans="1:13">
      <c r="A257" s="16"/>
      <c r="B257" s="17"/>
      <c r="C257" s="17"/>
      <c r="D257" s="17"/>
      <c r="E257" s="17"/>
      <c r="F257" s="17"/>
      <c r="G257" s="17"/>
      <c r="H257" s="17"/>
      <c r="I257" s="17"/>
      <c r="J257" s="31"/>
      <c r="K257" s="17"/>
      <c r="L257" s="17"/>
      <c r="M257" s="31"/>
    </row>
    <row r="258" spans="1:13">
      <c r="A258" s="16"/>
      <c r="B258" s="17"/>
      <c r="C258" s="17"/>
      <c r="D258" s="17"/>
      <c r="E258" s="17"/>
      <c r="F258" s="17"/>
      <c r="G258" s="17"/>
      <c r="H258" s="17"/>
      <c r="I258" s="17"/>
      <c r="J258" s="31"/>
      <c r="K258" s="17"/>
      <c r="L258" s="17"/>
      <c r="M258" s="31"/>
    </row>
    <row r="259" spans="1:13">
      <c r="A259" s="16"/>
      <c r="B259" s="17"/>
      <c r="C259" s="17"/>
      <c r="D259" s="17"/>
      <c r="E259" s="17"/>
      <c r="F259" s="17"/>
      <c r="G259" s="17"/>
      <c r="H259" s="17"/>
      <c r="I259" s="17"/>
      <c r="J259" s="31"/>
      <c r="K259" s="17"/>
      <c r="L259" s="17"/>
      <c r="M259" s="31"/>
    </row>
    <row r="260" spans="1:13">
      <c r="A260" s="16"/>
      <c r="B260" s="17"/>
      <c r="C260" s="17"/>
      <c r="D260" s="17"/>
      <c r="E260" s="17"/>
      <c r="F260" s="17"/>
      <c r="G260" s="17"/>
      <c r="H260" s="17"/>
      <c r="I260" s="17"/>
      <c r="J260" s="31"/>
      <c r="K260" s="17"/>
      <c r="L260" s="17"/>
      <c r="M260" s="31"/>
    </row>
    <row r="261" spans="1:13">
      <c r="A261" s="16"/>
      <c r="B261" s="17"/>
      <c r="C261" s="17"/>
      <c r="D261" s="17"/>
      <c r="E261" s="17"/>
      <c r="F261" s="17"/>
      <c r="G261" s="17"/>
      <c r="H261" s="17"/>
      <c r="I261" s="17"/>
      <c r="J261" s="31"/>
      <c r="K261" s="17"/>
      <c r="L261" s="17"/>
      <c r="M261" s="31"/>
    </row>
    <row r="262" spans="1:13">
      <c r="A262" s="16"/>
      <c r="B262" s="17"/>
      <c r="C262" s="17"/>
      <c r="D262" s="17"/>
      <c r="E262" s="17"/>
      <c r="F262" s="17"/>
      <c r="G262" s="17"/>
      <c r="H262" s="17"/>
      <c r="I262" s="17"/>
      <c r="J262" s="31"/>
      <c r="K262" s="17"/>
      <c r="L262" s="17"/>
      <c r="M262" s="31"/>
    </row>
    <row r="263" spans="1:13">
      <c r="A263" s="16"/>
      <c r="B263" s="17"/>
      <c r="C263" s="17"/>
      <c r="D263" s="17"/>
      <c r="E263" s="17"/>
      <c r="F263" s="17"/>
      <c r="G263" s="17"/>
      <c r="H263" s="17"/>
      <c r="I263" s="17"/>
      <c r="J263" s="31"/>
      <c r="K263" s="17"/>
      <c r="L263" s="17"/>
      <c r="M263" s="31"/>
    </row>
    <row r="264" spans="1:13">
      <c r="A264" s="16"/>
      <c r="B264" s="17"/>
      <c r="C264" s="17"/>
      <c r="D264" s="17"/>
      <c r="E264" s="17"/>
      <c r="F264" s="17"/>
      <c r="G264" s="17"/>
      <c r="H264" s="17"/>
      <c r="I264" s="17"/>
      <c r="J264" s="31"/>
      <c r="K264" s="17"/>
      <c r="L264" s="17"/>
      <c r="M264" s="31"/>
    </row>
    <row r="265" spans="1:13">
      <c r="A265" s="16"/>
      <c r="B265" s="17"/>
      <c r="C265" s="17"/>
      <c r="D265" s="17"/>
      <c r="E265" s="17"/>
      <c r="F265" s="17"/>
      <c r="G265" s="17"/>
      <c r="H265" s="17"/>
      <c r="I265" s="17"/>
      <c r="J265" s="31"/>
      <c r="K265" s="17"/>
      <c r="L265" s="17"/>
      <c r="M265" s="31"/>
    </row>
    <row r="266" spans="1:13">
      <c r="A266" s="16"/>
      <c r="B266" s="17"/>
      <c r="C266" s="17"/>
      <c r="D266" s="17"/>
      <c r="E266" s="17"/>
      <c r="F266" s="17"/>
      <c r="G266" s="17"/>
      <c r="H266" s="17"/>
      <c r="I266" s="17"/>
      <c r="J266" s="31"/>
      <c r="K266" s="17"/>
      <c r="L266" s="17"/>
      <c r="M266" s="31"/>
    </row>
    <row r="267" spans="1:13">
      <c r="A267" s="16"/>
      <c r="B267" s="17"/>
      <c r="C267" s="17"/>
      <c r="D267" s="17"/>
      <c r="E267" s="17"/>
      <c r="F267" s="17"/>
      <c r="G267" s="17"/>
      <c r="H267" s="17"/>
      <c r="I267" s="17"/>
      <c r="J267" s="31"/>
      <c r="K267" s="17"/>
      <c r="L267" s="17"/>
      <c r="M267" s="31"/>
    </row>
    <row r="268" spans="1:13">
      <c r="A268" s="16"/>
      <c r="B268" s="17"/>
      <c r="C268" s="17"/>
      <c r="D268" s="17"/>
      <c r="E268" s="17"/>
      <c r="F268" s="17"/>
      <c r="G268" s="17"/>
      <c r="H268" s="17"/>
      <c r="I268" s="17"/>
      <c r="J268" s="31"/>
      <c r="K268" s="17"/>
      <c r="L268" s="17"/>
      <c r="M268" s="31"/>
    </row>
    <row r="269" spans="1:13">
      <c r="A269" s="16"/>
      <c r="B269" s="17"/>
      <c r="C269" s="17"/>
      <c r="D269" s="17"/>
      <c r="E269" s="17"/>
      <c r="F269" s="17"/>
      <c r="G269" s="17"/>
      <c r="H269" s="17"/>
      <c r="I269" s="17"/>
      <c r="J269" s="31"/>
      <c r="K269" s="17"/>
      <c r="L269" s="17"/>
      <c r="M269" s="31"/>
    </row>
    <row r="270" spans="1:13">
      <c r="A270" s="16"/>
      <c r="B270" s="17"/>
      <c r="C270" s="17"/>
      <c r="D270" s="17"/>
      <c r="E270" s="17"/>
      <c r="F270" s="17"/>
      <c r="G270" s="17"/>
      <c r="H270" s="17"/>
      <c r="I270" s="17"/>
      <c r="J270" s="31"/>
      <c r="K270" s="17"/>
      <c r="L270" s="17"/>
      <c r="M270" s="31"/>
    </row>
    <row r="271" spans="1:13">
      <c r="A271" s="16"/>
      <c r="B271" s="17"/>
      <c r="C271" s="17"/>
      <c r="D271" s="17"/>
      <c r="E271" s="17"/>
      <c r="F271" s="17"/>
      <c r="G271" s="17"/>
      <c r="H271" s="17"/>
      <c r="I271" s="17"/>
      <c r="J271" s="31"/>
      <c r="K271" s="17"/>
      <c r="L271" s="17"/>
      <c r="M271" s="31"/>
    </row>
    <row r="272" spans="1:13">
      <c r="A272" s="16"/>
      <c r="B272" s="17"/>
      <c r="C272" s="17"/>
      <c r="D272" s="17"/>
      <c r="E272" s="17"/>
      <c r="F272" s="17"/>
      <c r="G272" s="17"/>
      <c r="H272" s="17"/>
      <c r="I272" s="17"/>
      <c r="J272" s="31"/>
      <c r="K272" s="17"/>
      <c r="L272" s="17"/>
      <c r="M272" s="31"/>
    </row>
    <row r="273" spans="1:13">
      <c r="A273" s="16"/>
      <c r="B273" s="17"/>
      <c r="C273" s="17"/>
      <c r="D273" s="17"/>
      <c r="E273" s="17"/>
      <c r="F273" s="17"/>
      <c r="G273" s="17"/>
      <c r="H273" s="17"/>
      <c r="I273" s="17"/>
      <c r="J273" s="31"/>
      <c r="K273" s="17"/>
      <c r="L273" s="17"/>
      <c r="M273" s="31"/>
    </row>
    <row r="274" spans="1:13">
      <c r="A274" s="16"/>
      <c r="B274" s="17"/>
      <c r="C274" s="17"/>
      <c r="D274" s="17"/>
      <c r="E274" s="17"/>
      <c r="F274" s="17"/>
      <c r="G274" s="17"/>
      <c r="H274" s="17"/>
      <c r="I274" s="17"/>
      <c r="J274" s="31"/>
      <c r="K274" s="17"/>
      <c r="L274" s="17"/>
      <c r="M274" s="31"/>
    </row>
    <row r="275" spans="1:13">
      <c r="A275" s="16"/>
      <c r="B275" s="17"/>
      <c r="C275" s="17"/>
      <c r="D275" s="17"/>
      <c r="E275" s="17"/>
      <c r="F275" s="17"/>
      <c r="G275" s="17"/>
      <c r="H275" s="17"/>
      <c r="I275" s="17"/>
      <c r="J275" s="31"/>
      <c r="K275" s="17"/>
      <c r="L275" s="17"/>
      <c r="M275" s="31"/>
    </row>
    <row r="276" spans="1:13">
      <c r="A276" s="16"/>
      <c r="B276" s="17"/>
      <c r="C276" s="17"/>
      <c r="D276" s="17"/>
      <c r="E276" s="17"/>
      <c r="F276" s="17"/>
      <c r="G276" s="17"/>
      <c r="H276" s="17"/>
      <c r="I276" s="17"/>
      <c r="J276" s="31"/>
      <c r="K276" s="17"/>
      <c r="L276" s="17"/>
      <c r="M276" s="31"/>
    </row>
    <row r="277" spans="1:13">
      <c r="A277" s="16"/>
      <c r="B277" s="17"/>
      <c r="C277" s="17"/>
      <c r="D277" s="17"/>
      <c r="E277" s="17"/>
      <c r="F277" s="17"/>
      <c r="G277" s="17"/>
      <c r="H277" s="17"/>
      <c r="I277" s="17"/>
      <c r="J277" s="31"/>
      <c r="K277" s="17"/>
      <c r="L277" s="17"/>
      <c r="M277" s="31"/>
    </row>
    <row r="278" spans="1:13">
      <c r="A278" s="16"/>
      <c r="B278" s="17"/>
      <c r="C278" s="17"/>
      <c r="D278" s="17"/>
      <c r="E278" s="17"/>
      <c r="F278" s="17"/>
      <c r="G278" s="17"/>
      <c r="H278" s="17"/>
      <c r="I278" s="17"/>
      <c r="J278" s="31"/>
      <c r="K278" s="17"/>
      <c r="L278" s="17"/>
      <c r="M278" s="31"/>
    </row>
    <row r="279" spans="1:13">
      <c r="A279" s="16"/>
      <c r="B279" s="17"/>
      <c r="C279" s="17"/>
      <c r="D279" s="17"/>
      <c r="E279" s="17"/>
      <c r="F279" s="17"/>
      <c r="G279" s="17"/>
      <c r="H279" s="17"/>
      <c r="I279" s="17"/>
      <c r="J279" s="31"/>
      <c r="K279" s="17"/>
      <c r="L279" s="17"/>
      <c r="M279" s="31"/>
    </row>
    <row r="280" spans="1:13">
      <c r="A280" s="16"/>
      <c r="B280" s="17"/>
      <c r="C280" s="17"/>
      <c r="D280" s="17"/>
      <c r="E280" s="17"/>
      <c r="F280" s="17"/>
      <c r="G280" s="17"/>
      <c r="H280" s="17"/>
      <c r="I280" s="17"/>
      <c r="J280" s="31"/>
      <c r="K280" s="17"/>
      <c r="L280" s="17"/>
      <c r="M280" s="31"/>
    </row>
    <row r="281" spans="1:13">
      <c r="A281" s="16"/>
      <c r="B281" s="17"/>
      <c r="C281" s="17"/>
      <c r="D281" s="17"/>
      <c r="E281" s="17"/>
      <c r="F281" s="17"/>
      <c r="G281" s="17"/>
      <c r="H281" s="17"/>
      <c r="I281" s="17"/>
      <c r="J281" s="31"/>
      <c r="K281" s="17"/>
      <c r="L281" s="17"/>
      <c r="M281" s="31"/>
    </row>
    <row r="282" spans="1:13">
      <c r="A282" s="16"/>
      <c r="B282" s="17"/>
      <c r="C282" s="17"/>
      <c r="D282" s="17"/>
      <c r="E282" s="17"/>
      <c r="F282" s="17"/>
      <c r="G282" s="17"/>
      <c r="H282" s="17"/>
      <c r="I282" s="17"/>
      <c r="J282" s="31"/>
      <c r="K282" s="17"/>
      <c r="L282" s="17"/>
      <c r="M282" s="31"/>
    </row>
    <row r="283" spans="1:13">
      <c r="A283" s="16"/>
      <c r="B283" s="17"/>
      <c r="C283" s="17"/>
      <c r="D283" s="17"/>
      <c r="E283" s="17"/>
      <c r="F283" s="17"/>
      <c r="G283" s="17"/>
      <c r="H283" s="17"/>
      <c r="I283" s="17"/>
      <c r="J283" s="31"/>
      <c r="K283" s="17"/>
      <c r="L283" s="17"/>
      <c r="M283" s="31"/>
    </row>
    <row r="284" spans="1:13">
      <c r="A284" s="16"/>
      <c r="B284" s="17"/>
      <c r="C284" s="17"/>
      <c r="D284" s="17"/>
      <c r="E284" s="17"/>
      <c r="F284" s="17"/>
      <c r="G284" s="17"/>
      <c r="H284" s="17"/>
      <c r="I284" s="17"/>
      <c r="J284" s="31"/>
      <c r="M284" s="31"/>
    </row>
    <row r="285" spans="1:13">
      <c r="A285" s="16"/>
      <c r="B285" s="17"/>
      <c r="C285" s="17"/>
      <c r="D285" s="17"/>
      <c r="E285" s="17"/>
      <c r="F285" s="17"/>
      <c r="G285" s="17"/>
      <c r="H285" s="17"/>
      <c r="I285" s="17"/>
      <c r="J285" s="31"/>
    </row>
    <row r="286" spans="1:13">
      <c r="A286" s="16"/>
      <c r="B286" s="17"/>
      <c r="C286" s="17"/>
      <c r="D286" s="17"/>
      <c r="E286" s="17"/>
      <c r="F286" s="17"/>
      <c r="G286" s="17"/>
      <c r="H286" s="17"/>
      <c r="I286" s="17"/>
      <c r="J286" s="31"/>
    </row>
    <row r="287" spans="1:13">
      <c r="A287" s="16"/>
      <c r="B287" s="17"/>
      <c r="C287" s="17"/>
      <c r="D287" s="17"/>
      <c r="E287" s="17"/>
      <c r="F287" s="17"/>
      <c r="G287" s="17"/>
      <c r="H287" s="17"/>
      <c r="I287" s="17"/>
      <c r="J287" s="31"/>
    </row>
    <row r="288" spans="1:13">
      <c r="A288" s="16"/>
      <c r="B288" s="17"/>
      <c r="C288" s="17"/>
      <c r="D288" s="17"/>
      <c r="E288" s="17"/>
      <c r="F288" s="17"/>
      <c r="G288" s="17"/>
      <c r="H288" s="17"/>
      <c r="I288" s="17"/>
      <c r="J288" s="31"/>
    </row>
    <row r="289" spans="1:9">
      <c r="A289" s="16"/>
      <c r="B289" s="17"/>
      <c r="C289" s="17"/>
      <c r="D289" s="17"/>
      <c r="E289" s="17"/>
      <c r="F289" s="17"/>
      <c r="G289" s="17"/>
      <c r="H289" s="17"/>
      <c r="I289" s="17"/>
    </row>
    <row r="290" spans="1:9">
      <c r="A290" s="16"/>
      <c r="B290" s="17"/>
      <c r="C290" s="17"/>
      <c r="D290" s="17"/>
      <c r="E290" s="17"/>
      <c r="F290" s="17"/>
      <c r="G290" s="17"/>
      <c r="H290" s="17"/>
      <c r="I290" s="17"/>
    </row>
    <row r="291" spans="1:9">
      <c r="A291" s="16"/>
      <c r="B291" s="17"/>
      <c r="C291" s="17"/>
      <c r="D291" s="17"/>
      <c r="E291" s="17"/>
      <c r="F291" s="17"/>
      <c r="G291" s="17"/>
      <c r="H291" s="17"/>
      <c r="I291" s="17"/>
    </row>
    <row r="292" spans="1:9">
      <c r="A292" s="16"/>
      <c r="B292" s="17"/>
      <c r="C292" s="17"/>
      <c r="D292" s="17"/>
      <c r="E292" s="17"/>
      <c r="F292" s="17"/>
      <c r="G292" s="17"/>
      <c r="H292" s="17"/>
      <c r="I292" s="17"/>
    </row>
    <row r="293" spans="1:9">
      <c r="A293" s="16"/>
      <c r="B293" s="17"/>
      <c r="C293" s="17"/>
      <c r="D293" s="17"/>
      <c r="E293" s="17"/>
      <c r="F293" s="17"/>
      <c r="G293" s="17"/>
      <c r="H293" s="17"/>
      <c r="I293" s="17"/>
    </row>
    <row r="294" spans="1:9">
      <c r="A294" s="16"/>
      <c r="B294" s="17"/>
      <c r="C294" s="17"/>
      <c r="D294" s="17"/>
      <c r="E294" s="17"/>
      <c r="F294" s="17"/>
      <c r="G294" s="17"/>
      <c r="H294" s="17"/>
      <c r="I294" s="17"/>
    </row>
    <row r="295" spans="1:9">
      <c r="A295" s="16"/>
      <c r="B295" s="17"/>
      <c r="C295" s="17"/>
      <c r="D295" s="17"/>
      <c r="E295" s="17"/>
      <c r="F295" s="17"/>
      <c r="G295" s="17"/>
      <c r="H295" s="17"/>
      <c r="I295" s="17"/>
    </row>
    <row r="296" spans="1:9">
      <c r="A296" s="16"/>
      <c r="B296" s="17"/>
      <c r="C296" s="17"/>
      <c r="D296" s="17"/>
      <c r="E296" s="17"/>
      <c r="F296" s="17"/>
      <c r="G296" s="17"/>
      <c r="H296" s="17"/>
      <c r="I296" s="17"/>
    </row>
    <row r="297" spans="1:9">
      <c r="A297" s="16"/>
      <c r="B297" s="17"/>
      <c r="C297" s="17"/>
      <c r="D297" s="17"/>
      <c r="E297" s="17"/>
      <c r="F297" s="17"/>
      <c r="G297" s="17"/>
      <c r="H297" s="17"/>
      <c r="I297" s="17"/>
    </row>
    <row r="298" spans="1:9">
      <c r="A298" s="16"/>
      <c r="B298" s="17"/>
      <c r="C298" s="17"/>
      <c r="D298" s="17"/>
      <c r="E298" s="17"/>
      <c r="F298" s="17"/>
      <c r="G298" s="17"/>
      <c r="H298" s="17"/>
      <c r="I298" s="17"/>
    </row>
    <row r="299" spans="1:9">
      <c r="A299" s="16"/>
      <c r="B299" s="17"/>
      <c r="C299" s="17"/>
      <c r="D299" s="17"/>
      <c r="E299" s="17"/>
      <c r="F299" s="17"/>
      <c r="G299" s="17"/>
      <c r="H299" s="17"/>
      <c r="I299" s="17"/>
    </row>
    <row r="300" spans="1:9">
      <c r="A300" s="16"/>
      <c r="B300" s="17"/>
      <c r="C300" s="17"/>
      <c r="D300" s="17"/>
      <c r="E300" s="17"/>
      <c r="F300" s="17"/>
      <c r="G300" s="17"/>
      <c r="H300" s="17"/>
      <c r="I300" s="17"/>
    </row>
    <row r="301" spans="1:9">
      <c r="A301" s="16"/>
      <c r="B301" s="17"/>
      <c r="C301" s="17"/>
      <c r="D301" s="17"/>
      <c r="E301" s="17"/>
      <c r="F301" s="17"/>
      <c r="G301" s="17"/>
      <c r="H301" s="17"/>
      <c r="I301" s="17"/>
    </row>
    <row r="302" spans="1:9">
      <c r="A302" s="16"/>
      <c r="B302" s="17"/>
      <c r="C302" s="17"/>
      <c r="D302" s="17"/>
      <c r="E302" s="17"/>
      <c r="F302" s="17"/>
      <c r="G302" s="17"/>
      <c r="H302" s="17"/>
      <c r="I302" s="17"/>
    </row>
    <row r="303" spans="1:9">
      <c r="A303" s="16"/>
      <c r="B303" s="17"/>
      <c r="C303" s="17"/>
      <c r="D303" s="17"/>
      <c r="E303" s="17"/>
      <c r="F303" s="17"/>
      <c r="G303" s="17"/>
      <c r="H303" s="17"/>
      <c r="I303" s="17"/>
    </row>
    <row r="304" spans="1:9">
      <c r="A304" s="16"/>
      <c r="B304" s="17"/>
      <c r="C304" s="17"/>
      <c r="D304" s="17"/>
      <c r="E304" s="17"/>
      <c r="F304" s="17"/>
      <c r="G304" s="17"/>
      <c r="H304" s="17"/>
      <c r="I304" s="17"/>
    </row>
    <row r="305" spans="1:9">
      <c r="A305" s="16"/>
      <c r="B305" s="17"/>
      <c r="C305" s="17"/>
      <c r="D305" s="17"/>
      <c r="E305" s="17"/>
      <c r="F305" s="17"/>
      <c r="G305" s="17"/>
      <c r="H305" s="17"/>
      <c r="I305" s="17"/>
    </row>
    <row r="306" spans="1:9">
      <c r="A306" s="16"/>
      <c r="B306" s="17"/>
      <c r="C306" s="17"/>
      <c r="D306" s="17"/>
      <c r="E306" s="17"/>
      <c r="F306" s="17"/>
      <c r="G306" s="17"/>
      <c r="H306" s="17"/>
      <c r="I306" s="17"/>
    </row>
    <row r="307" spans="1:9">
      <c r="A307" s="16"/>
      <c r="B307" s="17"/>
      <c r="C307" s="17"/>
      <c r="D307" s="17"/>
      <c r="E307" s="17"/>
      <c r="F307" s="17"/>
      <c r="G307" s="17"/>
      <c r="H307" s="17"/>
      <c r="I307" s="17"/>
    </row>
    <row r="308" spans="1:9">
      <c r="A308" s="16"/>
      <c r="B308" s="17"/>
      <c r="C308" s="17"/>
      <c r="D308" s="17"/>
      <c r="E308" s="17"/>
      <c r="F308" s="17"/>
      <c r="G308" s="17"/>
      <c r="H308" s="17"/>
      <c r="I308" s="17"/>
    </row>
    <row r="309" spans="1:9">
      <c r="A309" s="16"/>
      <c r="B309" s="17"/>
      <c r="C309" s="17"/>
      <c r="D309" s="17"/>
      <c r="E309" s="17"/>
      <c r="F309" s="17"/>
      <c r="G309" s="17"/>
      <c r="H309" s="17"/>
      <c r="I309" s="17"/>
    </row>
    <row r="310" spans="1:9">
      <c r="A310" s="16"/>
      <c r="B310" s="17"/>
      <c r="C310" s="17"/>
      <c r="D310" s="17"/>
      <c r="E310" s="17"/>
      <c r="F310" s="17"/>
      <c r="G310" s="17"/>
      <c r="H310" s="17"/>
      <c r="I310" s="17"/>
    </row>
    <row r="311" spans="1:9">
      <c r="A311" s="16"/>
      <c r="B311" s="17"/>
      <c r="C311" s="17"/>
      <c r="D311" s="17"/>
      <c r="E311" s="17"/>
      <c r="F311" s="17"/>
      <c r="G311" s="17"/>
      <c r="H311" s="17"/>
      <c r="I311" s="17"/>
    </row>
    <row r="312" spans="1:9">
      <c r="A312" s="16"/>
      <c r="B312" s="17"/>
      <c r="C312" s="17"/>
      <c r="D312" s="17"/>
      <c r="E312" s="17"/>
      <c r="F312" s="17"/>
      <c r="G312" s="17"/>
      <c r="H312" s="17"/>
      <c r="I312" s="17"/>
    </row>
    <row r="313" spans="1:9">
      <c r="A313" s="16"/>
      <c r="B313" s="17"/>
      <c r="C313" s="17"/>
      <c r="D313" s="17"/>
      <c r="E313" s="17"/>
      <c r="F313" s="17"/>
      <c r="G313" s="17"/>
      <c r="H313" s="17"/>
      <c r="I313" s="17"/>
    </row>
    <row r="314" spans="1:9">
      <c r="A314" s="16"/>
      <c r="B314" s="17"/>
      <c r="C314" s="17"/>
      <c r="D314" s="17"/>
      <c r="E314" s="17"/>
      <c r="F314" s="17"/>
      <c r="G314" s="17"/>
      <c r="H314" s="17"/>
      <c r="I314" s="17"/>
    </row>
    <row r="315" spans="1:9">
      <c r="A315" s="16"/>
      <c r="B315" s="17"/>
      <c r="C315" s="17"/>
      <c r="D315" s="17"/>
      <c r="E315" s="17"/>
      <c r="F315" s="17"/>
      <c r="G315" s="17"/>
      <c r="H315" s="17"/>
      <c r="I315" s="17"/>
    </row>
    <row r="316" spans="1:9">
      <c r="A316" s="16"/>
      <c r="B316" s="17"/>
      <c r="C316" s="17"/>
      <c r="D316" s="17"/>
      <c r="E316" s="17"/>
      <c r="F316" s="17"/>
      <c r="G316" s="17"/>
      <c r="H316" s="17"/>
      <c r="I316" s="17"/>
    </row>
    <row r="317" spans="1:9">
      <c r="A317" s="16"/>
      <c r="B317" s="17"/>
      <c r="C317" s="17"/>
      <c r="D317" s="17"/>
      <c r="E317" s="17"/>
      <c r="F317" s="17"/>
      <c r="G317" s="17"/>
      <c r="H317" s="17"/>
      <c r="I317" s="17"/>
    </row>
    <row r="318" spans="1:9">
      <c r="A318" s="16"/>
      <c r="B318" s="17"/>
      <c r="C318" s="17"/>
      <c r="D318" s="17"/>
      <c r="E318" s="17"/>
      <c r="F318" s="17"/>
      <c r="G318" s="17"/>
      <c r="H318" s="17"/>
      <c r="I318" s="17"/>
    </row>
    <row r="319" spans="1:9">
      <c r="A319" s="16"/>
      <c r="B319" s="17"/>
      <c r="C319" s="17"/>
      <c r="D319" s="17"/>
      <c r="E319" s="17"/>
      <c r="F319" s="17"/>
      <c r="G319" s="17"/>
      <c r="H319" s="17"/>
      <c r="I319" s="17"/>
    </row>
    <row r="320" spans="1:9">
      <c r="A320" s="16"/>
      <c r="B320" s="17"/>
      <c r="C320" s="17"/>
      <c r="D320" s="17"/>
      <c r="E320" s="17"/>
      <c r="F320" s="17"/>
      <c r="G320" s="17"/>
      <c r="H320" s="17"/>
      <c r="I320" s="17"/>
    </row>
    <row r="321" spans="1:9">
      <c r="A321" s="16"/>
      <c r="B321" s="17"/>
      <c r="C321" s="17"/>
      <c r="D321" s="17"/>
      <c r="E321" s="17"/>
      <c r="F321" s="17"/>
      <c r="G321" s="17"/>
      <c r="H321" s="17"/>
      <c r="I321" s="17"/>
    </row>
    <row r="322" spans="1:9">
      <c r="A322" s="16"/>
      <c r="B322" s="17"/>
      <c r="C322" s="17"/>
      <c r="D322" s="17"/>
      <c r="E322" s="17"/>
      <c r="F322" s="17"/>
      <c r="G322" s="17"/>
      <c r="H322" s="17"/>
      <c r="I322" s="17"/>
    </row>
    <row r="323" spans="1:9">
      <c r="A323" s="16"/>
      <c r="B323" s="17"/>
      <c r="C323" s="17"/>
      <c r="D323" s="17"/>
      <c r="E323" s="17"/>
      <c r="F323" s="17"/>
      <c r="G323" s="17"/>
      <c r="H323" s="17"/>
      <c r="I323" s="17"/>
    </row>
    <row r="324" spans="1:9">
      <c r="A324" s="16"/>
      <c r="B324" s="17"/>
      <c r="C324" s="17"/>
      <c r="D324" s="17"/>
      <c r="E324" s="17"/>
      <c r="F324" s="17"/>
      <c r="G324" s="17"/>
      <c r="H324" s="17"/>
      <c r="I324" s="17"/>
    </row>
    <row r="325" spans="1:9">
      <c r="A325" s="16"/>
      <c r="B325" s="17"/>
      <c r="C325" s="17"/>
      <c r="D325" s="17"/>
      <c r="E325" s="17"/>
      <c r="F325" s="17"/>
      <c r="G325" s="17"/>
      <c r="H325" s="17"/>
      <c r="I325" s="17"/>
    </row>
    <row r="326" spans="1:9">
      <c r="A326" s="16"/>
      <c r="B326" s="17"/>
      <c r="C326" s="17"/>
      <c r="D326" s="17"/>
      <c r="E326" s="17"/>
      <c r="F326" s="17"/>
      <c r="G326" s="17"/>
      <c r="H326" s="17"/>
      <c r="I326" s="17"/>
    </row>
    <row r="327" spans="1:9">
      <c r="A327" s="16"/>
      <c r="B327" s="17"/>
      <c r="C327" s="17"/>
      <c r="D327" s="17"/>
      <c r="E327" s="17"/>
      <c r="F327" s="17"/>
      <c r="G327" s="17"/>
      <c r="H327" s="17"/>
      <c r="I327" s="17"/>
    </row>
    <row r="328" spans="1:9">
      <c r="A328" s="16"/>
      <c r="B328" s="17"/>
      <c r="C328" s="17"/>
      <c r="D328" s="17"/>
      <c r="E328" s="17"/>
      <c r="F328" s="17"/>
      <c r="G328" s="17"/>
      <c r="H328" s="17"/>
      <c r="I328" s="17"/>
    </row>
    <row r="329" spans="1:9">
      <c r="A329" s="16"/>
      <c r="B329" s="17"/>
      <c r="C329" s="17"/>
      <c r="D329" s="17"/>
      <c r="E329" s="17"/>
      <c r="F329" s="17"/>
      <c r="G329" s="17"/>
      <c r="H329" s="17"/>
      <c r="I329" s="17"/>
    </row>
    <row r="330" spans="1:9">
      <c r="A330" s="16"/>
      <c r="B330" s="17"/>
      <c r="C330" s="17"/>
      <c r="D330" s="17"/>
      <c r="E330" s="17"/>
      <c r="F330" s="17"/>
      <c r="G330" s="17"/>
      <c r="H330" s="17"/>
      <c r="I330" s="17"/>
    </row>
    <row r="331" spans="1:9">
      <c r="A331" s="16"/>
      <c r="B331" s="17"/>
      <c r="C331" s="17"/>
      <c r="D331" s="17"/>
      <c r="E331" s="17"/>
      <c r="F331" s="17"/>
      <c r="G331" s="17"/>
      <c r="H331" s="17"/>
      <c r="I331" s="17"/>
    </row>
    <row r="332" spans="1:9">
      <c r="A332" s="16"/>
      <c r="B332" s="17"/>
      <c r="C332" s="17"/>
      <c r="D332" s="17"/>
      <c r="E332" s="17"/>
      <c r="F332" s="17"/>
      <c r="G332" s="17"/>
      <c r="H332" s="17"/>
      <c r="I332" s="17"/>
    </row>
    <row r="333" spans="1:9">
      <c r="A333" s="16"/>
      <c r="B333" s="17"/>
      <c r="C333" s="17"/>
      <c r="D333" s="17"/>
      <c r="E333" s="17"/>
      <c r="F333" s="17"/>
      <c r="G333" s="17"/>
      <c r="H333" s="17"/>
      <c r="I333" s="17"/>
    </row>
    <row r="334" spans="1:9">
      <c r="A334" s="16"/>
      <c r="B334" s="17"/>
      <c r="C334" s="17"/>
      <c r="D334" s="17"/>
      <c r="E334" s="17"/>
      <c r="F334" s="17"/>
      <c r="G334" s="17"/>
      <c r="H334" s="17"/>
      <c r="I334" s="17"/>
    </row>
    <row r="335" spans="1:9">
      <c r="A335" s="16"/>
      <c r="B335" s="17"/>
      <c r="C335" s="17"/>
      <c r="D335" s="17"/>
      <c r="E335" s="17"/>
      <c r="F335" s="17"/>
      <c r="G335" s="17"/>
      <c r="H335" s="17"/>
      <c r="I335" s="17"/>
    </row>
    <row r="336" spans="1:9">
      <c r="A336" s="16"/>
      <c r="B336" s="17"/>
      <c r="C336" s="17"/>
      <c r="D336" s="17"/>
      <c r="E336" s="17"/>
      <c r="F336" s="17"/>
      <c r="G336" s="17"/>
      <c r="H336" s="17"/>
      <c r="I336" s="17"/>
    </row>
    <row r="337" spans="1:9">
      <c r="A337" s="16"/>
      <c r="B337" s="17"/>
      <c r="C337" s="17"/>
      <c r="D337" s="17"/>
      <c r="E337" s="17"/>
      <c r="F337" s="17"/>
      <c r="G337" s="17"/>
      <c r="H337" s="17"/>
      <c r="I337" s="17"/>
    </row>
    <row r="338" spans="1:9">
      <c r="A338" s="16"/>
      <c r="B338" s="17"/>
      <c r="C338" s="17"/>
      <c r="D338" s="17"/>
      <c r="E338" s="17"/>
      <c r="F338" s="17"/>
      <c r="G338" s="17"/>
      <c r="H338" s="17"/>
      <c r="I338" s="17"/>
    </row>
    <row r="339" spans="1:9">
      <c r="A339" s="16"/>
      <c r="B339" s="17"/>
      <c r="C339" s="17"/>
      <c r="D339" s="17"/>
      <c r="E339" s="17"/>
      <c r="F339" s="17"/>
      <c r="G339" s="17"/>
      <c r="H339" s="17"/>
      <c r="I339" s="17"/>
    </row>
    <row r="340" spans="1:9">
      <c r="A340" s="16"/>
      <c r="B340" s="17"/>
      <c r="C340" s="17"/>
      <c r="D340" s="17"/>
      <c r="E340" s="17"/>
      <c r="F340" s="17"/>
      <c r="G340" s="17"/>
      <c r="H340" s="17"/>
      <c r="I340" s="17"/>
    </row>
    <row r="341" spans="1:9">
      <c r="A341" s="16"/>
      <c r="B341" s="17"/>
      <c r="C341" s="17"/>
      <c r="D341" s="17"/>
      <c r="E341" s="17"/>
      <c r="F341" s="17"/>
      <c r="G341" s="17"/>
      <c r="H341" s="17"/>
      <c r="I341" s="17"/>
    </row>
    <row r="342" spans="1:9">
      <c r="A342" s="16"/>
      <c r="B342" s="17"/>
      <c r="C342" s="17"/>
      <c r="D342" s="17"/>
      <c r="E342" s="17"/>
      <c r="F342" s="17"/>
      <c r="G342" s="17"/>
      <c r="H342" s="17"/>
      <c r="I342" s="17"/>
    </row>
    <row r="343" spans="1:9">
      <c r="A343" s="16"/>
      <c r="B343" s="17"/>
      <c r="C343" s="17"/>
      <c r="D343" s="17"/>
      <c r="E343" s="17"/>
      <c r="F343" s="17"/>
      <c r="G343" s="17"/>
      <c r="H343" s="17"/>
      <c r="I343" s="17"/>
    </row>
    <row r="344" spans="1:9">
      <c r="A344" s="16"/>
      <c r="B344" s="17"/>
      <c r="C344" s="17"/>
      <c r="D344" s="17"/>
      <c r="E344" s="17"/>
      <c r="F344" s="17"/>
      <c r="G344" s="17"/>
      <c r="H344" s="17"/>
      <c r="I344" s="17"/>
    </row>
    <row r="345" spans="1:9">
      <c r="A345" s="16"/>
      <c r="B345" s="17"/>
      <c r="C345" s="17"/>
      <c r="D345" s="17"/>
      <c r="E345" s="17"/>
      <c r="F345" s="17"/>
      <c r="G345" s="17"/>
      <c r="H345" s="17"/>
      <c r="I345" s="17"/>
    </row>
    <row r="346" spans="1:9">
      <c r="A346" s="16"/>
      <c r="B346" s="17"/>
      <c r="C346" s="17"/>
      <c r="D346" s="17"/>
      <c r="E346" s="17"/>
      <c r="F346" s="17"/>
      <c r="G346" s="17"/>
      <c r="H346" s="17"/>
      <c r="I346" s="17"/>
    </row>
    <row r="347" spans="1:9">
      <c r="A347" s="16"/>
      <c r="B347" s="17"/>
      <c r="C347" s="17"/>
      <c r="D347" s="17"/>
      <c r="E347" s="17"/>
      <c r="F347" s="17"/>
      <c r="G347" s="17"/>
      <c r="H347" s="17"/>
      <c r="I347" s="17"/>
    </row>
    <row r="348" spans="1:9">
      <c r="A348" s="16"/>
      <c r="B348" s="17"/>
      <c r="C348" s="17"/>
      <c r="D348" s="17"/>
      <c r="E348" s="17"/>
      <c r="F348" s="17"/>
      <c r="G348" s="17"/>
      <c r="H348" s="17"/>
      <c r="I348" s="17"/>
    </row>
    <row r="349" spans="1:9">
      <c r="A349" s="16"/>
      <c r="B349" s="17"/>
      <c r="C349" s="17"/>
      <c r="D349" s="17"/>
      <c r="E349" s="17"/>
      <c r="F349" s="17"/>
      <c r="G349" s="17"/>
      <c r="H349" s="17"/>
      <c r="I349" s="17"/>
    </row>
    <row r="350" spans="1:9">
      <c r="A350" s="16"/>
      <c r="B350" s="17"/>
      <c r="C350" s="17"/>
      <c r="D350" s="17"/>
      <c r="E350" s="17"/>
      <c r="F350" s="17"/>
      <c r="G350" s="17"/>
      <c r="H350" s="17"/>
      <c r="I350" s="17"/>
    </row>
    <row r="351" spans="1:9">
      <c r="A351" s="16"/>
      <c r="B351" s="17"/>
      <c r="C351" s="17"/>
      <c r="D351" s="17"/>
      <c r="E351" s="17"/>
      <c r="F351" s="17"/>
      <c r="G351" s="17"/>
      <c r="H351" s="17"/>
      <c r="I351" s="17"/>
    </row>
    <row r="352" spans="1:9">
      <c r="A352" s="16"/>
      <c r="B352" s="17"/>
      <c r="C352" s="17"/>
      <c r="D352" s="17"/>
      <c r="E352" s="17"/>
      <c r="F352" s="17"/>
      <c r="G352" s="17"/>
      <c r="H352" s="17"/>
      <c r="I352" s="17"/>
    </row>
    <row r="353" spans="1:9">
      <c r="A353" s="16"/>
      <c r="B353" s="17"/>
      <c r="C353" s="17"/>
      <c r="D353" s="17"/>
      <c r="E353" s="17"/>
      <c r="F353" s="17"/>
      <c r="G353" s="17"/>
      <c r="H353" s="17"/>
      <c r="I353" s="17"/>
    </row>
    <row r="354" spans="1:9">
      <c r="A354" s="16"/>
      <c r="B354" s="17"/>
      <c r="C354" s="17"/>
      <c r="D354" s="17"/>
      <c r="E354" s="17"/>
      <c r="F354" s="17"/>
      <c r="G354" s="17"/>
      <c r="H354" s="17"/>
      <c r="I354" s="17"/>
    </row>
    <row r="355" spans="1:9">
      <c r="A355" s="16"/>
      <c r="B355" s="17"/>
      <c r="C355" s="17"/>
      <c r="D355" s="17"/>
      <c r="E355" s="17"/>
      <c r="F355" s="17"/>
      <c r="G355" s="17"/>
      <c r="H355" s="17"/>
      <c r="I355" s="17"/>
    </row>
    <row r="356" spans="1:9">
      <c r="A356" s="16"/>
      <c r="B356" s="17"/>
      <c r="C356" s="17"/>
      <c r="D356" s="17"/>
      <c r="E356" s="17"/>
      <c r="F356" s="17"/>
      <c r="G356" s="17"/>
      <c r="H356" s="17"/>
      <c r="I356" s="17"/>
    </row>
    <row r="357" spans="1:9">
      <c r="A357" s="16"/>
      <c r="B357" s="17"/>
      <c r="C357" s="17"/>
      <c r="D357" s="17"/>
      <c r="E357" s="17"/>
      <c r="F357" s="17"/>
      <c r="G357" s="17"/>
      <c r="H357" s="17"/>
      <c r="I357" s="17"/>
    </row>
    <row r="358" spans="1:9">
      <c r="A358" s="16"/>
      <c r="B358" s="17"/>
      <c r="C358" s="17"/>
      <c r="D358" s="17"/>
      <c r="E358" s="17"/>
      <c r="F358" s="17"/>
      <c r="G358" s="17"/>
      <c r="H358" s="17"/>
      <c r="I358" s="17"/>
    </row>
    <row r="359" spans="1:9">
      <c r="A359" s="16"/>
      <c r="B359" s="17"/>
      <c r="C359" s="17"/>
      <c r="D359" s="17"/>
      <c r="E359" s="17"/>
      <c r="F359" s="17"/>
      <c r="G359" s="17"/>
      <c r="H359" s="17"/>
      <c r="I359" s="17"/>
    </row>
    <row r="360" spans="1:9">
      <c r="A360" s="16"/>
      <c r="B360" s="17"/>
      <c r="C360" s="17"/>
      <c r="D360" s="17"/>
      <c r="E360" s="17"/>
      <c r="F360" s="17"/>
      <c r="G360" s="17"/>
      <c r="H360" s="17"/>
      <c r="I360" s="17"/>
    </row>
    <row r="361" spans="1:9">
      <c r="A361" s="16"/>
      <c r="B361" s="17"/>
      <c r="C361" s="17"/>
      <c r="D361" s="17"/>
      <c r="E361" s="17"/>
      <c r="F361" s="17"/>
      <c r="G361" s="17"/>
      <c r="H361" s="17"/>
      <c r="I361" s="17"/>
    </row>
    <row r="362" spans="1:9">
      <c r="A362" s="16"/>
      <c r="B362" s="17"/>
      <c r="C362" s="17"/>
      <c r="D362" s="17"/>
      <c r="E362" s="17"/>
      <c r="F362" s="17"/>
      <c r="G362" s="17"/>
      <c r="H362" s="17"/>
      <c r="I362" s="17"/>
    </row>
    <row r="363" spans="1:9">
      <c r="A363" s="16"/>
      <c r="B363" s="17"/>
      <c r="C363" s="17"/>
      <c r="D363" s="17"/>
      <c r="E363" s="17"/>
      <c r="F363" s="17"/>
      <c r="G363" s="17"/>
      <c r="H363" s="17"/>
      <c r="I363" s="17"/>
    </row>
    <row r="364" spans="1:9">
      <c r="A364" s="16"/>
      <c r="B364" s="17"/>
      <c r="C364" s="17"/>
      <c r="D364" s="17"/>
      <c r="E364" s="17"/>
      <c r="F364" s="17"/>
      <c r="G364" s="17"/>
      <c r="H364" s="17"/>
      <c r="I364" s="17"/>
    </row>
    <row r="365" spans="1:9">
      <c r="A365" s="16"/>
      <c r="B365" s="17"/>
      <c r="C365" s="17"/>
      <c r="D365" s="17"/>
      <c r="E365" s="17"/>
      <c r="F365" s="17"/>
      <c r="G365" s="17"/>
      <c r="H365" s="17"/>
      <c r="I365" s="17"/>
    </row>
    <row r="366" spans="1:9">
      <c r="A366" s="16"/>
      <c r="B366" s="17"/>
      <c r="C366" s="17"/>
      <c r="D366" s="17"/>
      <c r="E366" s="17"/>
      <c r="F366" s="17"/>
      <c r="G366" s="17"/>
      <c r="H366" s="17"/>
      <c r="I366" s="17"/>
    </row>
    <row r="367" spans="1:9">
      <c r="A367" s="16"/>
      <c r="B367" s="17"/>
      <c r="C367" s="17"/>
      <c r="D367" s="17"/>
      <c r="E367" s="17"/>
      <c r="F367" s="17"/>
      <c r="G367" s="17"/>
      <c r="H367" s="17"/>
      <c r="I367" s="17"/>
    </row>
    <row r="368" spans="1:9">
      <c r="A368" s="16"/>
      <c r="B368" s="17"/>
      <c r="C368" s="17"/>
      <c r="D368" s="17"/>
      <c r="E368" s="17"/>
      <c r="F368" s="17"/>
      <c r="G368" s="17"/>
      <c r="H368" s="17"/>
      <c r="I368" s="17"/>
    </row>
    <row r="369" spans="1:9">
      <c r="A369" s="16"/>
      <c r="B369" s="17"/>
      <c r="C369" s="17"/>
      <c r="D369" s="17"/>
      <c r="E369" s="17"/>
      <c r="F369" s="17"/>
      <c r="G369" s="17"/>
      <c r="H369" s="17"/>
      <c r="I369" s="17"/>
    </row>
    <row r="370" spans="1:9">
      <c r="A370" s="16"/>
      <c r="B370" s="17"/>
      <c r="C370" s="17"/>
      <c r="D370" s="17"/>
      <c r="E370" s="17"/>
      <c r="F370" s="17"/>
      <c r="G370" s="17"/>
      <c r="H370" s="17"/>
      <c r="I370" s="17"/>
    </row>
    <row r="371" spans="1:9">
      <c r="A371" s="16"/>
      <c r="B371" s="17"/>
      <c r="C371" s="17"/>
      <c r="D371" s="17"/>
      <c r="E371" s="17"/>
      <c r="F371" s="17"/>
      <c r="G371" s="17"/>
      <c r="H371" s="17"/>
      <c r="I371" s="17"/>
    </row>
    <row r="372" spans="1:9">
      <c r="A372" s="16"/>
      <c r="B372" s="17"/>
      <c r="C372" s="17"/>
      <c r="D372" s="17"/>
      <c r="E372" s="17"/>
      <c r="F372" s="17"/>
      <c r="G372" s="17"/>
      <c r="H372" s="17"/>
      <c r="I372" s="17"/>
    </row>
    <row r="373" spans="1:9">
      <c r="A373" s="16"/>
      <c r="B373" s="17"/>
      <c r="C373" s="17"/>
      <c r="D373" s="17"/>
      <c r="E373" s="17"/>
      <c r="F373" s="17"/>
      <c r="G373" s="17"/>
      <c r="H373" s="17"/>
      <c r="I373" s="17"/>
    </row>
    <row r="374" spans="1:9">
      <c r="A374" s="16"/>
      <c r="B374" s="17"/>
      <c r="C374" s="17"/>
      <c r="D374" s="17"/>
      <c r="E374" s="17"/>
      <c r="F374" s="17"/>
      <c r="G374" s="17"/>
      <c r="H374" s="17"/>
      <c r="I374" s="17"/>
    </row>
    <row r="375" spans="1:9">
      <c r="A375" s="16"/>
      <c r="B375" s="17"/>
      <c r="C375" s="17"/>
      <c r="D375" s="17"/>
      <c r="E375" s="17"/>
      <c r="F375" s="17"/>
      <c r="G375" s="17"/>
      <c r="H375" s="17"/>
      <c r="I375" s="17"/>
    </row>
    <row r="376" spans="1:9">
      <c r="A376" s="16"/>
      <c r="B376" s="17"/>
      <c r="C376" s="17"/>
      <c r="D376" s="17"/>
      <c r="E376" s="17"/>
      <c r="F376" s="17"/>
      <c r="G376" s="17"/>
      <c r="H376" s="17"/>
      <c r="I376" s="17"/>
    </row>
    <row r="377" spans="1:9">
      <c r="A377" s="16"/>
      <c r="B377" s="17"/>
      <c r="C377" s="17"/>
      <c r="D377" s="17"/>
      <c r="E377" s="17"/>
      <c r="F377" s="17"/>
      <c r="G377" s="17"/>
      <c r="H377" s="17"/>
      <c r="I377" s="17"/>
    </row>
    <row r="378" spans="1:9">
      <c r="A378" s="16"/>
      <c r="B378" s="17"/>
      <c r="C378" s="17"/>
      <c r="D378" s="17"/>
      <c r="E378" s="17"/>
      <c r="F378" s="17"/>
      <c r="G378" s="17"/>
      <c r="H378" s="17"/>
      <c r="I378" s="17"/>
    </row>
    <row r="379" spans="1:9">
      <c r="A379" s="16"/>
      <c r="B379" s="17"/>
      <c r="C379" s="17"/>
      <c r="D379" s="17"/>
      <c r="E379" s="17"/>
      <c r="F379" s="17"/>
      <c r="G379" s="17"/>
      <c r="H379" s="17"/>
      <c r="I379" s="17"/>
    </row>
    <row r="380" spans="1:9">
      <c r="A380" s="16"/>
      <c r="B380" s="17"/>
      <c r="C380" s="17"/>
      <c r="D380" s="17"/>
      <c r="E380" s="17"/>
      <c r="F380" s="17"/>
      <c r="G380" s="17"/>
      <c r="H380" s="17"/>
      <c r="I380" s="17"/>
    </row>
    <row r="381" spans="1:9">
      <c r="A381" s="16"/>
      <c r="B381" s="17"/>
      <c r="C381" s="17"/>
      <c r="D381" s="17"/>
      <c r="E381" s="17"/>
      <c r="F381" s="17"/>
      <c r="G381" s="17"/>
      <c r="H381" s="17"/>
      <c r="I381" s="17"/>
    </row>
    <row r="382" spans="1:9">
      <c r="A382" s="16"/>
      <c r="B382" s="17"/>
      <c r="C382" s="17"/>
      <c r="D382" s="17"/>
      <c r="E382" s="17"/>
      <c r="F382" s="17"/>
      <c r="G382" s="17"/>
      <c r="H382" s="17"/>
      <c r="I382" s="17"/>
    </row>
    <row r="383" spans="1:9">
      <c r="A383" s="16"/>
      <c r="B383" s="17"/>
      <c r="C383" s="17"/>
      <c r="D383" s="17"/>
      <c r="E383" s="17"/>
      <c r="F383" s="17"/>
      <c r="G383" s="17"/>
      <c r="H383" s="17"/>
      <c r="I383" s="17"/>
    </row>
    <row r="384" spans="1:9">
      <c r="A384" s="16"/>
      <c r="B384" s="17"/>
      <c r="C384" s="17"/>
      <c r="D384" s="17"/>
      <c r="E384" s="17"/>
      <c r="F384" s="17"/>
      <c r="G384" s="17"/>
      <c r="H384" s="17"/>
      <c r="I384" s="17"/>
    </row>
    <row r="385" spans="1:9">
      <c r="A385" s="16"/>
      <c r="B385" s="17"/>
      <c r="C385" s="17"/>
      <c r="D385" s="17"/>
      <c r="E385" s="17"/>
      <c r="F385" s="17"/>
      <c r="G385" s="17"/>
      <c r="H385" s="17"/>
      <c r="I385" s="17"/>
    </row>
    <row r="386" spans="1:9">
      <c r="A386" s="16"/>
      <c r="B386" s="17"/>
      <c r="C386" s="17"/>
      <c r="D386" s="17"/>
      <c r="E386" s="17"/>
      <c r="F386" s="17"/>
      <c r="G386" s="17"/>
      <c r="H386" s="17"/>
      <c r="I386" s="17"/>
    </row>
    <row r="387" spans="1:9">
      <c r="A387" s="16"/>
      <c r="B387" s="17"/>
      <c r="C387" s="17"/>
      <c r="D387" s="17"/>
      <c r="E387" s="17"/>
      <c r="F387" s="17"/>
      <c r="G387" s="17"/>
      <c r="H387" s="17"/>
      <c r="I387" s="17"/>
    </row>
    <row r="388" spans="1:9">
      <c r="A388" s="16"/>
      <c r="B388" s="17"/>
      <c r="C388" s="17"/>
      <c r="D388" s="17"/>
      <c r="E388" s="17"/>
      <c r="F388" s="17"/>
      <c r="G388" s="17"/>
      <c r="H388" s="17"/>
      <c r="I388" s="17"/>
    </row>
    <row r="389" spans="1:9">
      <c r="A389" s="16"/>
      <c r="B389" s="17"/>
      <c r="C389" s="17"/>
      <c r="D389" s="17"/>
      <c r="E389" s="17"/>
      <c r="F389" s="17"/>
      <c r="G389" s="17"/>
      <c r="H389" s="17"/>
      <c r="I389" s="17"/>
    </row>
    <row r="390" spans="1:9">
      <c r="A390" s="16"/>
      <c r="B390" s="17"/>
      <c r="C390" s="17"/>
      <c r="D390" s="17"/>
      <c r="E390" s="17"/>
      <c r="F390" s="17"/>
      <c r="G390" s="17"/>
      <c r="H390" s="17"/>
      <c r="I390" s="17"/>
    </row>
    <row r="391" spans="1:9">
      <c r="A391" s="16"/>
      <c r="B391" s="17"/>
      <c r="C391" s="17"/>
      <c r="D391" s="17"/>
      <c r="E391" s="17"/>
      <c r="F391" s="17"/>
      <c r="G391" s="17"/>
      <c r="H391" s="17"/>
      <c r="I391" s="17"/>
    </row>
    <row r="392" spans="1:9">
      <c r="A392" s="16"/>
      <c r="B392" s="17"/>
      <c r="C392" s="17"/>
      <c r="D392" s="17"/>
      <c r="E392" s="17"/>
      <c r="F392" s="17"/>
      <c r="G392" s="17"/>
      <c r="H392" s="17"/>
      <c r="I392" s="17"/>
    </row>
    <row r="393" spans="1:9">
      <c r="A393" s="16"/>
      <c r="B393" s="17"/>
      <c r="C393" s="17"/>
      <c r="D393" s="17"/>
      <c r="E393" s="17"/>
      <c r="F393" s="17"/>
      <c r="G393" s="17"/>
      <c r="H393" s="17"/>
      <c r="I393" s="17"/>
    </row>
    <row r="394" spans="1:9">
      <c r="A394" s="16"/>
      <c r="B394" s="17"/>
      <c r="C394" s="17"/>
      <c r="D394" s="17"/>
      <c r="E394" s="17"/>
      <c r="F394" s="17"/>
      <c r="G394" s="17"/>
      <c r="H394" s="17"/>
      <c r="I394" s="17"/>
    </row>
    <row r="395" spans="1:9">
      <c r="A395" s="16"/>
      <c r="B395" s="17"/>
      <c r="C395" s="17"/>
      <c r="D395" s="17"/>
      <c r="E395" s="17"/>
      <c r="F395" s="17"/>
      <c r="G395" s="17"/>
      <c r="H395" s="17"/>
      <c r="I395" s="17"/>
    </row>
    <row r="396" spans="1:9">
      <c r="A396" s="16"/>
      <c r="B396" s="17"/>
      <c r="C396" s="17"/>
      <c r="D396" s="17"/>
      <c r="E396" s="17"/>
      <c r="F396" s="17"/>
      <c r="G396" s="17"/>
      <c r="H396" s="17"/>
      <c r="I396" s="17"/>
    </row>
    <row r="397" spans="1:9">
      <c r="A397" s="16"/>
      <c r="B397" s="17"/>
      <c r="C397" s="17"/>
      <c r="D397" s="17"/>
      <c r="E397" s="17"/>
      <c r="F397" s="17"/>
      <c r="G397" s="17"/>
      <c r="H397" s="17"/>
      <c r="I397" s="17"/>
    </row>
    <row r="398" spans="1:9">
      <c r="A398" s="16"/>
      <c r="B398" s="17"/>
      <c r="C398" s="17"/>
      <c r="D398" s="17"/>
      <c r="E398" s="17"/>
      <c r="F398" s="17"/>
      <c r="G398" s="17"/>
      <c r="H398" s="17"/>
      <c r="I398" s="17"/>
    </row>
    <row r="399" spans="1:9">
      <c r="A399" s="16"/>
      <c r="B399" s="17"/>
      <c r="C399" s="17"/>
      <c r="D399" s="17"/>
      <c r="E399" s="17"/>
      <c r="F399" s="17"/>
      <c r="G399" s="17"/>
      <c r="H399" s="17"/>
      <c r="I399" s="17"/>
    </row>
    <row r="400" spans="1:9">
      <c r="A400" s="16"/>
      <c r="B400" s="17"/>
      <c r="C400" s="17"/>
      <c r="D400" s="17"/>
      <c r="E400" s="17"/>
      <c r="F400" s="17"/>
      <c r="G400" s="17"/>
      <c r="H400" s="17"/>
      <c r="I400" s="17"/>
    </row>
    <row r="401" spans="1:9">
      <c r="A401" s="16"/>
      <c r="B401" s="17"/>
      <c r="C401" s="17"/>
      <c r="D401" s="17"/>
      <c r="E401" s="17"/>
      <c r="F401" s="17"/>
      <c r="G401" s="17"/>
      <c r="H401" s="17"/>
      <c r="I401" s="17"/>
    </row>
    <row r="402" spans="1:9">
      <c r="A402" s="16"/>
      <c r="B402" s="17"/>
      <c r="C402" s="17"/>
      <c r="D402" s="17"/>
      <c r="E402" s="17"/>
      <c r="F402" s="17"/>
      <c r="G402" s="17"/>
      <c r="H402" s="17"/>
      <c r="I402" s="17"/>
    </row>
    <row r="403" spans="1:9">
      <c r="A403" s="16"/>
      <c r="B403" s="17"/>
      <c r="C403" s="17"/>
      <c r="D403" s="17"/>
      <c r="E403" s="17"/>
      <c r="F403" s="17"/>
      <c r="G403" s="17"/>
      <c r="H403" s="17"/>
      <c r="I403" s="17"/>
    </row>
    <row r="404" spans="1:9">
      <c r="A404" s="16"/>
      <c r="B404" s="17"/>
      <c r="C404" s="17"/>
      <c r="D404" s="17"/>
      <c r="E404" s="17"/>
      <c r="F404" s="17"/>
      <c r="G404" s="17"/>
      <c r="H404" s="17"/>
      <c r="I404" s="17"/>
    </row>
    <row r="405" spans="1:9">
      <c r="A405" s="16"/>
      <c r="B405" s="17"/>
      <c r="C405" s="17"/>
      <c r="D405" s="17"/>
      <c r="E405" s="17"/>
      <c r="F405" s="17"/>
      <c r="G405" s="17"/>
      <c r="H405" s="17"/>
      <c r="I405" s="17"/>
    </row>
    <row r="406" spans="1:9">
      <c r="A406" s="16"/>
      <c r="B406" s="17"/>
      <c r="C406" s="17"/>
      <c r="D406" s="17"/>
      <c r="E406" s="17"/>
      <c r="F406" s="17"/>
      <c r="G406" s="17"/>
      <c r="H406" s="17"/>
      <c r="I406" s="17"/>
    </row>
    <row r="407" spans="1:9">
      <c r="A407" s="16"/>
      <c r="B407" s="17"/>
      <c r="C407" s="17"/>
      <c r="D407" s="17"/>
      <c r="E407" s="17"/>
      <c r="F407" s="17"/>
      <c r="G407" s="17"/>
      <c r="H407" s="17"/>
      <c r="I407" s="17"/>
    </row>
    <row r="408" spans="1:9">
      <c r="A408" s="16"/>
      <c r="B408" s="17"/>
      <c r="C408" s="17"/>
      <c r="D408" s="17"/>
      <c r="E408" s="17"/>
      <c r="F408" s="17"/>
      <c r="G408" s="17"/>
      <c r="H408" s="17"/>
      <c r="I408" s="17"/>
    </row>
    <row r="409" spans="1:9">
      <c r="A409" s="16"/>
      <c r="B409" s="17"/>
      <c r="C409" s="17"/>
      <c r="D409" s="17"/>
      <c r="E409" s="17"/>
      <c r="F409" s="17"/>
      <c r="G409" s="17"/>
      <c r="H409" s="17"/>
      <c r="I409" s="17"/>
    </row>
    <row r="410" spans="1:9">
      <c r="A410" s="16"/>
      <c r="B410" s="17"/>
      <c r="C410" s="17"/>
      <c r="D410" s="17"/>
      <c r="E410" s="17"/>
      <c r="F410" s="17"/>
      <c r="G410" s="17"/>
      <c r="H410" s="17"/>
      <c r="I410" s="17"/>
    </row>
    <row r="411" spans="1:9">
      <c r="A411" s="16"/>
      <c r="B411" s="17"/>
      <c r="C411" s="17"/>
      <c r="D411" s="17"/>
      <c r="E411" s="17"/>
      <c r="F411" s="17"/>
      <c r="G411" s="17"/>
      <c r="H411" s="17"/>
      <c r="I411" s="17"/>
    </row>
    <row r="412" spans="1:9">
      <c r="A412" s="16"/>
      <c r="B412" s="17"/>
      <c r="C412" s="17"/>
      <c r="D412" s="17"/>
      <c r="E412" s="17"/>
      <c r="F412" s="17"/>
      <c r="G412" s="17"/>
      <c r="H412" s="17"/>
      <c r="I412" s="17"/>
    </row>
    <row r="413" spans="1:9">
      <c r="A413" s="16"/>
      <c r="B413" s="17"/>
      <c r="C413" s="17"/>
      <c r="D413" s="17"/>
      <c r="E413" s="17"/>
      <c r="F413" s="17"/>
      <c r="G413" s="17"/>
      <c r="H413" s="17"/>
      <c r="I413" s="17"/>
    </row>
    <row r="414" spans="1:9">
      <c r="A414" s="16"/>
      <c r="B414" s="17"/>
      <c r="C414" s="17"/>
      <c r="D414" s="17"/>
      <c r="E414" s="17"/>
      <c r="F414" s="17"/>
      <c r="G414" s="17"/>
      <c r="H414" s="17"/>
      <c r="I414" s="17"/>
    </row>
    <row r="415" spans="1:9">
      <c r="A415" s="16"/>
      <c r="B415" s="17"/>
      <c r="C415" s="17"/>
      <c r="D415" s="17"/>
      <c r="E415" s="17"/>
      <c r="F415" s="17"/>
      <c r="G415" s="17"/>
      <c r="H415" s="17"/>
      <c r="I415" s="17"/>
    </row>
    <row r="416" spans="1:9">
      <c r="A416" s="16"/>
      <c r="B416" s="17"/>
      <c r="C416" s="17"/>
      <c r="D416" s="17"/>
      <c r="E416" s="17"/>
      <c r="F416" s="17"/>
      <c r="G416" s="17"/>
      <c r="H416" s="17"/>
      <c r="I416" s="17"/>
    </row>
    <row r="417" spans="1:9">
      <c r="A417" s="16"/>
      <c r="B417" s="17"/>
      <c r="C417" s="17"/>
      <c r="D417" s="17"/>
      <c r="E417" s="17"/>
      <c r="F417" s="17"/>
      <c r="G417" s="17"/>
      <c r="H417" s="17"/>
      <c r="I417" s="17"/>
    </row>
    <row r="418" spans="1:9">
      <c r="A418" s="16"/>
      <c r="B418" s="17"/>
      <c r="C418" s="17"/>
      <c r="D418" s="17"/>
      <c r="E418" s="17"/>
      <c r="F418" s="17"/>
      <c r="G418" s="17"/>
      <c r="H418" s="17"/>
      <c r="I418" s="17"/>
    </row>
    <row r="419" spans="1:9">
      <c r="A419" s="16"/>
      <c r="B419" s="17"/>
      <c r="C419" s="17"/>
      <c r="D419" s="17"/>
      <c r="E419" s="17"/>
      <c r="F419" s="17"/>
      <c r="G419" s="17"/>
      <c r="H419" s="17"/>
      <c r="I419" s="17"/>
    </row>
    <row r="420" spans="1:9">
      <c r="A420" s="16"/>
      <c r="B420" s="17"/>
      <c r="C420" s="17"/>
      <c r="D420" s="17"/>
      <c r="E420" s="17"/>
      <c r="F420" s="17"/>
      <c r="G420" s="17"/>
      <c r="H420" s="17"/>
      <c r="I420" s="17"/>
    </row>
    <row r="421" spans="1:9">
      <c r="A421" s="16"/>
      <c r="B421" s="17"/>
      <c r="C421" s="17"/>
      <c r="D421" s="17"/>
      <c r="E421" s="17"/>
      <c r="F421" s="17"/>
      <c r="G421" s="17"/>
      <c r="H421" s="17"/>
      <c r="I421" s="17"/>
    </row>
    <row r="422" spans="1:9">
      <c r="A422" s="16"/>
      <c r="B422" s="17"/>
      <c r="C422" s="17"/>
      <c r="D422" s="17"/>
      <c r="E422" s="17"/>
      <c r="F422" s="17"/>
      <c r="G422" s="17"/>
      <c r="H422" s="17"/>
      <c r="I422" s="17"/>
    </row>
    <row r="423" spans="1:9">
      <c r="A423" s="16"/>
      <c r="B423" s="17"/>
      <c r="C423" s="17"/>
      <c r="D423" s="17"/>
      <c r="E423" s="17"/>
      <c r="F423" s="17"/>
      <c r="G423" s="17"/>
      <c r="H423" s="17"/>
      <c r="I423" s="17"/>
    </row>
    <row r="424" spans="1:9">
      <c r="A424" s="16"/>
      <c r="B424" s="17"/>
      <c r="C424" s="17"/>
      <c r="D424" s="17"/>
      <c r="E424" s="17"/>
      <c r="F424" s="17"/>
      <c r="G424" s="17"/>
      <c r="H424" s="17"/>
      <c r="I424" s="17"/>
    </row>
    <row r="425" spans="1:9">
      <c r="A425" s="16"/>
      <c r="B425" s="17"/>
      <c r="C425" s="17"/>
      <c r="D425" s="17"/>
      <c r="E425" s="17"/>
      <c r="F425" s="17"/>
      <c r="G425" s="17"/>
      <c r="H425" s="17"/>
      <c r="I425" s="17"/>
    </row>
    <row r="426" spans="1:9">
      <c r="A426" s="16"/>
      <c r="B426" s="17"/>
      <c r="C426" s="17"/>
      <c r="D426" s="17"/>
      <c r="E426" s="17"/>
      <c r="F426" s="17"/>
      <c r="G426" s="17"/>
      <c r="H426" s="17"/>
      <c r="I426" s="17"/>
    </row>
    <row r="427" spans="1:9">
      <c r="A427" s="16"/>
      <c r="B427" s="17"/>
      <c r="C427" s="17"/>
      <c r="D427" s="17"/>
      <c r="E427" s="17"/>
      <c r="F427" s="17"/>
      <c r="G427" s="17"/>
      <c r="H427" s="17"/>
      <c r="I427" s="17"/>
    </row>
    <row r="428" spans="1:9">
      <c r="A428" s="16"/>
      <c r="B428" s="17"/>
      <c r="C428" s="17"/>
      <c r="D428" s="17"/>
      <c r="E428" s="17"/>
      <c r="F428" s="17"/>
      <c r="G428" s="17"/>
      <c r="H428" s="17"/>
      <c r="I428" s="17"/>
    </row>
    <row r="429" spans="1:9">
      <c r="A429" s="16"/>
      <c r="B429" s="17"/>
      <c r="C429" s="17"/>
      <c r="D429" s="17"/>
      <c r="E429" s="17"/>
      <c r="F429" s="17"/>
      <c r="G429" s="17"/>
      <c r="H429" s="17"/>
      <c r="I429" s="17"/>
    </row>
    <row r="430" spans="1:9">
      <c r="A430" s="16"/>
      <c r="B430" s="17"/>
      <c r="C430" s="17"/>
      <c r="D430" s="17"/>
      <c r="E430" s="17"/>
      <c r="F430" s="17"/>
      <c r="G430" s="17"/>
      <c r="H430" s="17"/>
      <c r="I430" s="17"/>
    </row>
    <row r="431" spans="1:9">
      <c r="A431" s="16"/>
      <c r="B431" s="17"/>
      <c r="C431" s="17"/>
      <c r="D431" s="17"/>
      <c r="E431" s="17"/>
      <c r="F431" s="17"/>
      <c r="G431" s="17"/>
      <c r="H431" s="17"/>
      <c r="I431" s="17"/>
    </row>
    <row r="432" spans="1:9">
      <c r="A432" s="16"/>
      <c r="B432" s="17"/>
      <c r="C432" s="17"/>
      <c r="D432" s="17"/>
      <c r="E432" s="17"/>
      <c r="F432" s="17"/>
      <c r="G432" s="17"/>
      <c r="H432" s="17"/>
      <c r="I432" s="17"/>
    </row>
    <row r="433" spans="1:9">
      <c r="A433" s="16"/>
      <c r="B433" s="17"/>
      <c r="C433" s="17"/>
      <c r="D433" s="17"/>
      <c r="E433" s="17"/>
      <c r="F433" s="17"/>
      <c r="G433" s="17"/>
      <c r="H433" s="17"/>
      <c r="I433" s="17"/>
    </row>
    <row r="434" spans="1:9">
      <c r="A434" s="16"/>
      <c r="B434" s="17"/>
      <c r="C434" s="17"/>
      <c r="D434" s="17"/>
      <c r="E434" s="17"/>
      <c r="F434" s="17"/>
      <c r="G434" s="17"/>
      <c r="H434" s="17"/>
      <c r="I434" s="17"/>
    </row>
    <row r="435" spans="1:9">
      <c r="A435" s="16"/>
      <c r="B435" s="17"/>
      <c r="C435" s="17"/>
      <c r="D435" s="17"/>
      <c r="E435" s="17"/>
      <c r="F435" s="17"/>
      <c r="G435" s="17"/>
      <c r="H435" s="17"/>
      <c r="I435" s="17"/>
    </row>
    <row r="436" spans="1:9">
      <c r="A436" s="16"/>
      <c r="B436" s="17"/>
      <c r="C436" s="17"/>
      <c r="D436" s="17"/>
      <c r="E436" s="17"/>
      <c r="F436" s="17"/>
      <c r="G436" s="17"/>
      <c r="H436" s="17"/>
      <c r="I436" s="17"/>
    </row>
    <row r="437" spans="1:9">
      <c r="A437" s="16"/>
      <c r="B437" s="17"/>
      <c r="C437" s="17"/>
      <c r="D437" s="17"/>
      <c r="E437" s="17"/>
      <c r="F437" s="17"/>
      <c r="G437" s="17"/>
      <c r="H437" s="17"/>
      <c r="I437" s="17"/>
    </row>
    <row r="438" spans="1:9">
      <c r="A438" s="16"/>
      <c r="B438" s="17"/>
      <c r="C438" s="17"/>
      <c r="D438" s="17"/>
      <c r="E438" s="17"/>
      <c r="F438" s="17"/>
      <c r="G438" s="17"/>
      <c r="H438" s="17"/>
      <c r="I438" s="17"/>
    </row>
    <row r="439" spans="1:9">
      <c r="A439" s="16"/>
      <c r="B439" s="17"/>
      <c r="C439" s="17"/>
      <c r="D439" s="17"/>
      <c r="E439" s="17"/>
      <c r="F439" s="17"/>
      <c r="G439" s="17"/>
      <c r="H439" s="17"/>
      <c r="I439" s="17"/>
    </row>
    <row r="440" spans="1:9">
      <c r="A440" s="16"/>
      <c r="B440" s="17"/>
      <c r="C440" s="17"/>
      <c r="D440" s="17"/>
      <c r="E440" s="17"/>
      <c r="F440" s="17"/>
      <c r="G440" s="17"/>
      <c r="H440" s="17"/>
      <c r="I440" s="17"/>
    </row>
    <row r="441" spans="1:9">
      <c r="A441" s="16"/>
      <c r="B441" s="17"/>
      <c r="C441" s="17"/>
      <c r="D441" s="17"/>
      <c r="E441" s="17"/>
      <c r="F441" s="17"/>
      <c r="G441" s="17"/>
      <c r="H441" s="17"/>
      <c r="I441" s="17"/>
    </row>
    <row r="442" spans="1:9">
      <c r="A442" s="16"/>
      <c r="B442" s="17"/>
      <c r="C442" s="17"/>
      <c r="D442" s="17"/>
      <c r="E442" s="17"/>
      <c r="F442" s="17"/>
      <c r="G442" s="17"/>
      <c r="H442" s="17"/>
      <c r="I442" s="17"/>
    </row>
    <row r="443" spans="1:9">
      <c r="A443" s="16"/>
      <c r="B443" s="17"/>
      <c r="C443" s="17"/>
      <c r="D443" s="17"/>
      <c r="E443" s="17"/>
      <c r="F443" s="17"/>
      <c r="G443" s="17"/>
      <c r="H443" s="17"/>
      <c r="I443" s="17"/>
    </row>
    <row r="444" spans="1:9">
      <c r="A444" s="16"/>
      <c r="B444" s="17"/>
      <c r="C444" s="17"/>
      <c r="D444" s="17"/>
      <c r="E444" s="17"/>
      <c r="F444" s="17"/>
      <c r="G444" s="17"/>
      <c r="H444" s="17"/>
      <c r="I444" s="17"/>
    </row>
    <row r="445" spans="1:9">
      <c r="A445" s="16"/>
      <c r="B445" s="17"/>
      <c r="C445" s="17"/>
      <c r="D445" s="17"/>
      <c r="E445" s="17"/>
      <c r="F445" s="17"/>
      <c r="G445" s="17"/>
      <c r="H445" s="17"/>
      <c r="I445" s="17"/>
    </row>
    <row r="446" spans="1:9">
      <c r="A446" s="16"/>
      <c r="B446" s="17"/>
      <c r="C446" s="17"/>
      <c r="D446" s="17"/>
      <c r="E446" s="17"/>
      <c r="F446" s="17"/>
      <c r="G446" s="17"/>
      <c r="H446" s="17"/>
      <c r="I446" s="17"/>
    </row>
    <row r="447" spans="1:9">
      <c r="A447" s="16"/>
      <c r="B447" s="17"/>
      <c r="C447" s="17"/>
      <c r="D447" s="17"/>
      <c r="E447" s="17"/>
      <c r="F447" s="17"/>
      <c r="G447" s="17"/>
      <c r="H447" s="17"/>
      <c r="I447" s="17"/>
    </row>
    <row r="448" spans="1:9">
      <c r="A448" s="16"/>
      <c r="B448" s="17"/>
      <c r="C448" s="17"/>
      <c r="D448" s="17"/>
      <c r="E448" s="17"/>
      <c r="F448" s="17"/>
      <c r="G448" s="17"/>
      <c r="H448" s="17"/>
      <c r="I448" s="17"/>
    </row>
    <row r="449" spans="1:9">
      <c r="A449" s="16"/>
      <c r="B449" s="17"/>
      <c r="C449" s="17"/>
      <c r="D449" s="17"/>
      <c r="E449" s="17"/>
      <c r="F449" s="17"/>
      <c r="G449" s="17"/>
      <c r="H449" s="17"/>
      <c r="I449" s="17"/>
    </row>
    <row r="450" spans="1:9">
      <c r="A450" s="16"/>
      <c r="B450" s="17"/>
      <c r="C450" s="17"/>
      <c r="D450" s="17"/>
      <c r="E450" s="17"/>
      <c r="F450" s="17"/>
      <c r="G450" s="17"/>
      <c r="H450" s="17"/>
      <c r="I450" s="17"/>
    </row>
    <row r="451" spans="1:9">
      <c r="A451" s="16"/>
      <c r="B451" s="17"/>
      <c r="C451" s="17"/>
      <c r="D451" s="17"/>
      <c r="E451" s="17"/>
      <c r="F451" s="17"/>
      <c r="G451" s="17"/>
      <c r="H451" s="17"/>
      <c r="I451" s="17"/>
    </row>
    <row r="452" spans="1:9">
      <c r="A452" s="16"/>
      <c r="B452" s="17"/>
      <c r="C452" s="17"/>
      <c r="D452" s="17"/>
      <c r="E452" s="17"/>
      <c r="F452" s="17"/>
      <c r="G452" s="17"/>
      <c r="H452" s="17"/>
      <c r="I452" s="17"/>
    </row>
    <row r="453" spans="1:9">
      <c r="A453" s="16"/>
      <c r="B453" s="17"/>
      <c r="C453" s="17"/>
      <c r="D453" s="17"/>
      <c r="E453" s="17"/>
      <c r="F453" s="17"/>
      <c r="G453" s="17"/>
      <c r="H453" s="17"/>
      <c r="I453" s="17"/>
    </row>
    <row r="454" spans="1:9">
      <c r="A454" s="16"/>
      <c r="B454" s="17"/>
      <c r="C454" s="17"/>
      <c r="D454" s="17"/>
      <c r="E454" s="17"/>
      <c r="F454" s="17"/>
      <c r="G454" s="17"/>
      <c r="H454" s="17"/>
      <c r="I454" s="17"/>
    </row>
    <row r="455" spans="1:9">
      <c r="A455" s="16"/>
      <c r="B455" s="17"/>
      <c r="C455" s="17"/>
      <c r="D455" s="17"/>
      <c r="E455" s="17"/>
      <c r="F455" s="17"/>
      <c r="G455" s="17"/>
      <c r="H455" s="17"/>
      <c r="I455" s="17"/>
    </row>
    <row r="456" spans="1:9">
      <c r="A456" s="16"/>
      <c r="B456" s="17"/>
      <c r="C456" s="17"/>
      <c r="D456" s="17"/>
      <c r="E456" s="17"/>
      <c r="F456" s="17"/>
      <c r="G456" s="17"/>
      <c r="H456" s="17"/>
      <c r="I456" s="17"/>
    </row>
    <row r="457" spans="1:9">
      <c r="A457" s="16"/>
      <c r="B457" s="17"/>
      <c r="C457" s="17"/>
      <c r="D457" s="17"/>
      <c r="E457" s="17"/>
      <c r="F457" s="17"/>
      <c r="G457" s="17"/>
      <c r="H457" s="17"/>
      <c r="I457" s="17"/>
    </row>
    <row r="458" spans="1:9">
      <c r="A458" s="16"/>
      <c r="B458" s="17"/>
      <c r="C458" s="17"/>
      <c r="D458" s="17"/>
      <c r="E458" s="17"/>
      <c r="F458" s="17"/>
      <c r="G458" s="17"/>
      <c r="H458" s="17"/>
      <c r="I458" s="17"/>
    </row>
    <row r="459" spans="1:9">
      <c r="A459" s="16"/>
      <c r="B459" s="17"/>
      <c r="C459" s="17"/>
      <c r="D459" s="17"/>
      <c r="E459" s="17"/>
      <c r="F459" s="17"/>
      <c r="G459" s="17"/>
      <c r="H459" s="17"/>
      <c r="I459" s="17"/>
    </row>
    <row r="460" spans="1:9">
      <c r="A460" s="16"/>
      <c r="B460" s="17"/>
      <c r="C460" s="17"/>
      <c r="D460" s="17"/>
      <c r="E460" s="17"/>
      <c r="F460" s="17"/>
      <c r="G460" s="17"/>
      <c r="H460" s="17"/>
      <c r="I460" s="17"/>
    </row>
    <row r="461" spans="1:9">
      <c r="A461" s="16"/>
      <c r="B461" s="17"/>
      <c r="C461" s="17"/>
      <c r="D461" s="17"/>
      <c r="E461" s="17"/>
      <c r="F461" s="17"/>
      <c r="G461" s="17"/>
      <c r="H461" s="17"/>
      <c r="I461" s="17"/>
    </row>
    <row r="462" spans="1:9">
      <c r="A462" s="16"/>
      <c r="B462" s="17"/>
      <c r="C462" s="17"/>
      <c r="D462" s="17"/>
      <c r="E462" s="17"/>
      <c r="F462" s="17"/>
      <c r="G462" s="17"/>
      <c r="H462" s="17"/>
      <c r="I462" s="17"/>
    </row>
    <row r="463" spans="1:9">
      <c r="A463" s="16"/>
      <c r="B463" s="17"/>
      <c r="C463" s="17"/>
      <c r="D463" s="17"/>
      <c r="E463" s="17"/>
      <c r="F463" s="17"/>
      <c r="G463" s="17"/>
      <c r="H463" s="17"/>
      <c r="I463" s="17"/>
    </row>
    <row r="464" spans="1:9">
      <c r="A464" s="16"/>
      <c r="B464" s="17"/>
      <c r="C464" s="17"/>
      <c r="D464" s="17"/>
      <c r="E464" s="17"/>
      <c r="F464" s="17"/>
      <c r="G464" s="17"/>
      <c r="H464" s="17"/>
      <c r="I464" s="17"/>
    </row>
    <row r="465" spans="1:9">
      <c r="A465" s="16"/>
      <c r="B465" s="17"/>
      <c r="C465" s="17"/>
      <c r="D465" s="17"/>
      <c r="E465" s="17"/>
      <c r="F465" s="17"/>
      <c r="G465" s="17"/>
      <c r="H465" s="17"/>
      <c r="I465" s="17"/>
    </row>
    <row r="466" spans="1:9">
      <c r="A466" s="16"/>
      <c r="B466" s="17"/>
      <c r="C466" s="17"/>
      <c r="D466" s="17"/>
      <c r="E466" s="17"/>
      <c r="F466" s="17"/>
      <c r="G466" s="17"/>
      <c r="H466" s="17"/>
      <c r="I466" s="17"/>
    </row>
    <row r="467" spans="1:9">
      <c r="A467" s="16"/>
      <c r="B467" s="17"/>
      <c r="C467" s="17"/>
      <c r="D467" s="17"/>
      <c r="E467" s="17"/>
      <c r="F467" s="17"/>
      <c r="G467" s="17"/>
      <c r="H467" s="17"/>
      <c r="I467" s="17"/>
    </row>
    <row r="468" spans="1:9">
      <c r="A468" s="16"/>
      <c r="B468" s="17"/>
      <c r="C468" s="17"/>
      <c r="D468" s="17"/>
      <c r="E468" s="17"/>
      <c r="F468" s="17"/>
      <c r="G468" s="17"/>
      <c r="H468" s="17"/>
      <c r="I468" s="17"/>
    </row>
    <row r="469" spans="1:9">
      <c r="A469" s="16"/>
      <c r="B469" s="17"/>
      <c r="C469" s="17"/>
      <c r="D469" s="17"/>
      <c r="E469" s="17"/>
      <c r="F469" s="17"/>
      <c r="G469" s="17"/>
      <c r="H469" s="17"/>
      <c r="I469" s="17"/>
    </row>
    <row r="470" spans="1:9">
      <c r="A470" s="16"/>
      <c r="B470" s="17"/>
      <c r="C470" s="17"/>
      <c r="D470" s="17"/>
      <c r="E470" s="17"/>
      <c r="F470" s="17"/>
      <c r="G470" s="17"/>
      <c r="H470" s="17"/>
      <c r="I470" s="17"/>
    </row>
    <row r="471" spans="1:9">
      <c r="A471" s="16"/>
      <c r="B471" s="17"/>
      <c r="C471" s="17"/>
      <c r="D471" s="17"/>
      <c r="E471" s="17"/>
      <c r="F471" s="17"/>
      <c r="G471" s="17"/>
      <c r="H471" s="17"/>
      <c r="I471" s="17"/>
    </row>
    <row r="472" spans="1:9">
      <c r="A472" s="16"/>
      <c r="B472" s="17"/>
      <c r="C472" s="17"/>
      <c r="D472" s="17"/>
      <c r="E472" s="17"/>
      <c r="F472" s="17"/>
      <c r="G472" s="17"/>
      <c r="H472" s="17"/>
      <c r="I472" s="17"/>
    </row>
    <row r="473" spans="1:9">
      <c r="A473" s="16"/>
      <c r="B473" s="17"/>
      <c r="C473" s="17"/>
      <c r="D473" s="17"/>
      <c r="E473" s="17"/>
      <c r="F473" s="17"/>
      <c r="G473" s="17"/>
      <c r="H473" s="17"/>
      <c r="I473" s="17"/>
    </row>
    <row r="474" spans="1:9">
      <c r="A474" s="16"/>
      <c r="B474" s="17"/>
      <c r="C474" s="17"/>
      <c r="D474" s="17"/>
      <c r="E474" s="17"/>
      <c r="F474" s="17"/>
      <c r="G474" s="17"/>
      <c r="H474" s="17"/>
      <c r="I474" s="17"/>
    </row>
    <row r="475" spans="1:9">
      <c r="A475" s="16"/>
      <c r="B475" s="17"/>
      <c r="C475" s="17"/>
      <c r="D475" s="17"/>
      <c r="E475" s="17"/>
      <c r="F475" s="17"/>
      <c r="G475" s="17"/>
      <c r="H475" s="17"/>
      <c r="I475" s="17"/>
    </row>
    <row r="476" spans="1:9">
      <c r="A476" s="16"/>
      <c r="B476" s="17"/>
      <c r="C476" s="17"/>
      <c r="D476" s="17"/>
      <c r="E476" s="17"/>
      <c r="F476" s="17"/>
      <c r="G476" s="17"/>
      <c r="H476" s="17"/>
      <c r="I476" s="17"/>
    </row>
    <row r="477" spans="1:9">
      <c r="A477" s="16"/>
      <c r="B477" s="17"/>
      <c r="C477" s="17"/>
      <c r="D477" s="17"/>
      <c r="E477" s="17"/>
      <c r="F477" s="17"/>
      <c r="G477" s="17"/>
      <c r="H477" s="17"/>
      <c r="I477" s="17"/>
    </row>
    <row r="478" spans="1:9">
      <c r="A478" s="16"/>
      <c r="B478" s="17"/>
      <c r="C478" s="17"/>
      <c r="D478" s="17"/>
      <c r="E478" s="17"/>
      <c r="F478" s="17"/>
      <c r="G478" s="17"/>
      <c r="H478" s="17"/>
      <c r="I478" s="17"/>
    </row>
    <row r="479" spans="1:9">
      <c r="A479" s="16"/>
      <c r="B479" s="17"/>
      <c r="C479" s="17"/>
      <c r="D479" s="17"/>
      <c r="E479" s="17"/>
      <c r="F479" s="17"/>
      <c r="G479" s="17"/>
      <c r="H479" s="17"/>
      <c r="I479" s="17"/>
    </row>
    <row r="480" spans="1:9">
      <c r="A480" s="16"/>
      <c r="B480" s="17"/>
      <c r="C480" s="17"/>
      <c r="D480" s="17"/>
      <c r="E480" s="17"/>
      <c r="F480" s="17"/>
      <c r="G480" s="17"/>
      <c r="H480" s="17"/>
      <c r="I480" s="17"/>
    </row>
    <row r="481" spans="1:9">
      <c r="A481" s="16"/>
      <c r="B481" s="17"/>
      <c r="C481" s="17"/>
      <c r="D481" s="17"/>
      <c r="E481" s="17"/>
      <c r="F481" s="17"/>
      <c r="G481" s="17"/>
      <c r="H481" s="17"/>
      <c r="I481" s="17"/>
    </row>
    <row r="482" spans="1:9">
      <c r="A482" s="16"/>
      <c r="B482" s="17"/>
      <c r="C482" s="17"/>
      <c r="D482" s="17"/>
      <c r="E482" s="17"/>
      <c r="F482" s="17"/>
      <c r="G482" s="17"/>
      <c r="H482" s="17"/>
      <c r="I482" s="17"/>
    </row>
    <row r="483" spans="1:9">
      <c r="A483" s="16"/>
      <c r="B483" s="17"/>
      <c r="C483" s="17"/>
      <c r="D483" s="17"/>
      <c r="E483" s="17"/>
      <c r="F483" s="17"/>
      <c r="G483" s="17"/>
      <c r="H483" s="17"/>
      <c r="I483" s="17"/>
    </row>
    <row r="484" spans="1:9">
      <c r="A484" s="16"/>
      <c r="B484" s="17"/>
      <c r="C484" s="17"/>
      <c r="D484" s="17"/>
      <c r="E484" s="17"/>
      <c r="F484" s="17"/>
      <c r="G484" s="17"/>
      <c r="H484" s="17"/>
      <c r="I484" s="17"/>
    </row>
    <row r="485" spans="1:9">
      <c r="A485" s="16"/>
      <c r="B485" s="17"/>
      <c r="C485" s="17"/>
      <c r="D485" s="17"/>
      <c r="E485" s="17"/>
      <c r="F485" s="17"/>
      <c r="G485" s="17"/>
      <c r="H485" s="17"/>
      <c r="I485" s="17"/>
    </row>
    <row r="486" spans="1:9">
      <c r="A486" s="16"/>
      <c r="B486" s="17"/>
      <c r="C486" s="17"/>
      <c r="D486" s="17"/>
      <c r="E486" s="17"/>
      <c r="F486" s="17"/>
      <c r="G486" s="17"/>
      <c r="H486" s="17"/>
      <c r="I486" s="17"/>
    </row>
    <row r="487" spans="1:9">
      <c r="A487" s="16"/>
      <c r="B487" s="17"/>
      <c r="C487" s="17"/>
      <c r="D487" s="17"/>
      <c r="E487" s="17"/>
      <c r="F487" s="17"/>
      <c r="G487" s="17"/>
      <c r="H487" s="17"/>
      <c r="I487" s="17"/>
    </row>
    <row r="488" spans="1:9">
      <c r="A488" s="16"/>
      <c r="B488" s="17"/>
      <c r="C488" s="17"/>
      <c r="D488" s="17"/>
      <c r="E488" s="17"/>
      <c r="F488" s="17"/>
      <c r="G488" s="17"/>
      <c r="H488" s="17"/>
      <c r="I488" s="17"/>
    </row>
    <row r="489" spans="1:9">
      <c r="A489" s="16"/>
      <c r="B489" s="17"/>
      <c r="C489" s="17"/>
      <c r="D489" s="17"/>
      <c r="E489" s="17"/>
      <c r="F489" s="17"/>
      <c r="G489" s="17"/>
      <c r="H489" s="17"/>
      <c r="I489" s="17"/>
    </row>
    <row r="490" spans="1:9">
      <c r="A490" s="16"/>
      <c r="B490" s="17"/>
      <c r="C490" s="17"/>
      <c r="D490" s="17"/>
      <c r="E490" s="17"/>
      <c r="F490" s="17"/>
      <c r="G490" s="17"/>
      <c r="H490" s="17"/>
      <c r="I490" s="17"/>
    </row>
    <row r="491" spans="1:9">
      <c r="A491" s="16"/>
      <c r="B491" s="17"/>
      <c r="C491" s="17"/>
      <c r="D491" s="17"/>
      <c r="E491" s="17"/>
      <c r="F491" s="17"/>
      <c r="G491" s="17"/>
      <c r="H491" s="17"/>
      <c r="I491" s="17"/>
    </row>
    <row r="492" spans="1:9">
      <c r="A492" s="16"/>
      <c r="B492" s="17"/>
      <c r="C492" s="17"/>
      <c r="D492" s="17"/>
      <c r="E492" s="17"/>
      <c r="F492" s="17"/>
      <c r="G492" s="17"/>
      <c r="H492" s="17"/>
      <c r="I492" s="17"/>
    </row>
    <row r="493" spans="1:9">
      <c r="A493" s="16"/>
      <c r="B493" s="17"/>
      <c r="C493" s="17"/>
      <c r="D493" s="17"/>
      <c r="E493" s="17"/>
      <c r="F493" s="17"/>
      <c r="G493" s="17"/>
      <c r="H493" s="17"/>
      <c r="I493" s="17"/>
    </row>
    <row r="494" spans="1:9">
      <c r="A494" s="16"/>
      <c r="B494" s="17"/>
      <c r="C494" s="17"/>
      <c r="D494" s="17"/>
      <c r="E494" s="17"/>
      <c r="F494" s="17"/>
      <c r="G494" s="17"/>
      <c r="H494" s="17"/>
      <c r="I494" s="17"/>
    </row>
    <row r="495" spans="1:9">
      <c r="A495" s="16"/>
      <c r="B495" s="17"/>
      <c r="C495" s="17"/>
      <c r="D495" s="17"/>
      <c r="E495" s="17"/>
      <c r="F495" s="17"/>
      <c r="G495" s="17"/>
      <c r="H495" s="17"/>
      <c r="I495" s="17"/>
    </row>
    <row r="496" spans="1:9">
      <c r="A496" s="16"/>
      <c r="B496" s="17"/>
      <c r="C496" s="17"/>
      <c r="D496" s="17"/>
      <c r="E496" s="17"/>
      <c r="F496" s="17"/>
      <c r="G496" s="17"/>
      <c r="H496" s="17"/>
      <c r="I496" s="17"/>
    </row>
    <row r="497" spans="1:9">
      <c r="A497" s="16"/>
      <c r="B497" s="17"/>
      <c r="C497" s="17"/>
      <c r="D497" s="17"/>
      <c r="E497" s="17"/>
      <c r="F497" s="17"/>
      <c r="G497" s="17"/>
      <c r="H497" s="17"/>
      <c r="I497" s="17"/>
    </row>
    <row r="498" spans="1:9">
      <c r="A498" s="16"/>
      <c r="B498" s="17"/>
      <c r="C498" s="17"/>
      <c r="D498" s="17"/>
      <c r="E498" s="17"/>
      <c r="F498" s="17"/>
      <c r="G498" s="17"/>
      <c r="H498" s="17"/>
      <c r="I498" s="17"/>
    </row>
    <row r="499" spans="1:9">
      <c r="A499" s="16"/>
      <c r="B499" s="17"/>
      <c r="C499" s="17"/>
      <c r="D499" s="17"/>
      <c r="E499" s="17"/>
      <c r="F499" s="17"/>
      <c r="G499" s="17"/>
      <c r="H499" s="17"/>
      <c r="I499" s="17"/>
    </row>
    <row r="500" spans="1:9">
      <c r="A500" s="16"/>
      <c r="B500" s="17"/>
      <c r="C500" s="17"/>
      <c r="D500" s="17"/>
      <c r="E500" s="17"/>
      <c r="F500" s="17"/>
      <c r="G500" s="17"/>
      <c r="H500" s="17"/>
      <c r="I500" s="17"/>
    </row>
    <row r="501" spans="1:9">
      <c r="A501" s="16"/>
      <c r="B501" s="17"/>
      <c r="C501" s="17"/>
      <c r="D501" s="17"/>
      <c r="E501" s="17"/>
      <c r="F501" s="17"/>
      <c r="G501" s="17"/>
      <c r="H501" s="17"/>
      <c r="I501" s="17"/>
    </row>
    <row r="502" spans="1:9">
      <c r="A502" s="16"/>
      <c r="B502" s="17"/>
      <c r="C502" s="17"/>
      <c r="D502" s="17"/>
      <c r="E502" s="17"/>
      <c r="F502" s="17"/>
      <c r="G502" s="17"/>
      <c r="H502" s="17"/>
      <c r="I502" s="17"/>
    </row>
    <row r="503" spans="1:9">
      <c r="A503" s="16"/>
      <c r="B503" s="17"/>
      <c r="C503" s="17"/>
      <c r="D503" s="17"/>
      <c r="E503" s="17"/>
      <c r="F503" s="17"/>
      <c r="G503" s="17"/>
      <c r="H503" s="17"/>
      <c r="I503" s="17"/>
    </row>
    <row r="504" spans="1:9">
      <c r="A504" s="16"/>
      <c r="B504" s="17"/>
      <c r="C504" s="17"/>
      <c r="D504" s="17"/>
      <c r="E504" s="17"/>
      <c r="F504" s="17"/>
      <c r="G504" s="17"/>
      <c r="H504" s="17"/>
      <c r="I504" s="17"/>
    </row>
    <row r="505" spans="1:9">
      <c r="A505" s="16"/>
      <c r="B505" s="17"/>
      <c r="C505" s="17"/>
      <c r="D505" s="17"/>
      <c r="E505" s="17"/>
      <c r="F505" s="17"/>
      <c r="G505" s="17"/>
      <c r="H505" s="17"/>
      <c r="I505" s="17"/>
    </row>
    <row r="506" spans="1:9">
      <c r="A506" s="16"/>
      <c r="B506" s="17"/>
      <c r="C506" s="17"/>
      <c r="D506" s="17"/>
      <c r="E506" s="17"/>
      <c r="F506" s="17"/>
      <c r="G506" s="17"/>
      <c r="H506" s="17"/>
      <c r="I506" s="17"/>
    </row>
    <row r="507" spans="1:9">
      <c r="A507" s="16"/>
      <c r="B507" s="17"/>
      <c r="C507" s="17"/>
      <c r="D507" s="17"/>
      <c r="E507" s="17"/>
      <c r="F507" s="17"/>
      <c r="G507" s="17"/>
      <c r="H507" s="17"/>
      <c r="I507" s="17"/>
    </row>
    <row r="508" spans="1:9">
      <c r="A508" s="16"/>
      <c r="B508" s="17"/>
      <c r="C508" s="17"/>
      <c r="D508" s="17"/>
      <c r="E508" s="17"/>
      <c r="F508" s="17"/>
      <c r="G508" s="17"/>
      <c r="H508" s="17"/>
      <c r="I508" s="17"/>
    </row>
    <row r="509" spans="1:9">
      <c r="A509" s="16"/>
      <c r="B509" s="17"/>
      <c r="C509" s="17"/>
      <c r="D509" s="17"/>
      <c r="E509" s="17"/>
      <c r="F509" s="17"/>
      <c r="G509" s="17"/>
      <c r="H509" s="17"/>
      <c r="I509" s="17"/>
    </row>
    <row r="510" spans="1:9">
      <c r="A510" s="16"/>
      <c r="B510" s="17"/>
      <c r="C510" s="17"/>
      <c r="D510" s="17"/>
      <c r="E510" s="17"/>
      <c r="F510" s="17"/>
      <c r="G510" s="17"/>
      <c r="H510" s="17"/>
      <c r="I510" s="17"/>
    </row>
    <row r="511" spans="1:9">
      <c r="A511" s="16"/>
      <c r="B511" s="17"/>
      <c r="C511" s="17"/>
      <c r="D511" s="17"/>
      <c r="E511" s="17"/>
      <c r="F511" s="17"/>
      <c r="G511" s="17"/>
      <c r="H511" s="17"/>
      <c r="I511" s="17"/>
    </row>
    <row r="512" spans="1:9">
      <c r="A512" s="16"/>
      <c r="B512" s="17"/>
      <c r="C512" s="17"/>
      <c r="D512" s="17"/>
      <c r="E512" s="17"/>
      <c r="F512" s="17"/>
      <c r="G512" s="17"/>
      <c r="H512" s="17"/>
      <c r="I512" s="17"/>
    </row>
    <row r="513" spans="1:9">
      <c r="A513" s="16"/>
      <c r="B513" s="17"/>
      <c r="C513" s="17"/>
      <c r="D513" s="17"/>
      <c r="E513" s="17"/>
      <c r="F513" s="17"/>
      <c r="G513" s="17"/>
      <c r="H513" s="17"/>
      <c r="I513" s="17"/>
    </row>
    <row r="514" spans="1:9">
      <c r="A514" s="16"/>
      <c r="B514" s="17"/>
      <c r="C514" s="17"/>
      <c r="D514" s="17"/>
      <c r="E514" s="17"/>
      <c r="F514" s="17"/>
      <c r="G514" s="17"/>
      <c r="H514" s="17"/>
      <c r="I514" s="17"/>
    </row>
    <row r="515" spans="1:9">
      <c r="A515" s="16"/>
      <c r="B515" s="17"/>
      <c r="C515" s="17"/>
      <c r="D515" s="17"/>
      <c r="E515" s="17"/>
      <c r="F515" s="17"/>
      <c r="G515" s="17"/>
      <c r="H515" s="17"/>
      <c r="I515" s="17"/>
    </row>
    <row r="516" spans="1:9">
      <c r="A516" s="16"/>
      <c r="B516" s="17"/>
      <c r="C516" s="17"/>
      <c r="D516" s="17"/>
      <c r="E516" s="17"/>
      <c r="F516" s="17"/>
      <c r="G516" s="17"/>
      <c r="H516" s="17"/>
      <c r="I516" s="17"/>
    </row>
    <row r="517" spans="1:9">
      <c r="A517" s="16"/>
      <c r="B517" s="17"/>
      <c r="C517" s="17"/>
      <c r="D517" s="17"/>
      <c r="E517" s="17"/>
      <c r="F517" s="17"/>
      <c r="G517" s="17"/>
      <c r="H517" s="17"/>
      <c r="I517" s="17"/>
    </row>
    <row r="518" spans="1:9">
      <c r="A518" s="16"/>
      <c r="B518" s="17"/>
      <c r="C518" s="17"/>
      <c r="D518" s="17"/>
      <c r="E518" s="17"/>
      <c r="F518" s="17"/>
      <c r="G518" s="17"/>
      <c r="H518" s="17"/>
      <c r="I518" s="17"/>
    </row>
    <row r="519" spans="1:9">
      <c r="A519" s="16"/>
      <c r="B519" s="17"/>
      <c r="C519" s="17"/>
      <c r="D519" s="17"/>
      <c r="E519" s="17"/>
      <c r="F519" s="17"/>
      <c r="G519" s="17"/>
      <c r="H519" s="17"/>
      <c r="I519" s="17"/>
    </row>
    <row r="520" spans="1:9">
      <c r="A520" s="16"/>
      <c r="B520" s="17"/>
      <c r="C520" s="17"/>
      <c r="D520" s="17"/>
      <c r="E520" s="17"/>
      <c r="F520" s="17"/>
      <c r="G520" s="17"/>
      <c r="H520" s="17"/>
      <c r="I520" s="17"/>
    </row>
    <row r="521" spans="1:9">
      <c r="A521" s="16"/>
      <c r="B521" s="17"/>
      <c r="C521" s="17"/>
      <c r="D521" s="17"/>
      <c r="E521" s="17"/>
      <c r="F521" s="17"/>
      <c r="G521" s="17"/>
      <c r="H521" s="17"/>
      <c r="I521" s="17"/>
    </row>
    <row r="522" spans="1:9">
      <c r="A522" s="16"/>
      <c r="B522" s="17"/>
      <c r="C522" s="17"/>
      <c r="D522" s="17"/>
      <c r="E522" s="17"/>
      <c r="F522" s="17"/>
      <c r="G522" s="17"/>
      <c r="H522" s="17"/>
      <c r="I522" s="17"/>
    </row>
    <row r="523" spans="1:9">
      <c r="A523" s="16"/>
      <c r="B523" s="17"/>
      <c r="C523" s="17"/>
      <c r="D523" s="17"/>
      <c r="E523" s="17"/>
      <c r="F523" s="17"/>
      <c r="G523" s="17"/>
      <c r="H523" s="17"/>
      <c r="I523" s="17"/>
    </row>
    <row r="524" spans="1:9">
      <c r="A524" s="16"/>
      <c r="B524" s="17"/>
      <c r="C524" s="17"/>
      <c r="D524" s="17"/>
      <c r="E524" s="17"/>
      <c r="F524" s="17"/>
      <c r="G524" s="17"/>
      <c r="H524" s="17"/>
      <c r="I524" s="17"/>
    </row>
    <row r="525" spans="1:9">
      <c r="A525" s="16"/>
      <c r="B525" s="17"/>
      <c r="C525" s="17"/>
      <c r="D525" s="17"/>
      <c r="E525" s="17"/>
      <c r="F525" s="17"/>
      <c r="G525" s="17"/>
      <c r="H525" s="17"/>
      <c r="I525" s="17"/>
    </row>
    <row r="526" spans="1:9">
      <c r="A526" s="16"/>
      <c r="B526" s="17"/>
      <c r="C526" s="17"/>
      <c r="D526" s="17"/>
      <c r="E526" s="17"/>
      <c r="F526" s="17"/>
      <c r="G526" s="17"/>
      <c r="H526" s="17"/>
      <c r="I526" s="17"/>
    </row>
    <row r="527" spans="1:9">
      <c r="A527" s="16"/>
      <c r="B527" s="17"/>
      <c r="C527" s="17"/>
      <c r="D527" s="17"/>
      <c r="E527" s="17"/>
      <c r="F527" s="17"/>
      <c r="G527" s="17"/>
      <c r="H527" s="17"/>
      <c r="I527" s="17"/>
    </row>
    <row r="528" spans="1:9">
      <c r="A528" s="16"/>
      <c r="B528" s="17"/>
      <c r="C528" s="17"/>
      <c r="D528" s="17"/>
      <c r="E528" s="17"/>
      <c r="F528" s="17"/>
      <c r="G528" s="17"/>
      <c r="H528" s="17"/>
      <c r="I528" s="17"/>
    </row>
    <row r="529" spans="1:9">
      <c r="A529" s="16"/>
      <c r="B529" s="17"/>
      <c r="C529" s="17"/>
      <c r="D529" s="17"/>
      <c r="E529" s="17"/>
      <c r="F529" s="17"/>
      <c r="G529" s="17"/>
      <c r="H529" s="17"/>
      <c r="I529" s="17"/>
    </row>
    <row r="530" spans="1:9">
      <c r="A530" s="16"/>
      <c r="B530" s="17"/>
      <c r="C530" s="17"/>
      <c r="D530" s="17"/>
      <c r="E530" s="17"/>
      <c r="F530" s="17"/>
      <c r="G530" s="17"/>
      <c r="H530" s="17"/>
      <c r="I530" s="17"/>
    </row>
    <row r="531" spans="1:9">
      <c r="A531" s="16"/>
      <c r="B531" s="17"/>
      <c r="C531" s="17"/>
      <c r="D531" s="17"/>
      <c r="E531" s="17"/>
      <c r="F531" s="17"/>
      <c r="G531" s="17"/>
      <c r="H531" s="17"/>
      <c r="I531" s="17"/>
    </row>
    <row r="532" spans="1:9">
      <c r="A532" s="16"/>
      <c r="B532" s="17"/>
      <c r="C532" s="17"/>
      <c r="D532" s="17"/>
      <c r="E532" s="17"/>
      <c r="F532" s="17"/>
      <c r="G532" s="17"/>
      <c r="H532" s="17"/>
      <c r="I532" s="17"/>
    </row>
    <row r="533" spans="1:9">
      <c r="A533" s="16"/>
      <c r="B533" s="17"/>
      <c r="C533" s="17"/>
      <c r="D533" s="17"/>
      <c r="E533" s="17"/>
      <c r="F533" s="17"/>
      <c r="G533" s="17"/>
      <c r="H533" s="17"/>
      <c r="I533" s="17"/>
    </row>
    <row r="534" spans="1:9">
      <c r="A534" s="16"/>
      <c r="B534" s="17"/>
      <c r="C534" s="17"/>
      <c r="D534" s="17"/>
      <c r="E534" s="17"/>
      <c r="F534" s="17"/>
      <c r="G534" s="17"/>
      <c r="H534" s="17"/>
      <c r="I534" s="17"/>
    </row>
    <row r="535" spans="1:9">
      <c r="A535" s="16"/>
      <c r="B535" s="17"/>
      <c r="C535" s="17"/>
      <c r="D535" s="17"/>
      <c r="E535" s="17"/>
      <c r="F535" s="17"/>
      <c r="G535" s="17"/>
      <c r="H535" s="17"/>
      <c r="I535" s="17"/>
    </row>
    <row r="536" spans="1:9">
      <c r="A536" s="16"/>
      <c r="B536" s="17"/>
      <c r="C536" s="17"/>
      <c r="D536" s="17"/>
      <c r="E536" s="17"/>
      <c r="F536" s="17"/>
      <c r="G536" s="17"/>
      <c r="H536" s="17"/>
      <c r="I536" s="17"/>
    </row>
    <row r="537" spans="1:9">
      <c r="A537" s="16"/>
      <c r="B537" s="17"/>
      <c r="C537" s="17"/>
      <c r="D537" s="17"/>
      <c r="E537" s="17"/>
      <c r="F537" s="17"/>
      <c r="G537" s="17"/>
      <c r="H537" s="17"/>
      <c r="I537" s="17"/>
    </row>
    <row r="538" spans="1:9">
      <c r="A538" s="16"/>
      <c r="B538" s="17"/>
      <c r="C538" s="17"/>
      <c r="D538" s="17"/>
      <c r="E538" s="17"/>
      <c r="F538" s="17"/>
      <c r="G538" s="17"/>
      <c r="H538" s="17"/>
      <c r="I538" s="17"/>
    </row>
    <row r="539" spans="1:9">
      <c r="A539" s="16"/>
      <c r="B539" s="17"/>
      <c r="C539" s="17"/>
      <c r="D539" s="17"/>
      <c r="E539" s="17"/>
      <c r="F539" s="17"/>
      <c r="G539" s="17"/>
      <c r="H539" s="17"/>
      <c r="I539" s="17"/>
    </row>
    <row r="540" spans="1:9">
      <c r="A540" s="16"/>
      <c r="B540" s="17"/>
      <c r="C540" s="17"/>
      <c r="D540" s="17"/>
      <c r="E540" s="17"/>
      <c r="F540" s="17"/>
      <c r="G540" s="17"/>
      <c r="H540" s="17"/>
      <c r="I540" s="17"/>
    </row>
    <row r="541" spans="1:9">
      <c r="A541" s="16"/>
      <c r="B541" s="17"/>
      <c r="C541" s="17"/>
      <c r="D541" s="17"/>
      <c r="E541" s="17"/>
      <c r="F541" s="17"/>
      <c r="G541" s="17"/>
      <c r="H541" s="17"/>
      <c r="I541" s="17"/>
    </row>
    <row r="542" spans="1:9">
      <c r="A542" s="16"/>
      <c r="B542" s="17"/>
      <c r="C542" s="17"/>
      <c r="D542" s="17"/>
      <c r="E542" s="17"/>
      <c r="F542" s="17"/>
      <c r="G542" s="17"/>
      <c r="H542" s="17"/>
      <c r="I542" s="17"/>
    </row>
    <row r="543" spans="1:9">
      <c r="A543" s="16"/>
      <c r="B543" s="17"/>
      <c r="C543" s="17"/>
      <c r="D543" s="17"/>
      <c r="E543" s="17"/>
      <c r="F543" s="17"/>
      <c r="G543" s="17"/>
      <c r="H543" s="17"/>
      <c r="I543" s="17"/>
    </row>
    <row r="544" spans="1:9">
      <c r="A544" s="16"/>
      <c r="B544" s="17"/>
      <c r="C544" s="17"/>
      <c r="D544" s="17"/>
      <c r="E544" s="17"/>
      <c r="F544" s="17"/>
      <c r="G544" s="17"/>
      <c r="H544" s="17"/>
      <c r="I544" s="17"/>
    </row>
    <row r="545" spans="1:9">
      <c r="A545" s="16"/>
      <c r="B545" s="17"/>
      <c r="C545" s="17"/>
      <c r="D545" s="17"/>
      <c r="E545" s="17"/>
      <c r="F545" s="17"/>
      <c r="G545" s="17"/>
      <c r="H545" s="17"/>
      <c r="I545" s="17"/>
    </row>
    <row r="546" spans="1:9">
      <c r="A546" s="16"/>
      <c r="B546" s="17"/>
      <c r="C546" s="17"/>
      <c r="D546" s="17"/>
      <c r="E546" s="17"/>
      <c r="F546" s="17"/>
      <c r="G546" s="17"/>
      <c r="H546" s="17"/>
      <c r="I546" s="17"/>
    </row>
    <row r="547" spans="1:9">
      <c r="A547" s="16"/>
      <c r="B547" s="17"/>
      <c r="C547" s="17"/>
      <c r="D547" s="17"/>
      <c r="E547" s="17"/>
      <c r="F547" s="17"/>
      <c r="G547" s="17"/>
      <c r="H547" s="17"/>
      <c r="I547" s="17"/>
    </row>
    <row r="548" spans="1:9">
      <c r="A548" s="16"/>
      <c r="B548" s="17"/>
      <c r="C548" s="17"/>
      <c r="D548" s="17"/>
      <c r="E548" s="17"/>
      <c r="F548" s="17"/>
      <c r="G548" s="17"/>
      <c r="H548" s="17"/>
      <c r="I548" s="17"/>
    </row>
    <row r="549" spans="1:9">
      <c r="A549" s="16"/>
      <c r="B549" s="17"/>
      <c r="C549" s="17"/>
      <c r="D549" s="17"/>
      <c r="E549" s="17"/>
      <c r="F549" s="17"/>
      <c r="G549" s="17"/>
      <c r="H549" s="17"/>
      <c r="I549" s="17"/>
    </row>
    <row r="550" spans="1:9">
      <c r="A550" s="16"/>
      <c r="B550" s="17"/>
      <c r="C550" s="17"/>
      <c r="D550" s="17"/>
      <c r="E550" s="17"/>
      <c r="F550" s="17"/>
      <c r="G550" s="17"/>
      <c r="H550" s="17"/>
      <c r="I550" s="17"/>
    </row>
    <row r="551" spans="1:9">
      <c r="A551" s="16"/>
      <c r="B551" s="17"/>
      <c r="C551" s="17"/>
      <c r="D551" s="17"/>
      <c r="E551" s="17"/>
      <c r="F551" s="17"/>
      <c r="G551" s="17"/>
      <c r="H551" s="17"/>
      <c r="I551" s="17"/>
    </row>
    <row r="552" spans="1:9">
      <c r="A552" s="16"/>
      <c r="B552" s="17"/>
      <c r="C552" s="17"/>
      <c r="D552" s="17"/>
      <c r="E552" s="17"/>
      <c r="F552" s="17"/>
      <c r="G552" s="17"/>
      <c r="H552" s="17"/>
      <c r="I552" s="17"/>
    </row>
    <row r="553" spans="1:9">
      <c r="A553" s="16"/>
      <c r="B553" s="17"/>
      <c r="C553" s="17"/>
      <c r="D553" s="17"/>
      <c r="E553" s="17"/>
      <c r="F553" s="17"/>
      <c r="G553" s="17"/>
      <c r="H553" s="17"/>
      <c r="I553" s="17"/>
    </row>
    <row r="554" spans="1:9">
      <c r="A554" s="16"/>
      <c r="B554" s="17"/>
      <c r="C554" s="17"/>
      <c r="D554" s="17"/>
      <c r="E554" s="17"/>
      <c r="F554" s="17"/>
      <c r="G554" s="17"/>
      <c r="H554" s="17"/>
      <c r="I554" s="17"/>
    </row>
    <row r="555" spans="1:9">
      <c r="A555" s="16"/>
      <c r="B555" s="17"/>
      <c r="C555" s="17"/>
      <c r="D555" s="17"/>
      <c r="E555" s="17"/>
      <c r="F555" s="17"/>
      <c r="G555" s="17"/>
      <c r="H555" s="17"/>
      <c r="I555" s="17"/>
    </row>
    <row r="556" spans="1:9">
      <c r="A556" s="16"/>
      <c r="B556" s="17"/>
      <c r="C556" s="17"/>
      <c r="D556" s="17"/>
      <c r="E556" s="17"/>
      <c r="F556" s="17"/>
      <c r="G556" s="17"/>
      <c r="H556" s="17"/>
      <c r="I556" s="17"/>
    </row>
    <row r="557" spans="1:9">
      <c r="A557" s="16"/>
      <c r="B557" s="17"/>
      <c r="C557" s="17"/>
      <c r="D557" s="17"/>
      <c r="E557" s="17"/>
      <c r="F557" s="17"/>
      <c r="G557" s="17"/>
      <c r="H557" s="17"/>
      <c r="I557" s="17"/>
    </row>
    <row r="558" spans="1:9">
      <c r="A558" s="16"/>
      <c r="B558" s="17"/>
      <c r="C558" s="17"/>
      <c r="D558" s="17"/>
      <c r="E558" s="17"/>
      <c r="F558" s="17"/>
      <c r="G558" s="17"/>
      <c r="H558" s="17"/>
      <c r="I558" s="17"/>
    </row>
    <row r="559" spans="1:9">
      <c r="A559" s="16"/>
      <c r="B559" s="17"/>
      <c r="C559" s="17"/>
      <c r="D559" s="17"/>
      <c r="E559" s="17"/>
      <c r="F559" s="17"/>
      <c r="G559" s="17"/>
      <c r="H559" s="17"/>
      <c r="I559" s="17"/>
    </row>
    <row r="560" spans="1:9">
      <c r="A560" s="16"/>
      <c r="B560" s="17"/>
      <c r="C560" s="17"/>
      <c r="D560" s="17"/>
      <c r="E560" s="17"/>
      <c r="F560" s="17"/>
      <c r="G560" s="17"/>
      <c r="H560" s="17"/>
      <c r="I560" s="17"/>
    </row>
    <row r="561" spans="1:9">
      <c r="A561" s="16"/>
      <c r="B561" s="17"/>
      <c r="C561" s="17"/>
      <c r="D561" s="17"/>
      <c r="E561" s="17"/>
      <c r="F561" s="17"/>
      <c r="G561" s="17"/>
      <c r="H561" s="17"/>
      <c r="I561" s="17"/>
    </row>
    <row r="562" spans="1:9">
      <c r="A562" s="16"/>
      <c r="B562" s="17"/>
      <c r="C562" s="17"/>
      <c r="D562" s="17"/>
      <c r="E562" s="17"/>
      <c r="F562" s="17"/>
      <c r="G562" s="17"/>
      <c r="H562" s="17"/>
      <c r="I562" s="17"/>
    </row>
    <row r="563" spans="1:9">
      <c r="A563" s="16"/>
      <c r="B563" s="17"/>
      <c r="C563" s="17"/>
      <c r="D563" s="17"/>
      <c r="E563" s="17"/>
      <c r="F563" s="17"/>
      <c r="G563" s="17"/>
      <c r="H563" s="17"/>
      <c r="I563" s="17"/>
    </row>
    <row r="564" spans="1:9">
      <c r="A564" s="16"/>
      <c r="B564" s="17"/>
      <c r="C564" s="17"/>
      <c r="D564" s="17"/>
      <c r="E564" s="17"/>
      <c r="F564" s="17"/>
      <c r="G564" s="17"/>
      <c r="H564" s="17"/>
      <c r="I564" s="17"/>
    </row>
    <row r="565" spans="1:9">
      <c r="A565" s="16"/>
      <c r="B565" s="17"/>
      <c r="C565" s="17"/>
      <c r="D565" s="17"/>
      <c r="E565" s="17"/>
      <c r="F565" s="17"/>
      <c r="G565" s="17"/>
      <c r="H565" s="17"/>
      <c r="I565" s="17"/>
    </row>
    <row r="566" spans="1:9">
      <c r="A566" s="16"/>
      <c r="B566" s="17"/>
      <c r="C566" s="17"/>
      <c r="D566" s="17"/>
      <c r="E566" s="17"/>
      <c r="F566" s="17"/>
      <c r="G566" s="17"/>
      <c r="H566" s="17"/>
      <c r="I566" s="17"/>
    </row>
    <row r="567" spans="1:9">
      <c r="A567" s="16"/>
      <c r="B567" s="17"/>
      <c r="C567" s="17"/>
      <c r="D567" s="17"/>
      <c r="E567" s="17"/>
      <c r="F567" s="17"/>
      <c r="G567" s="17"/>
      <c r="H567" s="17"/>
      <c r="I567" s="17"/>
    </row>
    <row r="568" spans="1:9">
      <c r="A568" s="16"/>
      <c r="B568" s="17"/>
      <c r="C568" s="17"/>
      <c r="D568" s="17"/>
      <c r="E568" s="17"/>
      <c r="F568" s="17"/>
      <c r="G568" s="17"/>
      <c r="H568" s="17"/>
      <c r="I568" s="17"/>
    </row>
    <row r="569" spans="1:9">
      <c r="A569" s="16"/>
      <c r="B569" s="17"/>
      <c r="C569" s="17"/>
      <c r="D569" s="17"/>
      <c r="E569" s="17"/>
      <c r="F569" s="17"/>
      <c r="G569" s="17"/>
      <c r="H569" s="17"/>
      <c r="I569" s="17"/>
    </row>
    <row r="570" spans="1:9">
      <c r="A570" s="16"/>
      <c r="B570" s="17"/>
      <c r="C570" s="17"/>
      <c r="D570" s="17"/>
      <c r="E570" s="17"/>
      <c r="F570" s="17"/>
      <c r="G570" s="17"/>
    </row>
  </sheetData>
  <mergeCells count="15">
    <mergeCell ref="C6:F6"/>
    <mergeCell ref="C7:F7"/>
    <mergeCell ref="C8:F8"/>
    <mergeCell ref="G8:G10"/>
    <mergeCell ref="C9:F9"/>
    <mergeCell ref="C10:F10"/>
    <mergeCell ref="I28:L28"/>
    <mergeCell ref="C34:F34"/>
    <mergeCell ref="C43:F43"/>
    <mergeCell ref="C11:F11"/>
    <mergeCell ref="C12:F12"/>
    <mergeCell ref="C15:F15"/>
    <mergeCell ref="C16:F16"/>
    <mergeCell ref="C17:F17"/>
    <mergeCell ref="H28:H2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0"/>
  <sheetViews>
    <sheetView zoomScaleNormal="100" workbookViewId="0">
      <selection activeCell="C11" sqref="C11:E11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7">
      <c r="A1" t="s">
        <v>117</v>
      </c>
      <c r="E1" t="s">
        <v>57</v>
      </c>
      <c r="F1" s="1">
        <v>2.9000000000000002E-15</v>
      </c>
      <c r="G1" t="s">
        <v>58</v>
      </c>
    </row>
    <row r="2" spans="1:7">
      <c r="B2" t="s">
        <v>1</v>
      </c>
      <c r="C2" s="1">
        <v>6.626068E-34</v>
      </c>
    </row>
    <row r="3" spans="1:7">
      <c r="B3" t="s">
        <v>2</v>
      </c>
      <c r="C3" s="1">
        <v>299792458</v>
      </c>
    </row>
    <row r="4" spans="1:7">
      <c r="B4" t="s">
        <v>3</v>
      </c>
      <c r="C4" s="1">
        <v>9.9999999999999995E-8</v>
      </c>
      <c r="D4" t="s">
        <v>4</v>
      </c>
    </row>
    <row r="5" spans="1:7">
      <c r="B5" s="2"/>
      <c r="C5" s="2" t="s">
        <v>47</v>
      </c>
      <c r="D5" s="2" t="s">
        <v>48</v>
      </c>
      <c r="E5" s="2" t="s">
        <v>115</v>
      </c>
    </row>
    <row r="6" spans="1:7">
      <c r="B6" s="2" t="s">
        <v>7</v>
      </c>
      <c r="C6" s="188">
        <v>170</v>
      </c>
      <c r="D6" s="188"/>
      <c r="E6" s="188"/>
    </row>
    <row r="7" spans="1:7">
      <c r="B7" s="2" t="s">
        <v>8</v>
      </c>
      <c r="C7" s="188">
        <v>0.75</v>
      </c>
      <c r="D7" s="188"/>
      <c r="E7" s="188"/>
    </row>
    <row r="8" spans="1:7">
      <c r="B8" s="2" t="s">
        <v>10</v>
      </c>
      <c r="C8" s="188">
        <v>0.28999999999999998</v>
      </c>
      <c r="D8" s="188"/>
      <c r="E8" s="32">
        <v>0.6</v>
      </c>
    </row>
    <row r="9" spans="1:7">
      <c r="B9" s="2" t="s">
        <v>13</v>
      </c>
      <c r="C9" s="2">
        <v>0.16</v>
      </c>
      <c r="D9" s="2">
        <f>C9*1.7</f>
        <v>0.27200000000000002</v>
      </c>
      <c r="E9" s="32">
        <f>C9*1.7</f>
        <v>0.27200000000000002</v>
      </c>
    </row>
    <row r="10" spans="1:7">
      <c r="B10" s="4" t="s">
        <v>46</v>
      </c>
      <c r="C10" s="2">
        <f>C7^3*C8*C9</f>
        <v>1.9574999999999999E-2</v>
      </c>
      <c r="D10" s="2">
        <f>C7^3*C8*D9</f>
        <v>3.3277500000000002E-2</v>
      </c>
      <c r="E10" s="2">
        <f>C7^3*E8*E9</f>
        <v>6.8850000000000008E-2</v>
      </c>
    </row>
    <row r="11" spans="1:7">
      <c r="B11" s="2" t="s">
        <v>15</v>
      </c>
      <c r="C11" s="33">
        <f>PI()*(C6/2)^2*C10</f>
        <v>444.31348550179587</v>
      </c>
      <c r="D11" s="33">
        <f>PI()*(C6/2)^2*D10</f>
        <v>755.33292535305316</v>
      </c>
      <c r="E11" s="33">
        <f>PI()*(C6/2)^2*E10</f>
        <v>1562.7577765925239</v>
      </c>
    </row>
    <row r="12" spans="1:7">
      <c r="B12" s="13" t="s">
        <v>50</v>
      </c>
      <c r="C12" s="188">
        <f>0.01*0.01</f>
        <v>1E-4</v>
      </c>
      <c r="D12" s="188"/>
      <c r="E12" s="188"/>
      <c r="F12" t="s">
        <v>52</v>
      </c>
    </row>
    <row r="13" spans="1:7">
      <c r="B13" s="2" t="s">
        <v>51</v>
      </c>
      <c r="C13" s="188">
        <v>1</v>
      </c>
      <c r="D13" s="188"/>
      <c r="E13" s="188"/>
    </row>
    <row r="14" spans="1:7">
      <c r="B14" s="2" t="s">
        <v>49</v>
      </c>
      <c r="C14" s="188">
        <f>C13*C12</f>
        <v>1E-4</v>
      </c>
      <c r="D14" s="188"/>
      <c r="E14" s="188"/>
    </row>
    <row r="15" spans="1:7">
      <c r="B15" s="2" t="s">
        <v>53</v>
      </c>
      <c r="C15" s="188">
        <v>10</v>
      </c>
      <c r="D15" s="188"/>
      <c r="E15" s="188"/>
    </row>
    <row r="16" spans="1:7">
      <c r="B16" s="2" t="s">
        <v>54</v>
      </c>
      <c r="C16" s="188">
        <f>C14*C15*3600</f>
        <v>3.6</v>
      </c>
      <c r="D16" s="188"/>
      <c r="E16" s="188"/>
    </row>
    <row r="17" spans="1:16">
      <c r="A17" t="s">
        <v>118</v>
      </c>
    </row>
    <row r="18" spans="1:16">
      <c r="A18" t="s">
        <v>63</v>
      </c>
      <c r="C18" s="189" t="s">
        <v>56</v>
      </c>
      <c r="D18" s="189"/>
      <c r="E18" s="189" t="s">
        <v>59</v>
      </c>
      <c r="F18" s="189"/>
      <c r="G18" s="189" t="s">
        <v>116</v>
      </c>
      <c r="H18" s="189"/>
      <c r="I18" t="s">
        <v>60</v>
      </c>
      <c r="K18" s="189"/>
      <c r="L18" s="189"/>
      <c r="M18" s="189"/>
      <c r="N18" s="189"/>
      <c r="O18" s="189"/>
      <c r="P18" s="189"/>
    </row>
    <row r="19" spans="1:16">
      <c r="A19" t="s">
        <v>62</v>
      </c>
      <c r="B19" t="s">
        <v>36</v>
      </c>
      <c r="C19" t="s">
        <v>55</v>
      </c>
      <c r="D19" t="s">
        <v>39</v>
      </c>
      <c r="E19" t="s">
        <v>55</v>
      </c>
      <c r="F19" t="s">
        <v>39</v>
      </c>
      <c r="G19" t="s">
        <v>55</v>
      </c>
      <c r="H19" t="s">
        <v>39</v>
      </c>
      <c r="I19" t="s">
        <v>61</v>
      </c>
    </row>
    <row r="20" spans="1:16">
      <c r="A20" s="1">
        <v>5.0000000000000002E-11</v>
      </c>
      <c r="B20" s="1">
        <f>A20*$C$4/($C$2*$C$3/1304*10000000000)</f>
        <v>3.282245067047231</v>
      </c>
      <c r="C20" s="1">
        <f>B20*$C$11*$C$15*3600</f>
        <v>52500446.856389917</v>
      </c>
      <c r="D20" s="1">
        <f>C20/SQRT(C20+($C$16)*2)</f>
        <v>7245.7187122045316</v>
      </c>
      <c r="E20" s="1">
        <f>B20*$D$11*$C$15*3600</f>
        <v>89250759.655862868</v>
      </c>
      <c r="F20" s="1">
        <f>E20/SQRT(E20+($C$16)*2)</f>
        <v>9447.2616379490319</v>
      </c>
      <c r="G20" s="1">
        <f>B20*$E$11*$C$15*3600</f>
        <v>184656744.11557835</v>
      </c>
      <c r="H20" s="1">
        <f>G20/SQRT(G20+($C$16)*2)</f>
        <v>13588.846047975474</v>
      </c>
      <c r="I20" s="1">
        <f>'WSO-UV_WUVS_130nm'!I30</f>
        <v>6138.4538121619853</v>
      </c>
      <c r="J20" s="1"/>
      <c r="K20" s="1"/>
      <c r="L20" s="1"/>
      <c r="M20" s="1"/>
      <c r="N20" s="1"/>
      <c r="O20" s="1"/>
      <c r="P20" s="1"/>
    </row>
    <row r="21" spans="1:16">
      <c r="A21" s="1">
        <v>4.5E-11</v>
      </c>
      <c r="B21" s="1">
        <f t="shared" ref="B21:B84" si="0">A21*$C$4/($C$2*$C$3/1304*10000000000)</f>
        <v>2.9540205603425083</v>
      </c>
      <c r="C21" s="1">
        <f t="shared" ref="C21:C84" si="1">B21*$C$11*$C$15*3600</f>
        <v>47250402.170750923</v>
      </c>
      <c r="D21" s="1">
        <f t="shared" ref="D21:D84" si="2">C21/SQRT(C21+($C$16)*2)</f>
        <v>6873.8922722684574</v>
      </c>
      <c r="E21" s="1">
        <f t="shared" ref="E21:E84" si="3">B21*$D$11*$C$15*3600</f>
        <v>80325683.690276578</v>
      </c>
      <c r="F21" s="1">
        <f t="shared" ref="F21:F84" si="4">E21/SQRT(E21+($C$16)*2)</f>
        <v>8962.4592880680484</v>
      </c>
      <c r="G21" s="1">
        <f t="shared" ref="G21:G84" si="5">B21*$E$11*$C$15*3600</f>
        <v>166191069.70402059</v>
      </c>
      <c r="H21" s="1">
        <f t="shared" ref="H21:H84" si="6">G21/SQRT(G21+($C$16)*2)</f>
        <v>12891.511257568714</v>
      </c>
      <c r="I21" s="1">
        <f>'WSO-UV_WUVS_130nm'!I31</f>
        <v>5823.3466729814008</v>
      </c>
      <c r="J21" s="1"/>
      <c r="K21" s="1"/>
      <c r="L21" s="1"/>
      <c r="M21" s="1"/>
      <c r="N21" s="1"/>
      <c r="O21" s="1"/>
      <c r="P21" s="1"/>
    </row>
    <row r="22" spans="1:16">
      <c r="A22" s="1">
        <v>3.9999999999999998E-11</v>
      </c>
      <c r="B22" s="1">
        <f t="shared" si="0"/>
        <v>2.6257960536377847</v>
      </c>
      <c r="C22" s="1">
        <f t="shared" si="1"/>
        <v>42000357.485111929</v>
      </c>
      <c r="D22" s="1">
        <f t="shared" si="2"/>
        <v>6480.7677234347138</v>
      </c>
      <c r="E22" s="1">
        <f t="shared" si="3"/>
        <v>71400607.724690303</v>
      </c>
      <c r="F22" s="1">
        <f t="shared" si="4"/>
        <v>8449.8876042638003</v>
      </c>
      <c r="G22" s="1">
        <f t="shared" si="5"/>
        <v>147725395.29246271</v>
      </c>
      <c r="H22" s="1">
        <f t="shared" si="6"/>
        <v>12154.233340382398</v>
      </c>
      <c r="I22" s="1">
        <f>'WSO-UV_WUVS_130nm'!I32</f>
        <v>5490.183771723955</v>
      </c>
      <c r="J22" s="1"/>
      <c r="K22" s="1"/>
      <c r="L22" s="1"/>
      <c r="M22" s="1"/>
      <c r="N22" s="1"/>
      <c r="O22" s="1"/>
      <c r="P22" s="1"/>
    </row>
    <row r="23" spans="1:16">
      <c r="A23" s="1">
        <v>3.5000000000000002E-11</v>
      </c>
      <c r="B23" s="1">
        <f t="shared" si="0"/>
        <v>2.2975715469330615</v>
      </c>
      <c r="C23" s="1">
        <f t="shared" si="1"/>
        <v>36750312.799472935</v>
      </c>
      <c r="D23" s="1">
        <f t="shared" si="2"/>
        <v>6062.2030318584966</v>
      </c>
      <c r="E23" s="1">
        <f t="shared" si="3"/>
        <v>62475531.759104013</v>
      </c>
      <c r="F23" s="1">
        <f t="shared" si="4"/>
        <v>7904.1460360436686</v>
      </c>
      <c r="G23" s="1">
        <f t="shared" si="5"/>
        <v>129259720.88090487</v>
      </c>
      <c r="H23" s="1">
        <f t="shared" si="6"/>
        <v>11369.244200073515</v>
      </c>
      <c r="I23" s="1">
        <f>'WSO-UV_WUVS_130nm'!I33</f>
        <v>5135.4522068934812</v>
      </c>
      <c r="J23" s="1"/>
      <c r="K23" s="1"/>
      <c r="L23" s="1"/>
      <c r="M23" s="1"/>
      <c r="N23" s="1"/>
      <c r="O23" s="1"/>
      <c r="P23" s="1"/>
    </row>
    <row r="24" spans="1:16">
      <c r="A24" s="1">
        <v>3E-11</v>
      </c>
      <c r="B24" s="1">
        <f t="shared" si="0"/>
        <v>1.9693470402283386</v>
      </c>
      <c r="C24" s="1">
        <f t="shared" si="1"/>
        <v>31500268.113833945</v>
      </c>
      <c r="D24" s="1">
        <f t="shared" si="2"/>
        <v>5612.50932416469</v>
      </c>
      <c r="E24" s="1">
        <f t="shared" si="3"/>
        <v>53550455.793517724</v>
      </c>
      <c r="F24" s="1">
        <f t="shared" si="4"/>
        <v>7317.8172014282154</v>
      </c>
      <c r="G24" s="1">
        <f t="shared" si="5"/>
        <v>110794046.46934702</v>
      </c>
      <c r="H24" s="1">
        <f t="shared" si="6"/>
        <v>10525.874750791379</v>
      </c>
      <c r="I24" s="1">
        <f>'WSO-UV_WUVS_130nm'!I34</f>
        <v>4754.326567858694</v>
      </c>
      <c r="J24" s="1"/>
      <c r="K24" s="1"/>
      <c r="L24" s="1"/>
      <c r="M24" s="1"/>
      <c r="N24" s="1"/>
      <c r="O24" s="1"/>
      <c r="P24" s="1"/>
    </row>
    <row r="25" spans="1:16">
      <c r="A25" s="1">
        <v>2.5000000000000001E-11</v>
      </c>
      <c r="B25" s="1">
        <f t="shared" si="0"/>
        <v>1.6411225335236155</v>
      </c>
      <c r="C25" s="1">
        <f t="shared" si="1"/>
        <v>26250223.428194959</v>
      </c>
      <c r="D25" s="1">
        <f t="shared" si="2"/>
        <v>5123.4964846476605</v>
      </c>
      <c r="E25" s="1">
        <f t="shared" si="3"/>
        <v>44625379.827931434</v>
      </c>
      <c r="F25" s="1">
        <f t="shared" si="4"/>
        <v>6680.2224983852593</v>
      </c>
      <c r="G25" s="1">
        <f t="shared" si="5"/>
        <v>92328372.057789177</v>
      </c>
      <c r="H25" s="1">
        <f t="shared" si="6"/>
        <v>9608.7650016945336</v>
      </c>
      <c r="I25" s="1">
        <f>'WSO-UV_WUVS_130nm'!I35</f>
        <v>4339.8586629567699</v>
      </c>
      <c r="J25" s="1"/>
      <c r="K25" s="1"/>
      <c r="L25" s="1"/>
      <c r="M25" s="1"/>
      <c r="N25" s="1"/>
      <c r="O25" s="1"/>
      <c r="P25" s="1"/>
    </row>
    <row r="26" spans="1:16">
      <c r="A26" s="1">
        <v>1.9999999999999999E-11</v>
      </c>
      <c r="B26" s="1">
        <f t="shared" si="0"/>
        <v>1.3128980268188923</v>
      </c>
      <c r="C26" s="1">
        <f t="shared" si="1"/>
        <v>21000178.742555965</v>
      </c>
      <c r="D26" s="1">
        <f t="shared" si="2"/>
        <v>4582.5944117452109</v>
      </c>
      <c r="E26" s="1">
        <f t="shared" si="3"/>
        <v>35700303.862345152</v>
      </c>
      <c r="F26" s="1">
        <f t="shared" si="4"/>
        <v>5974.9725239825666</v>
      </c>
      <c r="G26" s="1">
        <f t="shared" si="5"/>
        <v>73862697.646231353</v>
      </c>
      <c r="H26" s="1">
        <f t="shared" si="6"/>
        <v>8594.3406056678978</v>
      </c>
      <c r="I26" s="1">
        <f>'WSO-UV_WUVS_130nm'!I36</f>
        <v>3881.3819623793916</v>
      </c>
      <c r="J26" s="1"/>
      <c r="K26" s="1"/>
      <c r="L26" s="1"/>
      <c r="M26" s="1"/>
      <c r="N26" s="1"/>
      <c r="O26" s="1"/>
      <c r="P26" s="1"/>
    </row>
    <row r="27" spans="1:16">
      <c r="A27" s="1">
        <v>1.5E-11</v>
      </c>
      <c r="B27" s="1">
        <f t="shared" si="0"/>
        <v>0.98467352011416931</v>
      </c>
      <c r="C27" s="1">
        <f t="shared" si="1"/>
        <v>15750134.056916973</v>
      </c>
      <c r="D27" s="1">
        <f t="shared" si="2"/>
        <v>3968.6429490343758</v>
      </c>
      <c r="E27" s="1">
        <f t="shared" si="3"/>
        <v>26775227.896758862</v>
      </c>
      <c r="F27" s="1">
        <f t="shared" si="4"/>
        <v>5174.4778187524198</v>
      </c>
      <c r="G27" s="1">
        <f t="shared" si="5"/>
        <v>55397023.234673508</v>
      </c>
      <c r="H27" s="1">
        <f t="shared" si="6"/>
        <v>7442.9171723642366</v>
      </c>
      <c r="I27" s="1">
        <f>'WSO-UV_WUVS_130nm'!I37</f>
        <v>3360.9343799562848</v>
      </c>
      <c r="J27" s="1"/>
      <c r="K27" s="1"/>
      <c r="L27" s="1"/>
      <c r="M27" s="1"/>
      <c r="N27" s="1"/>
      <c r="O27" s="1"/>
      <c r="P27" s="1"/>
    </row>
    <row r="28" spans="1:16">
      <c r="A28" s="1">
        <v>9.9999999999999994E-12</v>
      </c>
      <c r="B28" s="1">
        <f t="shared" si="0"/>
        <v>0.65644901340944617</v>
      </c>
      <c r="C28" s="1">
        <f t="shared" si="1"/>
        <v>10500089.371277982</v>
      </c>
      <c r="D28" s="1">
        <f t="shared" si="2"/>
        <v>3240.3830284833489</v>
      </c>
      <c r="E28" s="1">
        <f t="shared" si="3"/>
        <v>17850151.931172576</v>
      </c>
      <c r="F28" s="1">
        <f t="shared" si="4"/>
        <v>4224.9431630704194</v>
      </c>
      <c r="G28" s="1">
        <f t="shared" si="5"/>
        <v>36931348.823115677</v>
      </c>
      <c r="H28" s="1">
        <f t="shared" si="6"/>
        <v>6077.1162259016473</v>
      </c>
      <c r="I28" s="1">
        <f>'WSO-UV_WUVS_130nm'!I38</f>
        <v>2743.4717028855675</v>
      </c>
      <c r="J28" s="1"/>
      <c r="K28" s="1"/>
      <c r="L28" s="1"/>
      <c r="M28" s="1"/>
      <c r="N28" s="1"/>
      <c r="O28" s="1"/>
      <c r="P28" s="1"/>
    </row>
    <row r="29" spans="1:16">
      <c r="A29" s="1">
        <v>9.4999999999999995E-12</v>
      </c>
      <c r="B29" s="1">
        <f t="shared" si="0"/>
        <v>0.62362656273897388</v>
      </c>
      <c r="C29" s="1">
        <f t="shared" si="1"/>
        <v>9975084.902714083</v>
      </c>
      <c r="D29" s="1">
        <f t="shared" si="2"/>
        <v>3158.3346407116651</v>
      </c>
      <c r="E29" s="1">
        <f t="shared" si="3"/>
        <v>16957644.334613945</v>
      </c>
      <c r="F29" s="1">
        <f t="shared" si="4"/>
        <v>4117.9651691845338</v>
      </c>
      <c r="G29" s="1">
        <f t="shared" si="5"/>
        <v>35084781.381959885</v>
      </c>
      <c r="H29" s="1">
        <f t="shared" si="6"/>
        <v>5923.2401759477352</v>
      </c>
      <c r="I29" s="1">
        <f>'WSO-UV_WUVS_130nm'!I39</f>
        <v>2673.894734671584</v>
      </c>
      <c r="J29" s="1"/>
      <c r="K29" s="1"/>
      <c r="L29" s="1"/>
      <c r="M29" s="1"/>
      <c r="N29" s="1"/>
      <c r="O29" s="1"/>
      <c r="P29" s="1"/>
    </row>
    <row r="30" spans="1:16">
      <c r="A30" s="1">
        <v>8.9999999999999996E-12</v>
      </c>
      <c r="B30" s="1">
        <f t="shared" si="0"/>
        <v>0.59080411206850147</v>
      </c>
      <c r="C30" s="1">
        <f t="shared" si="1"/>
        <v>9450080.4341501817</v>
      </c>
      <c r="D30" s="1">
        <f t="shared" si="2"/>
        <v>3074.0971413011121</v>
      </c>
      <c r="E30" s="1">
        <f t="shared" si="3"/>
        <v>16065136.738055315</v>
      </c>
      <c r="F30" s="1">
        <f t="shared" si="4"/>
        <v>4008.1329242003117</v>
      </c>
      <c r="G30" s="1">
        <f t="shared" si="5"/>
        <v>33238213.940804098</v>
      </c>
      <c r="H30" s="1">
        <f t="shared" si="6"/>
        <v>5765.2586013816981</v>
      </c>
      <c r="I30" s="1">
        <f>'WSO-UV_WUVS_130nm'!I40</f>
        <v>2602.4583048754635</v>
      </c>
      <c r="J30" s="1"/>
      <c r="K30" s="1"/>
      <c r="L30" s="1"/>
      <c r="M30" s="1"/>
      <c r="N30" s="1"/>
      <c r="O30" s="1"/>
      <c r="P30" s="1"/>
    </row>
    <row r="31" spans="1:16">
      <c r="A31" s="1">
        <v>8.4999999999999997E-12</v>
      </c>
      <c r="B31" s="1">
        <f t="shared" si="0"/>
        <v>0.55798166139802929</v>
      </c>
      <c r="C31" s="1">
        <f t="shared" si="1"/>
        <v>8925075.965586286</v>
      </c>
      <c r="D31" s="1">
        <f t="shared" si="2"/>
        <v>2987.4853582222113</v>
      </c>
      <c r="E31" s="1">
        <f t="shared" si="3"/>
        <v>15172629.141496688</v>
      </c>
      <c r="F31" s="1">
        <f t="shared" si="4"/>
        <v>3895.2049935144755</v>
      </c>
      <c r="G31" s="1">
        <f t="shared" si="5"/>
        <v>31391646.499648325</v>
      </c>
      <c r="H31" s="1">
        <f t="shared" si="6"/>
        <v>5602.8242253036969</v>
      </c>
      <c r="I31" s="1">
        <f>'WSO-UV_WUVS_130nm'!I41</f>
        <v>2529.004850381978</v>
      </c>
      <c r="J31" s="1"/>
      <c r="K31" s="1"/>
      <c r="L31" s="1"/>
      <c r="M31" s="1"/>
      <c r="N31" s="1"/>
      <c r="O31" s="1"/>
      <c r="P31" s="1"/>
    </row>
    <row r="32" spans="1:16">
      <c r="A32" s="1">
        <v>7.9999999999999998E-12</v>
      </c>
      <c r="B32" s="1">
        <f t="shared" si="0"/>
        <v>0.525159210727557</v>
      </c>
      <c r="C32" s="1">
        <f t="shared" si="1"/>
        <v>8400071.4970223866</v>
      </c>
      <c r="D32" s="1">
        <f t="shared" si="2"/>
        <v>2898.2864415079057</v>
      </c>
      <c r="E32" s="1">
        <f t="shared" si="3"/>
        <v>14280121.544938061</v>
      </c>
      <c r="F32" s="1">
        <f t="shared" si="4"/>
        <v>3778.9038549481111</v>
      </c>
      <c r="G32" s="1">
        <f t="shared" si="5"/>
        <v>29545079.058492538</v>
      </c>
      <c r="H32" s="1">
        <f t="shared" si="6"/>
        <v>5435.5378628516883</v>
      </c>
      <c r="I32" s="1">
        <f>'WSO-UV_WUVS_130nm'!I42</f>
        <v>2453.3532134615975</v>
      </c>
      <c r="J32" s="1"/>
      <c r="K32" s="1"/>
      <c r="L32" s="1"/>
      <c r="M32" s="1"/>
      <c r="N32" s="1"/>
      <c r="O32" s="1"/>
      <c r="P32" s="1"/>
    </row>
    <row r="33" spans="1:16">
      <c r="A33" s="1">
        <v>7.5E-12</v>
      </c>
      <c r="B33" s="1">
        <f t="shared" si="0"/>
        <v>0.49233676005708465</v>
      </c>
      <c r="C33" s="1">
        <f t="shared" si="1"/>
        <v>7875067.0284584863</v>
      </c>
      <c r="D33" s="1">
        <f t="shared" si="2"/>
        <v>2806.2536999467934</v>
      </c>
      <c r="E33" s="1">
        <f t="shared" si="3"/>
        <v>13387613.948379431</v>
      </c>
      <c r="F33" s="1">
        <f t="shared" si="4"/>
        <v>3658.9078627895651</v>
      </c>
      <c r="G33" s="1">
        <f t="shared" si="5"/>
        <v>27698511.617336754</v>
      </c>
      <c r="H33" s="1">
        <f t="shared" si="6"/>
        <v>5262.9368623743367</v>
      </c>
      <c r="I33" s="1">
        <f>'WSO-UV_WUVS_130nm'!I43</f>
        <v>2375.2933775037382</v>
      </c>
      <c r="J33" s="1"/>
      <c r="K33" s="1"/>
      <c r="L33" s="1"/>
      <c r="M33" s="1"/>
      <c r="N33" s="1"/>
      <c r="O33" s="1"/>
      <c r="P33" s="1"/>
    </row>
    <row r="34" spans="1:16">
      <c r="A34" s="1">
        <v>7.0000000000000001E-12</v>
      </c>
      <c r="B34" s="1">
        <f t="shared" si="0"/>
        <v>0.45951430938661231</v>
      </c>
      <c r="C34" s="1">
        <f t="shared" si="1"/>
        <v>7350062.5598945869</v>
      </c>
      <c r="D34" s="1">
        <f t="shared" si="2"/>
        <v>2711.0985522296382</v>
      </c>
      <c r="E34" s="1">
        <f t="shared" si="3"/>
        <v>12495106.3518208</v>
      </c>
      <c r="F34" s="1">
        <f t="shared" si="4"/>
        <v>3534.8407533897407</v>
      </c>
      <c r="G34" s="1">
        <f t="shared" si="5"/>
        <v>25851944.17618097</v>
      </c>
      <c r="H34" s="1">
        <f t="shared" si="6"/>
        <v>5084.4800104025362</v>
      </c>
      <c r="I34" s="1">
        <f>'WSO-UV_WUVS_130nm'!I44</f>
        <v>2294.5795889224396</v>
      </c>
      <c r="J34" s="1"/>
      <c r="K34" s="1"/>
      <c r="L34" s="1"/>
      <c r="M34" s="1"/>
      <c r="N34" s="1"/>
      <c r="O34" s="1"/>
      <c r="P34" s="1"/>
    </row>
    <row r="35" spans="1:16">
      <c r="A35" s="1">
        <v>6.5000000000000002E-12</v>
      </c>
      <c r="B35" s="1">
        <f t="shared" si="0"/>
        <v>0.42669185871614007</v>
      </c>
      <c r="C35" s="1">
        <f t="shared" si="1"/>
        <v>6825058.0913306894</v>
      </c>
      <c r="D35" s="1">
        <f t="shared" si="2"/>
        <v>2612.4798355850107</v>
      </c>
      <c r="E35" s="1">
        <f t="shared" si="3"/>
        <v>11602598.755262176</v>
      </c>
      <c r="F35" s="1">
        <f t="shared" si="4"/>
        <v>3406.2577053515261</v>
      </c>
      <c r="G35" s="1">
        <f t="shared" si="5"/>
        <v>24005376.73502519</v>
      </c>
      <c r="H35" s="1">
        <f t="shared" si="6"/>
        <v>4899.5274807911164</v>
      </c>
      <c r="I35" s="1">
        <f>'WSO-UV_WUVS_130nm'!I45</f>
        <v>2210.9212159295853</v>
      </c>
      <c r="J35" s="1"/>
      <c r="K35" s="1"/>
      <c r="L35" s="1"/>
      <c r="M35" s="1"/>
      <c r="N35" s="1"/>
      <c r="O35" s="1"/>
      <c r="P35" s="1"/>
    </row>
    <row r="36" spans="1:16">
      <c r="A36" s="1">
        <v>6.0000000000000003E-12</v>
      </c>
      <c r="B36" s="1">
        <f t="shared" si="0"/>
        <v>0.39386940804566772</v>
      </c>
      <c r="C36" s="1">
        <f t="shared" si="1"/>
        <v>6300053.62276679</v>
      </c>
      <c r="D36" s="1">
        <f t="shared" si="2"/>
        <v>2509.9893272233289</v>
      </c>
      <c r="E36" s="1">
        <f t="shared" si="3"/>
        <v>10710091.158703543</v>
      </c>
      <c r="F36" s="1">
        <f t="shared" si="4"/>
        <v>3272.6264618358732</v>
      </c>
      <c r="G36" s="1">
        <f t="shared" si="5"/>
        <v>22158809.293869402</v>
      </c>
      <c r="H36" s="1">
        <f t="shared" si="6"/>
        <v>4707.3136812700031</v>
      </c>
      <c r="I36" s="1">
        <f>'WSO-UV_WUVS_130nm'!I46</f>
        <v>2123.970361515047</v>
      </c>
      <c r="J36" s="1"/>
      <c r="K36" s="1"/>
      <c r="L36" s="1"/>
      <c r="M36" s="1"/>
      <c r="N36" s="1"/>
      <c r="O36" s="1"/>
      <c r="P36" s="1"/>
    </row>
    <row r="37" spans="1:16">
      <c r="A37" s="1">
        <v>5.5000000000000004E-12</v>
      </c>
      <c r="B37" s="1">
        <f t="shared" si="0"/>
        <v>0.36104695737519549</v>
      </c>
      <c r="C37" s="1">
        <f t="shared" si="1"/>
        <v>5775049.1542028915</v>
      </c>
      <c r="D37" s="1">
        <f t="shared" si="2"/>
        <v>2403.1316972259069</v>
      </c>
      <c r="E37" s="1">
        <f t="shared" si="3"/>
        <v>9817583.5621449184</v>
      </c>
      <c r="F37" s="1">
        <f t="shared" si="4"/>
        <v>3133.3011923768513</v>
      </c>
      <c r="G37" s="1">
        <f t="shared" si="5"/>
        <v>20312241.852713626</v>
      </c>
      <c r="H37" s="1">
        <f t="shared" si="6"/>
        <v>4506.909656595767</v>
      </c>
      <c r="I37" s="1">
        <f>'WSO-UV_WUVS_130nm'!I47</f>
        <v>2033.3047000168615</v>
      </c>
      <c r="J37" s="1"/>
      <c r="K37" s="1"/>
      <c r="L37" s="1"/>
      <c r="M37" s="1"/>
      <c r="N37" s="1"/>
      <c r="O37" s="1"/>
      <c r="P37" s="1"/>
    </row>
    <row r="38" spans="1:16">
      <c r="A38" s="1">
        <v>4.9999999999999997E-12</v>
      </c>
      <c r="B38" s="1">
        <f t="shared" si="0"/>
        <v>0.32822450670472308</v>
      </c>
      <c r="C38" s="1">
        <f t="shared" si="1"/>
        <v>5250044.6856389912</v>
      </c>
      <c r="D38" s="1">
        <f t="shared" si="2"/>
        <v>2291.296027502528</v>
      </c>
      <c r="E38" s="1">
        <f t="shared" si="3"/>
        <v>8925075.9655862879</v>
      </c>
      <c r="F38" s="1">
        <f t="shared" si="4"/>
        <v>2987.4853582222117</v>
      </c>
      <c r="G38" s="1">
        <f t="shared" si="5"/>
        <v>18465674.411557838</v>
      </c>
      <c r="H38" s="1">
        <f t="shared" si="6"/>
        <v>4297.1696745137542</v>
      </c>
      <c r="I38" s="1">
        <f>'WSO-UV_WUVS_130nm'!I48</f>
        <v>1938.403072655218</v>
      </c>
      <c r="J38" s="1"/>
      <c r="K38" s="1"/>
      <c r="L38" s="1"/>
      <c r="M38" s="1"/>
      <c r="N38" s="1"/>
      <c r="O38" s="1"/>
      <c r="P38" s="1"/>
    </row>
    <row r="39" spans="1:16">
      <c r="A39" s="1">
        <v>4.4999999999999998E-12</v>
      </c>
      <c r="B39" s="1">
        <f t="shared" si="0"/>
        <v>0.29540205603425074</v>
      </c>
      <c r="C39" s="1">
        <f t="shared" si="1"/>
        <v>4725040.2170750909</v>
      </c>
      <c r="D39" s="1">
        <f t="shared" si="2"/>
        <v>2173.7141065664687</v>
      </c>
      <c r="E39" s="1">
        <f t="shared" si="3"/>
        <v>8032568.3690276574</v>
      </c>
      <c r="F39" s="1">
        <f t="shared" si="4"/>
        <v>2834.1773354951015</v>
      </c>
      <c r="G39" s="1">
        <f t="shared" si="5"/>
        <v>16619106.970402049</v>
      </c>
      <c r="H39" s="1">
        <f t="shared" si="6"/>
        <v>4076.6530107926978</v>
      </c>
      <c r="I39" s="1">
        <f>'WSO-UV_WUVS_130nm'!I49</f>
        <v>1838.6097166962197</v>
      </c>
      <c r="J39" s="1"/>
      <c r="K39" s="1"/>
      <c r="L39" s="1"/>
      <c r="M39" s="1"/>
      <c r="N39" s="1"/>
      <c r="O39" s="1"/>
      <c r="P39" s="1"/>
    </row>
    <row r="40" spans="1:16">
      <c r="A40" s="1">
        <v>3.9999999999999999E-12</v>
      </c>
      <c r="B40" s="1">
        <f t="shared" si="0"/>
        <v>0.2625796053637785</v>
      </c>
      <c r="C40" s="1">
        <f t="shared" si="1"/>
        <v>4200035.7485111933</v>
      </c>
      <c r="D40" s="1">
        <f t="shared" si="2"/>
        <v>2049.3971183066342</v>
      </c>
      <c r="E40" s="1">
        <f t="shared" si="3"/>
        <v>7140060.7724690307</v>
      </c>
      <c r="F40" s="1">
        <f t="shared" si="4"/>
        <v>2672.0878676563561</v>
      </c>
      <c r="G40" s="1">
        <f t="shared" si="5"/>
        <v>14772539.529246269</v>
      </c>
      <c r="H40" s="1">
        <f t="shared" si="6"/>
        <v>3843.5052138965257</v>
      </c>
      <c r="I40" s="1">
        <f>'WSO-UV_WUVS_130nm'!I50</f>
        <v>1733.0798994104262</v>
      </c>
      <c r="J40" s="1"/>
      <c r="K40" s="1"/>
      <c r="L40" s="1"/>
      <c r="M40" s="1"/>
      <c r="N40" s="1"/>
      <c r="O40" s="1"/>
      <c r="P40" s="1"/>
    </row>
    <row r="41" spans="1:16">
      <c r="A41" s="1">
        <v>3.5E-12</v>
      </c>
      <c r="B41" s="1">
        <f t="shared" si="0"/>
        <v>0.22975715469330615</v>
      </c>
      <c r="C41" s="1">
        <f t="shared" si="1"/>
        <v>3675031.2799472935</v>
      </c>
      <c r="D41" s="1">
        <f t="shared" si="2"/>
        <v>1917.0352317997181</v>
      </c>
      <c r="E41" s="1">
        <f t="shared" si="3"/>
        <v>6247553.1759104002</v>
      </c>
      <c r="F41" s="1">
        <f t="shared" si="4"/>
        <v>2499.5091469964054</v>
      </c>
      <c r="G41" s="1">
        <f t="shared" si="5"/>
        <v>12925972.088090485</v>
      </c>
      <c r="H41" s="1">
        <f t="shared" si="6"/>
        <v>3595.2697935056967</v>
      </c>
      <c r="I41" s="1">
        <f>'WSO-UV_WUVS_130nm'!I51</f>
        <v>1620.6935717163994</v>
      </c>
      <c r="J41" s="1"/>
      <c r="K41" s="1"/>
      <c r="L41" s="1"/>
      <c r="M41" s="1"/>
      <c r="N41" s="1"/>
      <c r="O41" s="1"/>
      <c r="P41" s="1"/>
    </row>
    <row r="42" spans="1:16">
      <c r="A42" s="1">
        <v>3.0000000000000001E-12</v>
      </c>
      <c r="B42" s="1">
        <f t="shared" si="0"/>
        <v>0.19693470402283386</v>
      </c>
      <c r="C42" s="1">
        <f t="shared" si="1"/>
        <v>3150026.811383395</v>
      </c>
      <c r="D42" s="1">
        <f t="shared" si="2"/>
        <v>1774.8294598072941</v>
      </c>
      <c r="E42" s="1">
        <f t="shared" si="3"/>
        <v>5355045.5793517716</v>
      </c>
      <c r="F42" s="1">
        <f t="shared" si="4"/>
        <v>2314.0955856147025</v>
      </c>
      <c r="G42" s="1">
        <f t="shared" si="5"/>
        <v>11079404.646934701</v>
      </c>
      <c r="H42" s="1">
        <f t="shared" si="6"/>
        <v>3328.5728844265045</v>
      </c>
      <c r="I42" s="1">
        <f>'WSO-UV_WUVS_130nm'!I52</f>
        <v>1499.9105198666334</v>
      </c>
      <c r="J42" s="1"/>
      <c r="K42" s="1"/>
      <c r="L42" s="1"/>
      <c r="M42" s="1"/>
      <c r="N42" s="1"/>
      <c r="O42" s="1"/>
      <c r="P42" s="1"/>
    </row>
    <row r="43" spans="1:16">
      <c r="A43" s="1">
        <v>2.4999999999999998E-12</v>
      </c>
      <c r="B43" s="1">
        <f t="shared" si="0"/>
        <v>0.16411225335236154</v>
      </c>
      <c r="C43" s="1">
        <f t="shared" si="1"/>
        <v>2625022.3428194956</v>
      </c>
      <c r="D43" s="1">
        <f t="shared" si="2"/>
        <v>1620.1898477768721</v>
      </c>
      <c r="E43" s="1">
        <f t="shared" si="3"/>
        <v>4462537.982793144</v>
      </c>
      <c r="F43" s="1">
        <f t="shared" si="4"/>
        <v>2112.4703034136978</v>
      </c>
      <c r="G43" s="1">
        <f t="shared" si="5"/>
        <v>9232837.2057789192</v>
      </c>
      <c r="H43" s="1">
        <f t="shared" si="6"/>
        <v>3038.5572243722077</v>
      </c>
      <c r="I43" s="1">
        <f>'WSO-UV_WUVS_130nm'!I53</f>
        <v>1368.5097702293715</v>
      </c>
      <c r="J43" s="1"/>
      <c r="K43" s="1"/>
      <c r="L43" s="1"/>
      <c r="M43" s="1"/>
      <c r="N43" s="1"/>
      <c r="O43" s="1"/>
      <c r="P43" s="1"/>
    </row>
    <row r="44" spans="1:16">
      <c r="A44" s="1">
        <v>2E-12</v>
      </c>
      <c r="B44" s="1">
        <f t="shared" si="0"/>
        <v>0.13128980268188925</v>
      </c>
      <c r="C44" s="1">
        <f t="shared" si="1"/>
        <v>2100017.8742555967</v>
      </c>
      <c r="D44" s="1">
        <f t="shared" si="2"/>
        <v>1449.1413575908605</v>
      </c>
      <c r="E44" s="1">
        <f t="shared" si="3"/>
        <v>3570030.3862345153</v>
      </c>
      <c r="F44" s="1">
        <f t="shared" si="4"/>
        <v>1889.4504984913037</v>
      </c>
      <c r="G44" s="1">
        <f t="shared" si="5"/>
        <v>7386269.7646231344</v>
      </c>
      <c r="H44" s="1">
        <f t="shared" si="6"/>
        <v>2717.7679379649312</v>
      </c>
      <c r="I44" s="1">
        <f>'WSO-UV_WUVS_130nm'!I54</f>
        <v>1223.0750327341955</v>
      </c>
      <c r="J44" s="1"/>
      <c r="K44" s="1"/>
      <c r="L44" s="1"/>
      <c r="M44" s="1"/>
      <c r="N44" s="1"/>
      <c r="O44" s="1"/>
      <c r="P44" s="1"/>
    </row>
    <row r="45" spans="1:16">
      <c r="A45" s="1">
        <v>1.5000000000000001E-12</v>
      </c>
      <c r="B45" s="1">
        <f t="shared" si="0"/>
        <v>9.8467352011416931E-2</v>
      </c>
      <c r="C45" s="1">
        <f t="shared" si="1"/>
        <v>1575013.4056916975</v>
      </c>
      <c r="D45" s="1">
        <f t="shared" si="2"/>
        <v>1254.9925122185437</v>
      </c>
      <c r="E45" s="1">
        <f t="shared" si="3"/>
        <v>2677522.7896758858</v>
      </c>
      <c r="F45" s="1">
        <f t="shared" si="4"/>
        <v>1636.3115808718237</v>
      </c>
      <c r="G45" s="1">
        <f t="shared" si="5"/>
        <v>5539702.3234673506</v>
      </c>
      <c r="H45" s="1">
        <f t="shared" si="6"/>
        <v>2353.6556934854998</v>
      </c>
      <c r="I45" s="1">
        <f>'WSO-UV_WUVS_130nm'!I55</f>
        <v>1057.8365933830089</v>
      </c>
      <c r="J45" s="1"/>
      <c r="K45" s="1"/>
      <c r="L45" s="1"/>
      <c r="M45" s="1"/>
      <c r="N45" s="1"/>
      <c r="O45" s="1"/>
      <c r="P45" s="1"/>
    </row>
    <row r="46" spans="1:16">
      <c r="A46" s="1">
        <v>9.9999999999999998E-13</v>
      </c>
      <c r="B46" s="1">
        <f t="shared" si="0"/>
        <v>6.5644901340944625E-2</v>
      </c>
      <c r="C46" s="1">
        <f t="shared" si="1"/>
        <v>1050008.9371277983</v>
      </c>
      <c r="D46" s="1">
        <f t="shared" si="2"/>
        <v>1024.6959242512721</v>
      </c>
      <c r="E46" s="1">
        <f t="shared" si="3"/>
        <v>1785015.1931172577</v>
      </c>
      <c r="F46" s="1">
        <f t="shared" si="4"/>
        <v>1336.0419129452112</v>
      </c>
      <c r="G46" s="1">
        <f t="shared" si="5"/>
        <v>3693134.8823115672</v>
      </c>
      <c r="H46" s="1">
        <f t="shared" si="6"/>
        <v>1921.7512019836499</v>
      </c>
      <c r="I46" s="1">
        <f>'WSO-UV_WUVS_130nm'!I56</f>
        <v>861.48368689675556</v>
      </c>
      <c r="J46" s="1"/>
      <c r="K46" s="1"/>
      <c r="L46" s="1"/>
      <c r="M46" s="1"/>
      <c r="N46" s="1"/>
      <c r="O46" s="1"/>
      <c r="P46" s="1"/>
    </row>
    <row r="47" spans="1:16">
      <c r="A47" s="1">
        <v>9.4999999999999999E-13</v>
      </c>
      <c r="B47" s="1">
        <f t="shared" si="0"/>
        <v>6.2362656273897393E-2</v>
      </c>
      <c r="C47" s="1">
        <f t="shared" si="1"/>
        <v>997508.49027140834</v>
      </c>
      <c r="D47" s="1">
        <f t="shared" si="2"/>
        <v>998.74986374135619</v>
      </c>
      <c r="E47" s="1">
        <f t="shared" si="3"/>
        <v>1695764.4334613946</v>
      </c>
      <c r="F47" s="1">
        <f t="shared" si="4"/>
        <v>1302.2124379270708</v>
      </c>
      <c r="G47" s="1">
        <f t="shared" si="5"/>
        <v>3508478.1381959892</v>
      </c>
      <c r="H47" s="1">
        <f t="shared" si="6"/>
        <v>1873.0912786649678</v>
      </c>
      <c r="I47" s="1">
        <f>'WSO-UV_WUVS_130nm'!I57</f>
        <v>839.32782257466795</v>
      </c>
      <c r="J47" s="1"/>
      <c r="K47" s="1"/>
      <c r="L47" s="1"/>
      <c r="M47" s="1"/>
      <c r="N47" s="1"/>
      <c r="O47" s="1"/>
      <c r="P47" s="1"/>
    </row>
    <row r="48" spans="1:16">
      <c r="A48" s="1">
        <v>9E-13</v>
      </c>
      <c r="B48" s="1">
        <f t="shared" si="0"/>
        <v>5.9080411206850154E-2</v>
      </c>
      <c r="C48" s="1">
        <f t="shared" si="1"/>
        <v>945008.04341501836</v>
      </c>
      <c r="D48" s="1">
        <f t="shared" si="2"/>
        <v>972.11153859517299</v>
      </c>
      <c r="E48" s="1">
        <f t="shared" si="3"/>
        <v>1606513.6738055316</v>
      </c>
      <c r="F48" s="1">
        <f t="shared" si="4"/>
        <v>1267.480364280962</v>
      </c>
      <c r="G48" s="1">
        <f t="shared" si="5"/>
        <v>3323821.3940804107</v>
      </c>
      <c r="H48" s="1">
        <f t="shared" si="6"/>
        <v>1823.1330708689388</v>
      </c>
      <c r="I48" s="1">
        <f>'WSO-UV_WUVS_130nm'!I58</f>
        <v>816.57166662181965</v>
      </c>
      <c r="J48" s="1"/>
      <c r="K48" s="1"/>
      <c r="L48" s="1"/>
      <c r="M48" s="1"/>
      <c r="N48" s="1"/>
      <c r="O48" s="1"/>
      <c r="P48" s="1"/>
    </row>
    <row r="49" spans="1:16">
      <c r="A49" s="1">
        <v>8.5000000000000001E-13</v>
      </c>
      <c r="B49" s="1">
        <f t="shared" si="0"/>
        <v>5.5798166139802929E-2</v>
      </c>
      <c r="C49" s="1">
        <f t="shared" si="1"/>
        <v>892507.59655862849</v>
      </c>
      <c r="D49" s="1">
        <f t="shared" si="2"/>
        <v>944.72239129635932</v>
      </c>
      <c r="E49" s="1">
        <f t="shared" si="3"/>
        <v>1517262.9141496688</v>
      </c>
      <c r="F49" s="1">
        <f t="shared" si="4"/>
        <v>1231.7693429306621</v>
      </c>
      <c r="G49" s="1">
        <f t="shared" si="5"/>
        <v>3139164.6499648322</v>
      </c>
      <c r="H49" s="1">
        <f t="shared" si="6"/>
        <v>1771.7667594752268</v>
      </c>
      <c r="I49" s="1">
        <f>'WSO-UV_WUVS_130nm'!I59</f>
        <v>793.16366676317784</v>
      </c>
      <c r="J49" s="1"/>
      <c r="K49" s="1"/>
      <c r="L49" s="1"/>
      <c r="M49" s="1"/>
      <c r="N49" s="1"/>
      <c r="O49" s="1"/>
      <c r="P49" s="1"/>
    </row>
    <row r="50" spans="1:16">
      <c r="A50" s="1">
        <v>8.0000000000000002E-13</v>
      </c>
      <c r="B50" s="1">
        <f t="shared" si="0"/>
        <v>5.2515921072755697E-2</v>
      </c>
      <c r="C50" s="1">
        <f t="shared" si="1"/>
        <v>840007.14970223862</v>
      </c>
      <c r="D50" s="1">
        <f t="shared" si="2"/>
        <v>916.51511158515655</v>
      </c>
      <c r="E50" s="1">
        <f t="shared" si="3"/>
        <v>1428012.154493806</v>
      </c>
      <c r="F50" s="1">
        <f t="shared" si="4"/>
        <v>1194.9916127446702</v>
      </c>
      <c r="G50" s="1">
        <f t="shared" si="5"/>
        <v>2954507.9058492538</v>
      </c>
      <c r="H50" s="1">
        <f t="shared" si="6"/>
        <v>1718.8661105120432</v>
      </c>
      <c r="I50" s="1">
        <f>'WSO-UV_WUVS_130nm'!I60</f>
        <v>769.0444494182326</v>
      </c>
      <c r="J50" s="1"/>
      <c r="K50" s="1"/>
      <c r="L50" s="1"/>
      <c r="M50" s="1"/>
      <c r="N50" s="1"/>
      <c r="O50" s="1"/>
      <c r="P50" s="1"/>
    </row>
    <row r="51" spans="1:16">
      <c r="A51" s="1">
        <v>7.5000000000000004E-13</v>
      </c>
      <c r="B51" s="1">
        <f t="shared" si="0"/>
        <v>4.9233676005708465E-2</v>
      </c>
      <c r="C51" s="1">
        <f t="shared" si="1"/>
        <v>787506.70284584875</v>
      </c>
      <c r="D51" s="1">
        <f t="shared" si="2"/>
        <v>887.41168738735701</v>
      </c>
      <c r="E51" s="1">
        <f t="shared" si="3"/>
        <v>1338761.3948379429</v>
      </c>
      <c r="F51" s="1">
        <f t="shared" si="4"/>
        <v>1157.0454592956428</v>
      </c>
      <c r="G51" s="1">
        <f t="shared" si="5"/>
        <v>2769851.1617336753</v>
      </c>
      <c r="H51" s="1">
        <f t="shared" si="6"/>
        <v>1664.2848199008458</v>
      </c>
      <c r="I51" s="1">
        <f>'WSO-UV_WUVS_130nm'!I61</f>
        <v>744.14505237113451</v>
      </c>
      <c r="J51" s="1"/>
      <c r="K51" s="1"/>
      <c r="L51" s="1"/>
      <c r="M51" s="1"/>
      <c r="N51" s="1"/>
      <c r="O51" s="1"/>
      <c r="P51" s="1"/>
    </row>
    <row r="52" spans="1:16">
      <c r="A52" s="1">
        <v>7.0000000000000005E-13</v>
      </c>
      <c r="B52" s="1">
        <f t="shared" si="0"/>
        <v>4.595143093866124E-2</v>
      </c>
      <c r="C52" s="1">
        <f t="shared" si="1"/>
        <v>735006.25598945888</v>
      </c>
      <c r="D52" s="1">
        <f t="shared" si="2"/>
        <v>857.32085945694121</v>
      </c>
      <c r="E52" s="1">
        <f t="shared" si="3"/>
        <v>1249510.6351820803</v>
      </c>
      <c r="F52" s="1">
        <f t="shared" si="4"/>
        <v>1117.811896171967</v>
      </c>
      <c r="G52" s="1">
        <f t="shared" si="5"/>
        <v>2585194.4176180973</v>
      </c>
      <c r="H52" s="1">
        <f t="shared" si="6"/>
        <v>1607.8517399431298</v>
      </c>
      <c r="I52" s="1">
        <f>'WSO-UV_WUVS_130nm'!I62</f>
        <v>718.38460894707498</v>
      </c>
      <c r="J52" s="1"/>
      <c r="K52" s="1"/>
      <c r="L52" s="1"/>
      <c r="M52" s="1"/>
      <c r="N52" s="1"/>
      <c r="O52" s="1"/>
      <c r="P52" s="1"/>
    </row>
    <row r="53" spans="1:16">
      <c r="A53" s="1">
        <v>6.4999999999999996E-13</v>
      </c>
      <c r="B53" s="1">
        <f t="shared" si="0"/>
        <v>4.2669185871614002E-2</v>
      </c>
      <c r="C53" s="1">
        <f t="shared" si="1"/>
        <v>682505.80913306877</v>
      </c>
      <c r="D53" s="1">
        <f t="shared" si="2"/>
        <v>826.13474034749527</v>
      </c>
      <c r="E53" s="1">
        <f t="shared" si="3"/>
        <v>1160259.8755262173</v>
      </c>
      <c r="F53" s="1">
        <f t="shared" si="4"/>
        <v>1077.1502567287891</v>
      </c>
      <c r="G53" s="1">
        <f t="shared" si="5"/>
        <v>2400537.6735025183</v>
      </c>
      <c r="H53" s="1">
        <f t="shared" si="6"/>
        <v>1549.3645386170788</v>
      </c>
      <c r="I53" s="1">
        <f>'WSO-UV_WUVS_130nm'!I63</f>
        <v>691.66726039157675</v>
      </c>
      <c r="J53" s="1"/>
      <c r="K53" s="1"/>
      <c r="L53" s="1"/>
      <c r="M53" s="1"/>
      <c r="N53" s="1"/>
      <c r="O53" s="1"/>
      <c r="P53" s="1"/>
    </row>
    <row r="54" spans="1:16">
      <c r="A54" s="1">
        <v>5.9999999999999997E-13</v>
      </c>
      <c r="B54" s="1">
        <f t="shared" si="0"/>
        <v>3.938694080456677E-2</v>
      </c>
      <c r="C54" s="1">
        <f t="shared" si="1"/>
        <v>630005.36227667879</v>
      </c>
      <c r="D54" s="1">
        <f t="shared" si="2"/>
        <v>793.72423571348941</v>
      </c>
      <c r="E54" s="1">
        <f t="shared" si="3"/>
        <v>1071009.1158703545</v>
      </c>
      <c r="F54" s="1">
        <f t="shared" si="4"/>
        <v>1034.8922243010416</v>
      </c>
      <c r="G54" s="1">
        <f t="shared" si="5"/>
        <v>2215880.9293869399</v>
      </c>
      <c r="H54" s="1">
        <f t="shared" si="6"/>
        <v>1488.5811128085479</v>
      </c>
      <c r="I54" s="1">
        <f>'WSO-UV_WUVS_130nm'!I64</f>
        <v>663.87795720449481</v>
      </c>
      <c r="J54" s="1"/>
      <c r="K54" s="1"/>
      <c r="L54" s="1"/>
      <c r="M54" s="1"/>
      <c r="N54" s="1"/>
      <c r="O54" s="1"/>
      <c r="P54" s="1"/>
    </row>
    <row r="55" spans="1:16">
      <c r="A55" s="1">
        <v>5.4999999999999998E-13</v>
      </c>
      <c r="B55" s="1">
        <f t="shared" si="0"/>
        <v>3.6104695737519538E-2</v>
      </c>
      <c r="C55" s="1">
        <f t="shared" si="1"/>
        <v>577504.91542028903</v>
      </c>
      <c r="D55" s="1">
        <f t="shared" si="2"/>
        <v>759.93270459301425</v>
      </c>
      <c r="E55" s="1">
        <f t="shared" si="3"/>
        <v>981758.35621449142</v>
      </c>
      <c r="F55" s="1">
        <f t="shared" si="4"/>
        <v>990.83356638100133</v>
      </c>
      <c r="G55" s="1">
        <f t="shared" si="5"/>
        <v>2031224.1852713618</v>
      </c>
      <c r="H55" s="1">
        <f t="shared" si="6"/>
        <v>1425.2076990028097</v>
      </c>
      <c r="I55" s="1">
        <f>'WSO-UV_WUVS_130nm'!I65</f>
        <v>634.87661879688869</v>
      </c>
      <c r="J55" s="1"/>
      <c r="K55" s="1"/>
      <c r="L55" s="1"/>
      <c r="M55" s="1"/>
      <c r="N55" s="1"/>
      <c r="O55" s="1"/>
      <c r="P55" s="1"/>
    </row>
    <row r="56" spans="1:16">
      <c r="A56" s="1">
        <v>4.9999999999999999E-13</v>
      </c>
      <c r="B56" s="1">
        <f t="shared" si="0"/>
        <v>3.2822450670472313E-2</v>
      </c>
      <c r="C56" s="1">
        <f t="shared" si="1"/>
        <v>525004.46856389917</v>
      </c>
      <c r="D56" s="1">
        <f t="shared" si="2"/>
        <v>724.56695250517737</v>
      </c>
      <c r="E56" s="1">
        <f t="shared" si="3"/>
        <v>892507.59655862884</v>
      </c>
      <c r="F56" s="1">
        <f t="shared" si="4"/>
        <v>944.72239129635966</v>
      </c>
      <c r="G56" s="1">
        <f t="shared" si="5"/>
        <v>1846567.4411557836</v>
      </c>
      <c r="H56" s="1">
        <f t="shared" si="6"/>
        <v>1358.8819820660869</v>
      </c>
      <c r="I56" s="1">
        <f>'WSO-UV_WUVS_130nm'!I66</f>
        <v>604.48979314806741</v>
      </c>
      <c r="J56" s="1"/>
      <c r="K56" s="1"/>
      <c r="L56" s="1"/>
      <c r="M56" s="1"/>
      <c r="N56" s="1"/>
      <c r="O56" s="1"/>
      <c r="P56" s="1"/>
    </row>
    <row r="57" spans="1:16">
      <c r="A57" s="1">
        <v>4.5E-13</v>
      </c>
      <c r="B57" s="1">
        <f t="shared" si="0"/>
        <v>2.9540205603425077E-2</v>
      </c>
      <c r="C57" s="1">
        <f t="shared" si="1"/>
        <v>472504.02170750918</v>
      </c>
      <c r="D57" s="1">
        <f t="shared" si="2"/>
        <v>687.38404245168567</v>
      </c>
      <c r="E57" s="1">
        <f t="shared" si="3"/>
        <v>803256.83690276579</v>
      </c>
      <c r="F57" s="1">
        <f t="shared" si="4"/>
        <v>896.24195224688219</v>
      </c>
      <c r="G57" s="1">
        <f t="shared" si="5"/>
        <v>1661910.6970402054</v>
      </c>
      <c r="H57" s="1">
        <f t="shared" si="6"/>
        <v>1289.1483611560766</v>
      </c>
      <c r="I57" s="1">
        <f>'WSO-UV_WUVS_130nm'!I67</f>
        <v>572.49837266929114</v>
      </c>
      <c r="J57" s="1"/>
      <c r="K57" s="1"/>
      <c r="L57" s="1"/>
      <c r="M57" s="1"/>
      <c r="N57" s="1"/>
      <c r="O57" s="1"/>
      <c r="P57" s="1"/>
    </row>
    <row r="58" spans="1:16">
      <c r="A58" s="1">
        <v>4.0000000000000001E-13</v>
      </c>
      <c r="B58" s="1">
        <f t="shared" si="0"/>
        <v>2.6257960536377849E-2</v>
      </c>
      <c r="C58" s="1">
        <f t="shared" si="1"/>
        <v>420003.57485111931</v>
      </c>
      <c r="D58" s="1">
        <f t="shared" si="2"/>
        <v>648.07127306689404</v>
      </c>
      <c r="E58" s="1">
        <f t="shared" si="3"/>
        <v>714006.07724690298</v>
      </c>
      <c r="F58" s="1">
        <f t="shared" si="4"/>
        <v>844.98454265122905</v>
      </c>
      <c r="G58" s="1">
        <f t="shared" si="5"/>
        <v>1477253.9529246269</v>
      </c>
      <c r="H58" s="1">
        <f t="shared" si="6"/>
        <v>1215.4204017374889</v>
      </c>
      <c r="I58" s="1">
        <f>'WSO-UV_WUVS_130nm'!I68</f>
        <v>538.61882270204626</v>
      </c>
      <c r="J58" s="1"/>
      <c r="K58" s="1"/>
      <c r="L58" s="1"/>
      <c r="M58" s="1"/>
      <c r="N58" s="1"/>
      <c r="O58" s="1"/>
      <c r="P58" s="1"/>
    </row>
    <row r="59" spans="1:16">
      <c r="A59" s="1">
        <v>3.5000000000000002E-13</v>
      </c>
      <c r="B59" s="1">
        <f t="shared" si="0"/>
        <v>2.297571546933062E-2</v>
      </c>
      <c r="C59" s="1">
        <f t="shared" si="1"/>
        <v>367503.12799472944</v>
      </c>
      <c r="D59" s="1">
        <f t="shared" si="2"/>
        <v>606.21442422280484</v>
      </c>
      <c r="E59" s="1">
        <f t="shared" si="3"/>
        <v>624755.31759104016</v>
      </c>
      <c r="F59" s="1">
        <f t="shared" si="4"/>
        <v>790.41009461798728</v>
      </c>
      <c r="G59" s="1">
        <f t="shared" si="5"/>
        <v>1292597.2088090486</v>
      </c>
      <c r="H59" s="1">
        <f t="shared" si="6"/>
        <v>1136.9212852476437</v>
      </c>
      <c r="I59" s="1">
        <f>'WSO-UV_WUVS_130nm'!I69</f>
        <v>502.47318558270183</v>
      </c>
      <c r="J59" s="1"/>
      <c r="K59" s="1"/>
      <c r="L59" s="1"/>
      <c r="M59" s="1"/>
      <c r="N59" s="1"/>
      <c r="O59" s="1"/>
      <c r="P59" s="1"/>
    </row>
    <row r="60" spans="1:16">
      <c r="A60" s="1">
        <v>2.9999999999999998E-13</v>
      </c>
      <c r="B60" s="1">
        <f t="shared" si="0"/>
        <v>1.9693470402283385E-2</v>
      </c>
      <c r="C60" s="1">
        <f t="shared" si="1"/>
        <v>315002.68113833939</v>
      </c>
      <c r="D60" s="1">
        <f t="shared" si="2"/>
        <v>561.24458242633011</v>
      </c>
      <c r="E60" s="1">
        <f t="shared" si="3"/>
        <v>535504.55793517723</v>
      </c>
      <c r="F60" s="1">
        <f t="shared" si="4"/>
        <v>731.77684988798455</v>
      </c>
      <c r="G60" s="1">
        <f t="shared" si="5"/>
        <v>1107940.4646934699</v>
      </c>
      <c r="H60" s="1">
        <f t="shared" si="6"/>
        <v>1052.584089154049</v>
      </c>
      <c r="I60" s="1">
        <f>'WSO-UV_WUVS_130nm'!I70</f>
        <v>463.53841629379195</v>
      </c>
      <c r="J60" s="1"/>
      <c r="K60" s="1"/>
      <c r="L60" s="1"/>
      <c r="M60" s="1"/>
      <c r="N60" s="1"/>
      <c r="O60" s="1"/>
      <c r="P60" s="1"/>
    </row>
    <row r="61" spans="1:16">
      <c r="A61" s="1">
        <v>2.4999999999999999E-13</v>
      </c>
      <c r="B61" s="1">
        <f t="shared" si="0"/>
        <v>1.6411225335236156E-2</v>
      </c>
      <c r="C61" s="1">
        <f t="shared" si="1"/>
        <v>262502.23428194958</v>
      </c>
      <c r="D61" s="1">
        <f t="shared" si="2"/>
        <v>512.34269242317509</v>
      </c>
      <c r="E61" s="1">
        <f t="shared" si="3"/>
        <v>446253.79827931442</v>
      </c>
      <c r="F61" s="1">
        <f t="shared" si="4"/>
        <v>668.01691475252301</v>
      </c>
      <c r="G61" s="1">
        <f t="shared" si="5"/>
        <v>923283.7205778918</v>
      </c>
      <c r="H61" s="1">
        <f t="shared" si="6"/>
        <v>960.8727910780068</v>
      </c>
      <c r="I61" s="1">
        <f>'WSO-UV_WUVS_130nm'!I71</f>
        <v>421.05453691546501</v>
      </c>
      <c r="J61" s="1"/>
      <c r="K61" s="1"/>
      <c r="L61" s="1"/>
      <c r="M61" s="1"/>
      <c r="N61" s="1"/>
      <c r="O61" s="1"/>
      <c r="P61" s="1"/>
    </row>
    <row r="62" spans="1:16">
      <c r="A62" s="1">
        <v>2.0000000000000001E-13</v>
      </c>
      <c r="B62" s="1">
        <f t="shared" si="0"/>
        <v>1.3128980268188924E-2</v>
      </c>
      <c r="C62" s="1">
        <f t="shared" si="1"/>
        <v>210001.78742555965</v>
      </c>
      <c r="D62" s="1">
        <f t="shared" si="2"/>
        <v>458.25166412399011</v>
      </c>
      <c r="E62" s="1">
        <f t="shared" si="3"/>
        <v>357003.03862345149</v>
      </c>
      <c r="F62" s="1">
        <f t="shared" si="4"/>
        <v>597.49128760899714</v>
      </c>
      <c r="G62" s="1">
        <f t="shared" si="5"/>
        <v>738626.97646231344</v>
      </c>
      <c r="H62" s="1">
        <f t="shared" si="6"/>
        <v>859.42991368260914</v>
      </c>
      <c r="I62" s="1">
        <f>'WSO-UV_WUVS_130nm'!I72</f>
        <v>373.84179065406943</v>
      </c>
      <c r="J62" s="1"/>
      <c r="K62" s="1"/>
      <c r="L62" s="1"/>
      <c r="M62" s="1"/>
      <c r="N62" s="1"/>
      <c r="O62" s="1"/>
      <c r="P62" s="1"/>
    </row>
    <row r="63" spans="1:16">
      <c r="A63" s="1">
        <v>1.4999999999999999E-13</v>
      </c>
      <c r="B63" s="1">
        <f t="shared" si="0"/>
        <v>9.8467352011416924E-3</v>
      </c>
      <c r="C63" s="1">
        <f t="shared" si="1"/>
        <v>157501.3405691697</v>
      </c>
      <c r="D63" s="1">
        <f t="shared" si="2"/>
        <v>396.8553148167411</v>
      </c>
      <c r="E63" s="1">
        <f t="shared" si="3"/>
        <v>267752.27896758862</v>
      </c>
      <c r="F63" s="1">
        <f t="shared" si="4"/>
        <v>517.44089436494596</v>
      </c>
      <c r="G63" s="1">
        <f t="shared" si="5"/>
        <v>553970.23234673496</v>
      </c>
      <c r="H63" s="1">
        <f t="shared" si="6"/>
        <v>744.28692883881342</v>
      </c>
      <c r="I63" s="1">
        <f>'WSO-UV_WUVS_130nm'!I73</f>
        <v>319.88581373713481</v>
      </c>
      <c r="J63" s="1"/>
      <c r="K63" s="1"/>
      <c r="L63" s="1"/>
      <c r="M63" s="1"/>
      <c r="N63" s="1"/>
      <c r="O63" s="1"/>
      <c r="P63" s="1"/>
    </row>
    <row r="64" spans="1:16">
      <c r="A64" s="1">
        <v>1E-13</v>
      </c>
      <c r="B64" s="1">
        <f t="shared" si="0"/>
        <v>6.5644901340944622E-3</v>
      </c>
      <c r="C64" s="1">
        <f t="shared" si="1"/>
        <v>105000.89371277983</v>
      </c>
      <c r="D64" s="1">
        <f t="shared" si="2"/>
        <v>324.02730472362367</v>
      </c>
      <c r="E64" s="1">
        <f t="shared" si="3"/>
        <v>178501.51931172574</v>
      </c>
      <c r="F64" s="1">
        <f t="shared" si="4"/>
        <v>422.48588095004044</v>
      </c>
      <c r="G64" s="1">
        <f t="shared" si="5"/>
        <v>369313.48823115672</v>
      </c>
      <c r="H64" s="1">
        <f t="shared" si="6"/>
        <v>607.70575805361807</v>
      </c>
      <c r="I64" s="1">
        <f>'WSO-UV_WUVS_130nm'!I74</f>
        <v>255.19069622030563</v>
      </c>
      <c r="J64" s="1"/>
      <c r="K64" s="1"/>
      <c r="L64" s="1"/>
      <c r="M64" s="1"/>
      <c r="N64" s="1"/>
      <c r="O64" s="1"/>
      <c r="P64" s="1"/>
    </row>
    <row r="65" spans="1:16">
      <c r="A65" s="1">
        <v>9.4999999999999999E-14</v>
      </c>
      <c r="B65" s="1">
        <f t="shared" si="0"/>
        <v>6.2362656273897386E-3</v>
      </c>
      <c r="C65" s="1">
        <f t="shared" si="1"/>
        <v>99750.849027140823</v>
      </c>
      <c r="D65" s="1">
        <f t="shared" si="2"/>
        <v>315.82218026414506</v>
      </c>
      <c r="E65" s="1">
        <f t="shared" si="3"/>
        <v>169576.44334613945</v>
      </c>
      <c r="F65" s="1">
        <f t="shared" si="4"/>
        <v>411.78786243869467</v>
      </c>
      <c r="G65" s="1">
        <f t="shared" si="5"/>
        <v>350847.81381959887</v>
      </c>
      <c r="H65" s="1">
        <f t="shared" si="6"/>
        <v>592.31800071190833</v>
      </c>
      <c r="I65" s="1">
        <f>'WSO-UV_WUVS_130nm'!I75</f>
        <v>247.84279790542155</v>
      </c>
      <c r="J65" s="1"/>
      <c r="K65" s="1"/>
      <c r="L65" s="1"/>
      <c r="M65" s="1"/>
      <c r="N65" s="1"/>
      <c r="O65" s="1"/>
      <c r="P65" s="1"/>
    </row>
    <row r="66" spans="1:16">
      <c r="A66" s="1">
        <v>8.9999999999999995E-14</v>
      </c>
      <c r="B66" s="1">
        <f t="shared" si="0"/>
        <v>5.908041120685016E-3</v>
      </c>
      <c r="C66" s="1">
        <f t="shared" si="1"/>
        <v>94500.804341501833</v>
      </c>
      <c r="D66" s="1">
        <f t="shared" si="2"/>
        <v>307.39812115565508</v>
      </c>
      <c r="E66" s="1">
        <f t="shared" si="3"/>
        <v>160651.36738055319</v>
      </c>
      <c r="F66" s="1">
        <f t="shared" si="4"/>
        <v>400.80440080321603</v>
      </c>
      <c r="G66" s="1">
        <f t="shared" si="5"/>
        <v>332382.13940804108</v>
      </c>
      <c r="H66" s="1">
        <f t="shared" si="6"/>
        <v>576.51967838401038</v>
      </c>
      <c r="I66" s="1">
        <f>'WSO-UV_WUVS_130nm'!I76</f>
        <v>240.28465816905123</v>
      </c>
      <c r="J66" s="1"/>
      <c r="K66" s="1"/>
      <c r="L66" s="1"/>
      <c r="M66" s="1"/>
      <c r="N66" s="1"/>
      <c r="O66" s="1"/>
      <c r="P66" s="1"/>
    </row>
    <row r="67" spans="1:16">
      <c r="A67" s="1">
        <v>8.5000000000000004E-14</v>
      </c>
      <c r="B67" s="1">
        <f t="shared" si="0"/>
        <v>5.5798166139802924E-3</v>
      </c>
      <c r="C67" s="1">
        <f t="shared" si="1"/>
        <v>89250.759655862857</v>
      </c>
      <c r="D67" s="1">
        <f t="shared" si="2"/>
        <v>298.73660679041564</v>
      </c>
      <c r="E67" s="1">
        <f t="shared" si="3"/>
        <v>151726.29141496689</v>
      </c>
      <c r="F67" s="1">
        <f t="shared" si="4"/>
        <v>389.51134997149768</v>
      </c>
      <c r="G67" s="1">
        <f t="shared" si="5"/>
        <v>313916.46499648324</v>
      </c>
      <c r="H67" s="1">
        <f t="shared" si="6"/>
        <v>560.276061563957</v>
      </c>
      <c r="I67" s="1">
        <f>'WSO-UV_WUVS_130nm'!I77</f>
        <v>232.49798404650434</v>
      </c>
      <c r="J67" s="1"/>
      <c r="K67" s="1"/>
      <c r="L67" s="1"/>
      <c r="M67" s="1"/>
      <c r="N67" s="1"/>
      <c r="O67" s="1"/>
      <c r="P67" s="1"/>
    </row>
    <row r="68" spans="1:16">
      <c r="A68" s="1">
        <v>8E-14</v>
      </c>
      <c r="B68" s="1">
        <f t="shared" si="0"/>
        <v>5.2515921072755697E-3</v>
      </c>
      <c r="C68" s="1">
        <f t="shared" si="1"/>
        <v>84000.714970223853</v>
      </c>
      <c r="D68" s="1">
        <f t="shared" si="2"/>
        <v>289.81634803321322</v>
      </c>
      <c r="E68" s="1">
        <f t="shared" si="3"/>
        <v>142801.2154493806</v>
      </c>
      <c r="F68" s="1">
        <f t="shared" si="4"/>
        <v>377.88095455101256</v>
      </c>
      <c r="G68" s="1">
        <f t="shared" si="5"/>
        <v>295450.79058492539</v>
      </c>
      <c r="H68" s="1">
        <f t="shared" si="6"/>
        <v>543.54722955818829</v>
      </c>
      <c r="I68" s="1">
        <f>'WSO-UV_WUVS_130nm'!I78</f>
        <v>224.46176007742176</v>
      </c>
      <c r="J68" s="1"/>
      <c r="K68" s="1"/>
      <c r="L68" s="1"/>
      <c r="M68" s="1"/>
      <c r="N68" s="1"/>
      <c r="O68" s="1"/>
      <c r="P68" s="1"/>
    </row>
    <row r="69" spans="1:16">
      <c r="A69" s="1">
        <v>7.4999999999999996E-14</v>
      </c>
      <c r="B69" s="1">
        <f t="shared" si="0"/>
        <v>4.9233676005708462E-3</v>
      </c>
      <c r="C69" s="1">
        <f t="shared" si="1"/>
        <v>78750.670284584849</v>
      </c>
      <c r="D69" s="1">
        <f t="shared" si="2"/>
        <v>280.61267067401786</v>
      </c>
      <c r="E69" s="1">
        <f t="shared" si="3"/>
        <v>133876.13948379431</v>
      </c>
      <c r="F69" s="1">
        <f t="shared" si="4"/>
        <v>365.8810460668837</v>
      </c>
      <c r="G69" s="1">
        <f t="shared" si="5"/>
        <v>276985.11617336748</v>
      </c>
      <c r="H69" s="1">
        <f t="shared" si="6"/>
        <v>526.28691448726022</v>
      </c>
      <c r="I69" s="1">
        <f>'WSO-UV_WUVS_130nm'!I79</f>
        <v>216.15166096328389</v>
      </c>
      <c r="J69" s="1"/>
      <c r="K69" s="1"/>
      <c r="L69" s="1"/>
      <c r="M69" s="1"/>
      <c r="N69" s="1"/>
      <c r="O69" s="1"/>
      <c r="P69" s="1"/>
    </row>
    <row r="70" spans="1:16">
      <c r="A70" s="1">
        <v>7.0000000000000005E-14</v>
      </c>
      <c r="B70" s="1">
        <f t="shared" si="0"/>
        <v>4.5951430938661244E-3</v>
      </c>
      <c r="C70" s="1">
        <f t="shared" si="1"/>
        <v>73500.625598945888</v>
      </c>
      <c r="D70" s="1">
        <f t="shared" si="2"/>
        <v>271.09671024226191</v>
      </c>
      <c r="E70" s="1">
        <f t="shared" si="3"/>
        <v>124951.06351820803</v>
      </c>
      <c r="F70" s="1">
        <f t="shared" si="4"/>
        <v>353.47399329097266</v>
      </c>
      <c r="G70" s="1">
        <f t="shared" si="5"/>
        <v>258519.44176180978</v>
      </c>
      <c r="H70" s="1">
        <f t="shared" si="6"/>
        <v>508.44099162275529</v>
      </c>
      <c r="I70" s="1">
        <f>'WSO-UV_WUVS_130nm'!I80</f>
        <v>207.53929434428437</v>
      </c>
      <c r="J70" s="1"/>
      <c r="K70" s="1"/>
      <c r="L70" s="1"/>
      <c r="M70" s="1"/>
      <c r="N70" s="1"/>
      <c r="O70" s="1"/>
      <c r="P70" s="1"/>
    </row>
    <row r="71" spans="1:16">
      <c r="A71" s="1">
        <v>6.5000000000000001E-14</v>
      </c>
      <c r="B71" s="1">
        <f t="shared" si="0"/>
        <v>4.2669185871614008E-3</v>
      </c>
      <c r="C71" s="1">
        <f t="shared" si="1"/>
        <v>68250.580913306898</v>
      </c>
      <c r="D71" s="1">
        <f t="shared" si="2"/>
        <v>261.23434244520905</v>
      </c>
      <c r="E71" s="1">
        <f t="shared" si="3"/>
        <v>116025.98755262177</v>
      </c>
      <c r="F71" s="1">
        <f t="shared" si="4"/>
        <v>340.61530793461191</v>
      </c>
      <c r="G71" s="1">
        <f t="shared" si="5"/>
        <v>240053.7673502519</v>
      </c>
      <c r="H71" s="1">
        <f t="shared" si="6"/>
        <v>489.94547407461272</v>
      </c>
      <c r="I71" s="1">
        <f>'WSO-UV_WUVS_130nm'!I81</f>
        <v>198.59121068455843</v>
      </c>
      <c r="J71" s="1"/>
      <c r="K71" s="1"/>
      <c r="L71" s="1"/>
      <c r="M71" s="1"/>
      <c r="N71" s="1"/>
      <c r="O71" s="1"/>
      <c r="P71" s="1"/>
    </row>
    <row r="72" spans="1:16">
      <c r="A72" s="1">
        <v>5.9999999999999997E-14</v>
      </c>
      <c r="B72" s="1">
        <f t="shared" si="0"/>
        <v>3.9386940804566764E-3</v>
      </c>
      <c r="C72" s="1">
        <f t="shared" si="1"/>
        <v>63000.536227667886</v>
      </c>
      <c r="D72" s="1">
        <f t="shared" si="2"/>
        <v>250.98473469600498</v>
      </c>
      <c r="E72" s="1">
        <f t="shared" si="3"/>
        <v>107100.91158703543</v>
      </c>
      <c r="F72" s="1">
        <f t="shared" si="4"/>
        <v>327.25175640633677</v>
      </c>
      <c r="G72" s="1">
        <f t="shared" si="5"/>
        <v>221588.092938694</v>
      </c>
      <c r="H72" s="1">
        <f t="shared" si="6"/>
        <v>470.72379711741149</v>
      </c>
      <c r="I72" s="1">
        <f>'WSO-UV_WUVS_130nm'!I82</f>
        <v>189.26758810475428</v>
      </c>
      <c r="J72" s="1"/>
      <c r="K72" s="1"/>
      <c r="L72" s="1"/>
      <c r="M72" s="1"/>
      <c r="N72" s="1"/>
      <c r="O72" s="1"/>
      <c r="P72" s="1"/>
    </row>
    <row r="73" spans="1:16">
      <c r="A73" s="1">
        <v>5.4999999999999999E-14</v>
      </c>
      <c r="B73" s="1">
        <f t="shared" si="0"/>
        <v>3.6104695737519542E-3</v>
      </c>
      <c r="C73" s="1">
        <f t="shared" si="1"/>
        <v>57750.491542028911</v>
      </c>
      <c r="D73" s="1">
        <f t="shared" si="2"/>
        <v>240.29834048443138</v>
      </c>
      <c r="E73" s="1">
        <f t="shared" si="3"/>
        <v>98175.83562144915</v>
      </c>
      <c r="F73" s="1">
        <f t="shared" si="4"/>
        <v>313.31874528895105</v>
      </c>
      <c r="G73" s="1">
        <f t="shared" si="5"/>
        <v>203122.41852713624</v>
      </c>
      <c r="H73" s="1">
        <f t="shared" si="6"/>
        <v>450.68305801565555</v>
      </c>
      <c r="I73" s="1">
        <f>'WSO-UV_WUVS_130nm'!I83</f>
        <v>179.52045433396043</v>
      </c>
      <c r="J73" s="1"/>
      <c r="K73" s="1"/>
      <c r="L73" s="1"/>
      <c r="M73" s="1"/>
      <c r="N73" s="1"/>
      <c r="O73" s="1"/>
      <c r="P73" s="1"/>
    </row>
    <row r="74" spans="1:16">
      <c r="A74" s="1">
        <v>5.0000000000000002E-14</v>
      </c>
      <c r="B74" s="1">
        <f t="shared" si="0"/>
        <v>3.2822450670472311E-3</v>
      </c>
      <c r="C74" s="1">
        <f t="shared" si="1"/>
        <v>52500.446856389914</v>
      </c>
      <c r="D74" s="1">
        <f t="shared" si="2"/>
        <v>229.11404986092555</v>
      </c>
      <c r="E74" s="1">
        <f t="shared" si="3"/>
        <v>89250.759655862872</v>
      </c>
      <c r="F74" s="1">
        <f t="shared" si="4"/>
        <v>298.73660679041564</v>
      </c>
      <c r="G74" s="1">
        <f t="shared" si="5"/>
        <v>184656.74411557836</v>
      </c>
      <c r="H74" s="1">
        <f t="shared" si="6"/>
        <v>429.70867386673092</v>
      </c>
      <c r="I74" s="1">
        <f>'WSO-UV_WUVS_130nm'!I84</f>
        <v>169.29123444141234</v>
      </c>
      <c r="J74" s="1"/>
      <c r="K74" s="1"/>
      <c r="L74" s="1"/>
      <c r="M74" s="1"/>
      <c r="N74" s="1"/>
      <c r="O74" s="1"/>
      <c r="P74" s="1"/>
    </row>
    <row r="75" spans="1:16">
      <c r="A75" s="1">
        <v>4.4999999999999998E-14</v>
      </c>
      <c r="B75" s="1">
        <f t="shared" si="0"/>
        <v>2.954020560342508E-3</v>
      </c>
      <c r="C75" s="1">
        <f t="shared" si="1"/>
        <v>47250.402170750916</v>
      </c>
      <c r="D75" s="1">
        <f t="shared" si="2"/>
        <v>217.3550166610315</v>
      </c>
      <c r="E75" s="1">
        <f t="shared" si="3"/>
        <v>80325.683690276594</v>
      </c>
      <c r="F75" s="1">
        <f t="shared" si="4"/>
        <v>283.40515933128569</v>
      </c>
      <c r="G75" s="1">
        <f t="shared" si="5"/>
        <v>166191.06970402054</v>
      </c>
      <c r="H75" s="1">
        <f t="shared" si="6"/>
        <v>407.6565589021439</v>
      </c>
      <c r="I75" s="1">
        <f>'WSO-UV_WUVS_130nm'!I85</f>
        <v>158.50729099059174</v>
      </c>
      <c r="J75" s="1"/>
      <c r="K75" s="1"/>
      <c r="L75" s="1"/>
      <c r="M75" s="1"/>
      <c r="N75" s="1"/>
      <c r="O75" s="1"/>
      <c r="P75" s="1"/>
    </row>
    <row r="76" spans="1:16">
      <c r="A76" s="1">
        <v>4E-14</v>
      </c>
      <c r="B76" s="1">
        <f t="shared" si="0"/>
        <v>2.6257960536377849E-3</v>
      </c>
      <c r="C76" s="1">
        <f t="shared" si="1"/>
        <v>42000.357485111927</v>
      </c>
      <c r="D76" s="1">
        <f t="shared" si="2"/>
        <v>204.92232362330753</v>
      </c>
      <c r="E76" s="1">
        <f t="shared" si="3"/>
        <v>71400.607724690301</v>
      </c>
      <c r="F76" s="1">
        <f t="shared" si="4"/>
        <v>267.19544990635848</v>
      </c>
      <c r="G76" s="1">
        <f t="shared" si="5"/>
        <v>147725.39529246269</v>
      </c>
      <c r="H76" s="1">
        <f t="shared" si="6"/>
        <v>384.34124894859639</v>
      </c>
      <c r="I76" s="1">
        <f>'WSO-UV_WUVS_130nm'!I86</f>
        <v>147.07691353270405</v>
      </c>
      <c r="J76" s="1"/>
      <c r="K76" s="1"/>
      <c r="L76" s="1"/>
      <c r="M76" s="1"/>
      <c r="N76" s="1"/>
      <c r="O76" s="1"/>
      <c r="P76" s="1"/>
    </row>
    <row r="77" spans="1:16">
      <c r="A77" s="1">
        <v>3.5000000000000002E-14</v>
      </c>
      <c r="B77" s="1">
        <f t="shared" si="0"/>
        <v>2.2975715469330622E-3</v>
      </c>
      <c r="C77" s="1">
        <f t="shared" si="1"/>
        <v>36750.312799472944</v>
      </c>
      <c r="D77" s="1">
        <f t="shared" si="2"/>
        <v>191.68493474917864</v>
      </c>
      <c r="E77" s="1">
        <f t="shared" si="3"/>
        <v>62475.531759104015</v>
      </c>
      <c r="F77" s="1">
        <f t="shared" si="4"/>
        <v>249.93665715291394</v>
      </c>
      <c r="G77" s="1">
        <f t="shared" si="5"/>
        <v>129259.72088090489</v>
      </c>
      <c r="H77" s="1">
        <f t="shared" si="6"/>
        <v>359.51706674640019</v>
      </c>
      <c r="I77" s="1">
        <f>'WSO-UV_WUVS_130nm'!I87</f>
        <v>134.88183911490958</v>
      </c>
      <c r="J77" s="1"/>
      <c r="K77" s="1"/>
      <c r="L77" s="1"/>
      <c r="M77" s="1"/>
      <c r="N77" s="1"/>
      <c r="O77" s="1"/>
      <c r="P77" s="1"/>
    </row>
    <row r="78" spans="1:16">
      <c r="A78" s="1">
        <v>2.9999999999999998E-14</v>
      </c>
      <c r="B78" s="1">
        <f t="shared" si="0"/>
        <v>1.9693470402283382E-3</v>
      </c>
      <c r="C78" s="1">
        <f t="shared" si="1"/>
        <v>31500.268113833943</v>
      </c>
      <c r="D78" s="1">
        <f t="shared" si="2"/>
        <v>177.46286867724794</v>
      </c>
      <c r="E78" s="1">
        <f t="shared" si="3"/>
        <v>53550.455793517714</v>
      </c>
      <c r="F78" s="1">
        <f t="shared" si="4"/>
        <v>231.3941588749521</v>
      </c>
      <c r="G78" s="1">
        <f t="shared" si="5"/>
        <v>110794.046469347</v>
      </c>
      <c r="H78" s="1">
        <f t="shared" si="6"/>
        <v>332.84658168172882</v>
      </c>
      <c r="I78" s="1">
        <f>'WSO-UV_WUVS_130nm'!I88</f>
        <v>121.76568201726501</v>
      </c>
      <c r="J78" s="1"/>
      <c r="K78" s="1"/>
      <c r="L78" s="1"/>
      <c r="M78" s="1"/>
      <c r="N78" s="1"/>
      <c r="O78" s="1"/>
      <c r="P78" s="1"/>
    </row>
    <row r="79" spans="1:16">
      <c r="A79" s="1">
        <v>2.5000000000000001E-14</v>
      </c>
      <c r="B79" s="1">
        <f t="shared" si="0"/>
        <v>1.6411225335236155E-3</v>
      </c>
      <c r="C79" s="1">
        <f t="shared" si="1"/>
        <v>26250.223428194957</v>
      </c>
      <c r="D79" s="1">
        <f t="shared" si="2"/>
        <v>161.9969919550785</v>
      </c>
      <c r="E79" s="1">
        <f t="shared" si="3"/>
        <v>44625.379827931436</v>
      </c>
      <c r="F79" s="1">
        <f t="shared" si="4"/>
        <v>211.23016117357582</v>
      </c>
      <c r="G79" s="1">
        <f t="shared" si="5"/>
        <v>92328.37205778918</v>
      </c>
      <c r="H79" s="1">
        <f t="shared" si="6"/>
        <v>303.84399388373566</v>
      </c>
      <c r="I79" s="1">
        <f>'WSO-UV_WUVS_130nm'!I89</f>
        <v>107.51525758058517</v>
      </c>
      <c r="J79" s="1"/>
      <c r="K79" s="1"/>
      <c r="L79" s="1"/>
      <c r="M79" s="1"/>
      <c r="N79" s="1"/>
      <c r="O79" s="1"/>
      <c r="P79" s="1"/>
    </row>
    <row r="80" spans="1:16">
      <c r="A80" s="1">
        <v>2E-14</v>
      </c>
      <c r="B80" s="1">
        <f t="shared" si="0"/>
        <v>1.3128980268188924E-3</v>
      </c>
      <c r="C80" s="1">
        <f t="shared" si="1"/>
        <v>21000.178742555963</v>
      </c>
      <c r="D80" s="1">
        <f t="shared" si="2"/>
        <v>144.88954831270721</v>
      </c>
      <c r="E80" s="1">
        <f t="shared" si="3"/>
        <v>35700.30386234515</v>
      </c>
      <c r="F80" s="1">
        <f t="shared" si="4"/>
        <v>188.92619012233544</v>
      </c>
      <c r="G80" s="1">
        <f t="shared" si="5"/>
        <v>73862.697646231347</v>
      </c>
      <c r="H80" s="1">
        <f t="shared" si="6"/>
        <v>271.76368106869194</v>
      </c>
      <c r="I80" s="1">
        <f>'WSO-UV_WUVS_130nm'!I90</f>
        <v>91.828837120428346</v>
      </c>
      <c r="J80" s="1"/>
      <c r="K80" s="1"/>
      <c r="L80" s="1"/>
      <c r="M80" s="1"/>
      <c r="N80" s="1"/>
      <c r="O80" s="1"/>
      <c r="P80" s="1"/>
    </row>
    <row r="81" spans="1:16">
      <c r="A81" s="1">
        <v>1.4999999999999999E-14</v>
      </c>
      <c r="B81" s="1">
        <f t="shared" si="0"/>
        <v>9.8467352011416911E-4</v>
      </c>
      <c r="C81" s="1">
        <f t="shared" si="1"/>
        <v>15750.134056916972</v>
      </c>
      <c r="D81" s="1">
        <f t="shared" si="2"/>
        <v>125.47086254112381</v>
      </c>
      <c r="E81" s="1">
        <f t="shared" si="3"/>
        <v>26775.227896758857</v>
      </c>
      <c r="F81" s="1">
        <f t="shared" si="4"/>
        <v>163.60938185922083</v>
      </c>
      <c r="G81" s="1">
        <f t="shared" si="5"/>
        <v>55397.023234673499</v>
      </c>
      <c r="H81" s="1">
        <f t="shared" si="6"/>
        <v>235.35042844733096</v>
      </c>
      <c r="I81" s="1">
        <f>'WSO-UV_WUVS_130nm'!I91</f>
        <v>74.258610592690232</v>
      </c>
      <c r="J81" s="1"/>
      <c r="K81" s="1"/>
      <c r="L81" s="1"/>
      <c r="M81" s="1"/>
      <c r="N81" s="1"/>
      <c r="O81" s="1"/>
      <c r="P81" s="1"/>
    </row>
    <row r="82" spans="1:16">
      <c r="A82" s="1">
        <v>1E-14</v>
      </c>
      <c r="B82" s="1">
        <f t="shared" si="0"/>
        <v>6.5644901340944622E-4</v>
      </c>
      <c r="C82" s="1">
        <f t="shared" si="1"/>
        <v>10500.089371277982</v>
      </c>
      <c r="D82" s="1">
        <f t="shared" si="2"/>
        <v>102.43482955028394</v>
      </c>
      <c r="E82" s="1">
        <f t="shared" si="3"/>
        <v>17850.151931172575</v>
      </c>
      <c r="F82" s="1">
        <f t="shared" si="4"/>
        <v>133.57752368635445</v>
      </c>
      <c r="G82" s="1">
        <f t="shared" si="5"/>
        <v>36931.348823115673</v>
      </c>
      <c r="H82" s="1">
        <f t="shared" si="6"/>
        <v>192.15657736993444</v>
      </c>
      <c r="I82" s="1">
        <f>'WSO-UV_WUVS_130nm'!I92</f>
        <v>54.097478151663935</v>
      </c>
      <c r="J82" s="1"/>
      <c r="K82" s="1"/>
      <c r="L82" s="1"/>
      <c r="M82" s="1"/>
      <c r="N82" s="1"/>
      <c r="O82" s="1"/>
      <c r="P82" s="1"/>
    </row>
    <row r="83" spans="1:16">
      <c r="A83" s="1">
        <v>9.5000000000000005E-15</v>
      </c>
      <c r="B83" s="1">
        <f t="shared" si="0"/>
        <v>6.2362656273897386E-4</v>
      </c>
      <c r="C83" s="1">
        <f t="shared" si="1"/>
        <v>9975.084902714083</v>
      </c>
      <c r="D83" s="1">
        <f t="shared" si="2"/>
        <v>99.839321391493272</v>
      </c>
      <c r="E83" s="1">
        <f t="shared" si="3"/>
        <v>16957.644334613946</v>
      </c>
      <c r="F83" s="1">
        <f t="shared" si="4"/>
        <v>130.19388384384615</v>
      </c>
      <c r="G83" s="1">
        <f t="shared" si="5"/>
        <v>35084.781381959889</v>
      </c>
      <c r="H83" s="1">
        <f t="shared" si="6"/>
        <v>187.29010347378329</v>
      </c>
      <c r="I83" s="1">
        <f>'WSO-UV_WUVS_130nm'!I93</f>
        <v>51.898765882414374</v>
      </c>
      <c r="J83" s="1"/>
      <c r="K83" s="1"/>
      <c r="L83" s="1"/>
      <c r="M83" s="1"/>
      <c r="N83" s="1"/>
      <c r="O83" s="1"/>
      <c r="P83" s="1"/>
    </row>
    <row r="84" spans="1:16">
      <c r="A84" s="1">
        <v>8.9999999999999995E-15</v>
      </c>
      <c r="B84" s="1">
        <f t="shared" si="0"/>
        <v>5.9080411206850162E-4</v>
      </c>
      <c r="C84" s="1">
        <f t="shared" si="1"/>
        <v>9450.0804341501844</v>
      </c>
      <c r="D84" s="1">
        <f t="shared" si="2"/>
        <v>97.174512685381842</v>
      </c>
      <c r="E84" s="1">
        <f t="shared" si="3"/>
        <v>16065.136738055318</v>
      </c>
      <c r="F84" s="1">
        <f t="shared" si="4"/>
        <v>126.71992725484439</v>
      </c>
      <c r="G84" s="1">
        <f t="shared" si="5"/>
        <v>33238.213940804111</v>
      </c>
      <c r="H84" s="1">
        <f t="shared" si="6"/>
        <v>182.29376155018835</v>
      </c>
      <c r="I84" s="1">
        <f>'WSO-UV_WUVS_130nm'!I94</f>
        <v>49.6612266846723</v>
      </c>
      <c r="J84" s="1"/>
      <c r="K84" s="1"/>
      <c r="L84" s="1"/>
      <c r="M84" s="1"/>
      <c r="N84" s="1"/>
      <c r="O84" s="1"/>
      <c r="P84" s="1"/>
    </row>
    <row r="85" spans="1:16">
      <c r="A85" s="1">
        <v>8.5000000000000001E-15</v>
      </c>
      <c r="B85" s="1">
        <f t="shared" ref="B85:B148" si="7">A85*$C$4/($C$2*$C$3/1304*10000000000)</f>
        <v>5.5798166139802926E-4</v>
      </c>
      <c r="C85" s="1">
        <f t="shared" ref="C85:C148" si="8">B85*$C$11*$C$15*3600</f>
        <v>8925.0759655862857</v>
      </c>
      <c r="D85" s="1">
        <f t="shared" ref="D85:D148" si="9">C85/SQRT(C85+($C$16)*2)</f>
        <v>94.434536951574529</v>
      </c>
      <c r="E85" s="1">
        <f t="shared" ref="E85:E148" si="10">B85*$D$11*$C$15*3600</f>
        <v>15172.629141496687</v>
      </c>
      <c r="F85" s="1">
        <f t="shared" ref="F85:F148" si="11">E85/SQRT(E85+($C$16)*2)</f>
        <v>123.14801076978421</v>
      </c>
      <c r="G85" s="1">
        <f t="shared" ref="G85:G148" si="12">B85*$E$11*$C$15*3600</f>
        <v>31391.646499648323</v>
      </c>
      <c r="H85" s="1">
        <f t="shared" ref="H85:H148" si="13">G85/SQRT(G85+($C$16)*2)</f>
        <v>177.15656395026514</v>
      </c>
      <c r="I85" s="1">
        <f>'WSO-UV_WUVS_130nm'!I95</f>
        <v>47.383151479520222</v>
      </c>
      <c r="J85" s="1"/>
      <c r="K85" s="1"/>
      <c r="L85" s="1"/>
      <c r="M85" s="1"/>
      <c r="N85" s="1"/>
      <c r="O85" s="1"/>
      <c r="P85" s="1"/>
    </row>
    <row r="86" spans="1:16">
      <c r="A86" s="1">
        <v>8.0000000000000006E-15</v>
      </c>
      <c r="B86" s="1">
        <f t="shared" si="7"/>
        <v>5.2515921072755702E-4</v>
      </c>
      <c r="C86" s="1">
        <f t="shared" si="8"/>
        <v>8400.0714970223871</v>
      </c>
      <c r="D86" s="1">
        <f t="shared" si="9"/>
        <v>91.612650126023837</v>
      </c>
      <c r="E86" s="1">
        <f t="shared" si="10"/>
        <v>14280.12154493806</v>
      </c>
      <c r="F86" s="1">
        <f t="shared" si="11"/>
        <v>119.46934825857984</v>
      </c>
      <c r="G86" s="1">
        <f t="shared" si="12"/>
        <v>29545.079058492545</v>
      </c>
      <c r="H86" s="1">
        <f t="shared" si="13"/>
        <v>171.86588030400907</v>
      </c>
      <c r="I86" s="1">
        <f>'WSO-UV_WUVS_130nm'!I96</f>
        <v>45.06271479238854</v>
      </c>
      <c r="J86" s="1"/>
      <c r="K86" s="1"/>
      <c r="L86" s="1"/>
      <c r="M86" s="1"/>
      <c r="N86" s="1"/>
      <c r="O86" s="1"/>
      <c r="P86" s="1"/>
    </row>
    <row r="87" spans="1:16">
      <c r="A87" s="1">
        <v>7.4999999999999996E-15</v>
      </c>
      <c r="B87" s="1">
        <f t="shared" si="7"/>
        <v>4.9233676005708455E-4</v>
      </c>
      <c r="C87" s="1">
        <f t="shared" si="8"/>
        <v>7875.0670284584858</v>
      </c>
      <c r="D87" s="1">
        <f t="shared" si="9"/>
        <v>88.701034972803924</v>
      </c>
      <c r="E87" s="1">
        <f t="shared" si="10"/>
        <v>13387.613948379429</v>
      </c>
      <c r="F87" s="1">
        <f t="shared" si="11"/>
        <v>115.67375596276783</v>
      </c>
      <c r="G87" s="1">
        <f t="shared" si="12"/>
        <v>27698.51161733675</v>
      </c>
      <c r="H87" s="1">
        <f t="shared" si="13"/>
        <v>166.40707162987718</v>
      </c>
      <c r="I87" s="1">
        <f>'WSO-UV_WUVS_130nm'!I97</f>
        <v>42.697964025110991</v>
      </c>
      <c r="J87" s="1"/>
      <c r="K87" s="1"/>
      <c r="L87" s="1"/>
      <c r="M87" s="1"/>
      <c r="N87" s="1"/>
      <c r="O87" s="1"/>
      <c r="P87" s="1"/>
    </row>
    <row r="88" spans="1:16">
      <c r="A88" s="1">
        <v>7.0000000000000001E-15</v>
      </c>
      <c r="B88" s="1">
        <f t="shared" si="7"/>
        <v>4.5951430938661236E-4</v>
      </c>
      <c r="C88" s="1">
        <f t="shared" si="8"/>
        <v>7350.0625598945871</v>
      </c>
      <c r="D88" s="1">
        <f t="shared" si="9"/>
        <v>85.69054560448042</v>
      </c>
      <c r="E88" s="1">
        <f t="shared" si="10"/>
        <v>12495.106351820803</v>
      </c>
      <c r="F88" s="1">
        <f t="shared" si="11"/>
        <v>111.7493199006408</v>
      </c>
      <c r="G88" s="1">
        <f t="shared" si="12"/>
        <v>25851.944176180972</v>
      </c>
      <c r="H88" s="1">
        <f t="shared" si="13"/>
        <v>160.76301247764576</v>
      </c>
      <c r="I88" s="1">
        <f>'WSO-UV_WUVS_130nm'!I98</f>
        <v>40.286807474800419</v>
      </c>
      <c r="J88" s="1"/>
      <c r="K88" s="1"/>
      <c r="L88" s="1"/>
      <c r="M88" s="1"/>
      <c r="N88" s="1"/>
      <c r="O88" s="1"/>
      <c r="P88" s="1"/>
    </row>
    <row r="89" spans="1:16">
      <c r="A89" s="1">
        <v>6.4999999999999999E-15</v>
      </c>
      <c r="B89" s="1">
        <f t="shared" si="7"/>
        <v>4.2669185871614001E-4</v>
      </c>
      <c r="C89" s="1">
        <f t="shared" si="8"/>
        <v>6825.0580913306885</v>
      </c>
      <c r="D89" s="1">
        <f t="shared" si="9"/>
        <v>82.570368043663649</v>
      </c>
      <c r="E89" s="1">
        <f t="shared" si="10"/>
        <v>11602.598755262174</v>
      </c>
      <c r="F89" s="1">
        <f t="shared" si="11"/>
        <v>107.68195401484806</v>
      </c>
      <c r="G89" s="1">
        <f t="shared" si="12"/>
        <v>24005.376735025187</v>
      </c>
      <c r="H89" s="1">
        <f t="shared" si="13"/>
        <v>154.91345614211141</v>
      </c>
      <c r="I89" s="1">
        <f>'WSO-UV_WUVS_130nm'!I99</f>
        <v>37.827000921203343</v>
      </c>
      <c r="J89" s="1"/>
      <c r="K89" s="1"/>
      <c r="L89" s="1"/>
      <c r="M89" s="1"/>
      <c r="N89" s="1"/>
      <c r="O89" s="1"/>
      <c r="P89" s="1"/>
    </row>
    <row r="90" spans="1:16">
      <c r="A90" s="1">
        <v>5.9999999999999997E-15</v>
      </c>
      <c r="B90" s="1">
        <f t="shared" si="7"/>
        <v>3.9386940804566771E-4</v>
      </c>
      <c r="C90" s="1">
        <f t="shared" si="8"/>
        <v>6300.053622766789</v>
      </c>
      <c r="D90" s="1">
        <f t="shared" si="9"/>
        <v>79.327560418022401</v>
      </c>
      <c r="E90" s="1">
        <f t="shared" si="10"/>
        <v>10710.091158703544</v>
      </c>
      <c r="F90" s="1">
        <f t="shared" si="11"/>
        <v>103.4548017046416</v>
      </c>
      <c r="G90" s="1">
        <f t="shared" si="12"/>
        <v>22158.809293869406</v>
      </c>
      <c r="H90" s="1">
        <f t="shared" si="13"/>
        <v>148.83417494844849</v>
      </c>
      <c r="I90" s="1">
        <f>'WSO-UV_WUVS_130nm'!I100</f>
        <v>35.316132574084023</v>
      </c>
      <c r="J90" s="1"/>
      <c r="K90" s="1"/>
      <c r="L90" s="1"/>
      <c r="M90" s="1"/>
      <c r="N90" s="1"/>
      <c r="O90" s="1"/>
      <c r="P90" s="1"/>
    </row>
    <row r="91" spans="1:16">
      <c r="A91" s="1">
        <v>5.5000000000000002E-15</v>
      </c>
      <c r="B91" s="1">
        <f t="shared" si="7"/>
        <v>3.6104695737519546E-4</v>
      </c>
      <c r="C91" s="1">
        <f t="shared" si="8"/>
        <v>5775.0491542028913</v>
      </c>
      <c r="D91" s="1">
        <f t="shared" si="9"/>
        <v>75.946416107492226</v>
      </c>
      <c r="E91" s="1">
        <f t="shared" si="10"/>
        <v>9817.5835621449169</v>
      </c>
      <c r="F91" s="1">
        <f t="shared" si="11"/>
        <v>99.047407026115678</v>
      </c>
      <c r="G91" s="1">
        <f t="shared" si="12"/>
        <v>20312.241852713621</v>
      </c>
      <c r="H91" s="1">
        <f t="shared" si="13"/>
        <v>142.49576977568421</v>
      </c>
      <c r="I91" s="1">
        <f>'WSO-UV_WUVS_130nm'!I101</f>
        <v>32.751606136164973</v>
      </c>
      <c r="J91" s="1"/>
      <c r="K91" s="1"/>
      <c r="L91" s="1"/>
      <c r="M91" s="1"/>
      <c r="N91" s="1"/>
      <c r="O91" s="1"/>
      <c r="P91" s="1"/>
    </row>
    <row r="92" spans="1:16">
      <c r="A92" s="1">
        <v>5E-15</v>
      </c>
      <c r="B92" s="1">
        <f t="shared" si="7"/>
        <v>3.2822450670472311E-4</v>
      </c>
      <c r="C92" s="1">
        <f t="shared" si="8"/>
        <v>5250.0446856389908</v>
      </c>
      <c r="D92" s="1">
        <f t="shared" si="9"/>
        <v>72.407558626966278</v>
      </c>
      <c r="E92" s="1">
        <f t="shared" si="10"/>
        <v>8925.0759655862876</v>
      </c>
      <c r="F92" s="1">
        <f t="shared" si="11"/>
        <v>94.434536951574529</v>
      </c>
      <c r="G92" s="1">
        <f t="shared" si="12"/>
        <v>18465.674411557837</v>
      </c>
      <c r="H92" s="1">
        <f t="shared" si="13"/>
        <v>135.86197855851611</v>
      </c>
      <c r="I92" s="1">
        <f>'WSO-UV_WUVS_130nm'!I102</f>
        <v>30.130621693879124</v>
      </c>
      <c r="J92" s="1"/>
      <c r="K92" s="1"/>
      <c r="L92" s="1"/>
      <c r="M92" s="1"/>
      <c r="N92" s="1"/>
      <c r="O92" s="1"/>
      <c r="P92" s="1"/>
    </row>
    <row r="93" spans="1:16">
      <c r="A93" s="1">
        <v>4.4999999999999998E-15</v>
      </c>
      <c r="B93" s="1">
        <f t="shared" si="7"/>
        <v>2.9540205603425081E-4</v>
      </c>
      <c r="C93" s="1">
        <f t="shared" si="8"/>
        <v>4725.0402170750922</v>
      </c>
      <c r="D93" s="1">
        <f t="shared" si="9"/>
        <v>68.686615666501098</v>
      </c>
      <c r="E93" s="1">
        <f t="shared" si="10"/>
        <v>8032.5683690276592</v>
      </c>
      <c r="F93" s="1">
        <f t="shared" si="11"/>
        <v>89.584456335765182</v>
      </c>
      <c r="G93" s="1">
        <f t="shared" si="12"/>
        <v>16619.106970402056</v>
      </c>
      <c r="H93" s="1">
        <f t="shared" si="13"/>
        <v>128.88719908645865</v>
      </c>
      <c r="I93" s="1">
        <f>'WSO-UV_WUVS_130nm'!I103</f>
        <v>27.450154095993646</v>
      </c>
      <c r="J93" s="1"/>
      <c r="K93" s="1"/>
      <c r="L93" s="1"/>
      <c r="M93" s="1"/>
      <c r="N93" s="1"/>
      <c r="O93" s="1"/>
      <c r="P93" s="1"/>
    </row>
    <row r="94" spans="1:16">
      <c r="A94" s="1">
        <v>4.0000000000000003E-15</v>
      </c>
      <c r="B94" s="1">
        <f t="shared" si="7"/>
        <v>2.6257960536377851E-4</v>
      </c>
      <c r="C94" s="1">
        <f t="shared" si="8"/>
        <v>4200.0357485111936</v>
      </c>
      <c r="D94" s="1">
        <f t="shared" si="9"/>
        <v>64.752205137282132</v>
      </c>
      <c r="E94" s="1">
        <f t="shared" si="10"/>
        <v>7140.0607724690299</v>
      </c>
      <c r="F94" s="1">
        <f t="shared" si="11"/>
        <v>84.456308382485062</v>
      </c>
      <c r="G94" s="1">
        <f t="shared" si="12"/>
        <v>14772.539529246273</v>
      </c>
      <c r="H94" s="1">
        <f t="shared" si="13"/>
        <v>121.51272787963644</v>
      </c>
      <c r="I94" s="1">
        <f>'WSO-UV_WUVS_130nm'!I104</f>
        <v>24.70692841693505</v>
      </c>
      <c r="J94" s="1"/>
      <c r="K94" s="1"/>
      <c r="L94" s="1"/>
      <c r="M94" s="1"/>
      <c r="N94" s="1"/>
      <c r="O94" s="1"/>
      <c r="P94" s="1"/>
    </row>
    <row r="95" spans="1:16">
      <c r="A95" s="1">
        <v>3.5000000000000001E-15</v>
      </c>
      <c r="B95" s="1">
        <f t="shared" si="7"/>
        <v>2.2975715469330618E-4</v>
      </c>
      <c r="C95" s="1">
        <f t="shared" si="8"/>
        <v>3675.0312799472936</v>
      </c>
      <c r="D95" s="1">
        <f t="shared" si="9"/>
        <v>60.562739026299838</v>
      </c>
      <c r="E95" s="1">
        <f t="shared" si="10"/>
        <v>6247.5531759104015</v>
      </c>
      <c r="F95" s="1">
        <f t="shared" si="11"/>
        <v>78.995958529580719</v>
      </c>
      <c r="G95" s="1">
        <f t="shared" si="12"/>
        <v>12925.972088090486</v>
      </c>
      <c r="H95" s="1">
        <f t="shared" si="13"/>
        <v>113.66079401617728</v>
      </c>
      <c r="I95" s="1">
        <f>'WSO-UV_WUVS_130nm'!I105</f>
        <v>21.897392024697595</v>
      </c>
      <c r="J95" s="1"/>
      <c r="K95" s="1"/>
      <c r="L95" s="1"/>
      <c r="M95" s="1"/>
      <c r="N95" s="1"/>
      <c r="O95" s="1"/>
      <c r="P95" s="1"/>
    </row>
    <row r="96" spans="1:16">
      <c r="A96" s="1">
        <v>2.9999999999999998E-15</v>
      </c>
      <c r="B96" s="1">
        <f t="shared" si="7"/>
        <v>1.9693470402283385E-4</v>
      </c>
      <c r="C96" s="1">
        <f t="shared" si="8"/>
        <v>3150.0268113833945</v>
      </c>
      <c r="D96" s="1">
        <f t="shared" si="9"/>
        <v>56.061066979288512</v>
      </c>
      <c r="E96" s="1">
        <f t="shared" si="10"/>
        <v>5355.0455793517722</v>
      </c>
      <c r="F96" s="1">
        <f t="shared" si="11"/>
        <v>73.129031491900065</v>
      </c>
      <c r="G96" s="1">
        <f t="shared" si="12"/>
        <v>11079.404646934703</v>
      </c>
      <c r="H96" s="1">
        <f t="shared" si="13"/>
        <v>105.22456615661483</v>
      </c>
      <c r="I96" s="1">
        <f>'WSO-UV_WUVS_130nm'!I106</f>
        <v>19.017682679131045</v>
      </c>
      <c r="J96" s="1"/>
      <c r="K96" s="1"/>
      <c r="L96" s="1"/>
      <c r="M96" s="1"/>
      <c r="N96" s="1"/>
      <c r="O96" s="1"/>
      <c r="P96" s="1"/>
    </row>
    <row r="97" spans="1:16">
      <c r="A97" s="1">
        <v>2.5E-15</v>
      </c>
      <c r="B97" s="1">
        <f t="shared" si="7"/>
        <v>1.6411225335236155E-4</v>
      </c>
      <c r="C97" s="1">
        <f t="shared" si="8"/>
        <v>2625.0223428194954</v>
      </c>
      <c r="D97" s="1">
        <f t="shared" si="9"/>
        <v>51.164851580009589</v>
      </c>
      <c r="E97" s="1">
        <f t="shared" si="10"/>
        <v>4462.5379827931438</v>
      </c>
      <c r="F97" s="1">
        <f t="shared" si="11"/>
        <v>66.748405080484261</v>
      </c>
      <c r="G97" s="1">
        <f t="shared" si="12"/>
        <v>9232.8372057789184</v>
      </c>
      <c r="H97" s="1">
        <f t="shared" si="13"/>
        <v>96.05020987038985</v>
      </c>
      <c r="I97" s="1">
        <f>'WSO-UV_WUVS_130nm'!I107</f>
        <v>16.063591970787925</v>
      </c>
      <c r="J97" s="1"/>
      <c r="K97" s="1"/>
      <c r="L97" s="1"/>
      <c r="M97" s="1"/>
      <c r="N97" s="1"/>
      <c r="O97" s="1"/>
      <c r="P97" s="1"/>
    </row>
    <row r="98" spans="1:16">
      <c r="A98" s="1">
        <v>2.0000000000000002E-15</v>
      </c>
      <c r="B98" s="1">
        <f t="shared" si="7"/>
        <v>1.3128980268188925E-4</v>
      </c>
      <c r="C98" s="1">
        <f t="shared" si="8"/>
        <v>2100.0178742555968</v>
      </c>
      <c r="D98" s="1">
        <f t="shared" si="9"/>
        <v>45.747595296514341</v>
      </c>
      <c r="E98" s="1">
        <f t="shared" si="10"/>
        <v>3570.0303862345149</v>
      </c>
      <c r="F98" s="1">
        <f t="shared" si="11"/>
        <v>59.689570930713664</v>
      </c>
      <c r="G98" s="1">
        <f t="shared" si="12"/>
        <v>7386.2697646231363</v>
      </c>
      <c r="H98" s="1">
        <f t="shared" si="13"/>
        <v>85.901552816093044</v>
      </c>
      <c r="I98" s="1">
        <f>'WSO-UV_WUVS_130nm'!I108</f>
        <v>13.030523267691418</v>
      </c>
      <c r="J98" s="1"/>
      <c r="K98" s="1"/>
      <c r="L98" s="1"/>
      <c r="M98" s="1"/>
      <c r="N98" s="1"/>
      <c r="O98" s="1"/>
      <c r="P98" s="1"/>
    </row>
    <row r="99" spans="1:16">
      <c r="A99" s="1">
        <v>1.4999999999999999E-15</v>
      </c>
      <c r="B99" s="1">
        <f t="shared" si="7"/>
        <v>9.8467352011416927E-5</v>
      </c>
      <c r="C99" s="1">
        <f t="shared" si="8"/>
        <v>1575.0134056916972</v>
      </c>
      <c r="D99" s="1">
        <f t="shared" si="9"/>
        <v>39.596037300709916</v>
      </c>
      <c r="E99" s="1">
        <f t="shared" si="10"/>
        <v>2677.5227896758861</v>
      </c>
      <c r="F99" s="1">
        <f t="shared" si="11"/>
        <v>51.675352915408546</v>
      </c>
      <c r="G99" s="1">
        <f t="shared" si="12"/>
        <v>5539.7023234673516</v>
      </c>
      <c r="H99" s="1">
        <f t="shared" si="13"/>
        <v>74.380855528987638</v>
      </c>
      <c r="I99" s="1">
        <f>'WSO-UV_WUVS_130nm'!I109</f>
        <v>9.9134431599880948</v>
      </c>
      <c r="J99" s="1"/>
      <c r="K99" s="1"/>
      <c r="L99" s="1"/>
      <c r="M99" s="1"/>
      <c r="N99" s="1"/>
      <c r="O99" s="1"/>
      <c r="P99" s="1"/>
    </row>
    <row r="100" spans="1:16">
      <c r="A100" s="1">
        <v>1.0000000000000001E-15</v>
      </c>
      <c r="B100" s="1">
        <f t="shared" si="7"/>
        <v>6.5644901340944627E-5</v>
      </c>
      <c r="C100" s="1">
        <f t="shared" si="8"/>
        <v>1050.0089371277984</v>
      </c>
      <c r="D100" s="1">
        <f t="shared" si="9"/>
        <v>32.293311566028123</v>
      </c>
      <c r="E100" s="1">
        <f t="shared" si="10"/>
        <v>1785.0151931172575</v>
      </c>
      <c r="F100" s="1">
        <f t="shared" si="11"/>
        <v>42.164488829051429</v>
      </c>
      <c r="G100" s="1">
        <f t="shared" si="12"/>
        <v>3693.1348823115682</v>
      </c>
      <c r="H100" s="1">
        <f t="shared" si="13"/>
        <v>60.712016041755632</v>
      </c>
      <c r="I100" s="1">
        <f>'WSO-UV_WUVS_130nm'!I110</f>
        <v>6.7068251708221176</v>
      </c>
      <c r="J100" s="1"/>
      <c r="K100" s="1"/>
      <c r="L100" s="1"/>
      <c r="M100" s="1"/>
      <c r="N100" s="1"/>
      <c r="O100" s="1"/>
      <c r="P100" s="1"/>
    </row>
    <row r="101" spans="1:16">
      <c r="A101" s="1">
        <v>9.5000000000000005E-16</v>
      </c>
      <c r="B101" s="1">
        <f t="shared" si="7"/>
        <v>6.2362656273897392E-5</v>
      </c>
      <c r="C101" s="1">
        <f t="shared" si="8"/>
        <v>997.50849027140839</v>
      </c>
      <c r="D101" s="1">
        <f t="shared" si="9"/>
        <v>31.469987088131656</v>
      </c>
      <c r="E101" s="1">
        <f t="shared" si="10"/>
        <v>1695.7644334613947</v>
      </c>
      <c r="F101" s="1">
        <f t="shared" si="11"/>
        <v>41.092516039985185</v>
      </c>
      <c r="G101" s="1">
        <f t="shared" si="12"/>
        <v>3508.4781381959888</v>
      </c>
      <c r="H101" s="1">
        <f t="shared" si="13"/>
        <v>59.171723682626606</v>
      </c>
      <c r="I101" s="1">
        <f>'WSO-UV_WUVS_130nm'!I111</f>
        <v>6.3810097424404768</v>
      </c>
      <c r="J101" s="1"/>
      <c r="K101" s="1"/>
      <c r="L101" s="1"/>
      <c r="M101" s="1"/>
      <c r="N101" s="1"/>
      <c r="O101" s="1"/>
      <c r="P101" s="1"/>
    </row>
    <row r="102" spans="1:16">
      <c r="A102" s="1">
        <v>9.0000000000000003E-16</v>
      </c>
      <c r="B102" s="1">
        <f t="shared" si="7"/>
        <v>5.9080411206850156E-5</v>
      </c>
      <c r="C102" s="1">
        <f t="shared" si="8"/>
        <v>945.00804341501828</v>
      </c>
      <c r="D102" s="1">
        <f t="shared" si="9"/>
        <v>30.62454057286709</v>
      </c>
      <c r="E102" s="1">
        <f t="shared" si="10"/>
        <v>1606.5136738055317</v>
      </c>
      <c r="F102" s="1">
        <f t="shared" si="11"/>
        <v>39.991821644726379</v>
      </c>
      <c r="G102" s="1">
        <f t="shared" si="12"/>
        <v>3323.8213940804108</v>
      </c>
      <c r="H102" s="1">
        <f t="shared" si="13"/>
        <v>57.590250536653173</v>
      </c>
      <c r="I102" s="1">
        <f>'WSO-UV_WUVS_130nm'!I112</f>
        <v>6.0542321932169898</v>
      </c>
      <c r="J102" s="1"/>
      <c r="K102" s="1"/>
      <c r="L102" s="1"/>
      <c r="M102" s="1"/>
      <c r="N102" s="1"/>
      <c r="O102" s="1"/>
      <c r="P102" s="1"/>
    </row>
    <row r="103" spans="1:16">
      <c r="A103" s="1">
        <v>8.5000000000000001E-16</v>
      </c>
      <c r="B103" s="1">
        <f t="shared" si="7"/>
        <v>5.5798166139802928E-5</v>
      </c>
      <c r="C103" s="1">
        <f t="shared" si="8"/>
        <v>892.50759655862862</v>
      </c>
      <c r="D103" s="1">
        <f t="shared" si="9"/>
        <v>29.755087216785817</v>
      </c>
      <c r="E103" s="1">
        <f t="shared" si="10"/>
        <v>1517.2629141496691</v>
      </c>
      <c r="F103" s="1">
        <f t="shared" si="11"/>
        <v>38.859965511675036</v>
      </c>
      <c r="G103" s="1">
        <f t="shared" si="12"/>
        <v>3139.1646499648327</v>
      </c>
      <c r="H103" s="1">
        <f t="shared" si="13"/>
        <v>55.96410569393997</v>
      </c>
      <c r="I103" s="1">
        <f>'WSO-UV_WUVS_130nm'!I113</f>
        <v>5.7264860451479267</v>
      </c>
      <c r="J103" s="1"/>
      <c r="K103" s="1"/>
      <c r="L103" s="1"/>
      <c r="M103" s="1"/>
      <c r="N103" s="1"/>
      <c r="O103" s="1"/>
      <c r="P103" s="1"/>
    </row>
    <row r="104" spans="1:16">
      <c r="A104" s="1">
        <v>7.9999999999999998E-16</v>
      </c>
      <c r="B104" s="1">
        <f t="shared" si="7"/>
        <v>5.2515921072755699E-5</v>
      </c>
      <c r="C104" s="1">
        <f t="shared" si="8"/>
        <v>840.00714970223862</v>
      </c>
      <c r="D104" s="1">
        <f t="shared" si="9"/>
        <v>28.859458397335679</v>
      </c>
      <c r="E104" s="1">
        <f t="shared" si="10"/>
        <v>1428.0121544938061</v>
      </c>
      <c r="F104" s="1">
        <f t="shared" si="11"/>
        <v>37.694141117543033</v>
      </c>
      <c r="G104" s="1">
        <f t="shared" si="12"/>
        <v>2954.5079058492543</v>
      </c>
      <c r="H104" s="1">
        <f t="shared" si="13"/>
        <v>54.289275269277468</v>
      </c>
      <c r="I104" s="1">
        <f>'WSO-UV_WUVS_130nm'!I114</f>
        <v>5.3977647552484349</v>
      </c>
      <c r="J104" s="1"/>
      <c r="K104" s="1"/>
      <c r="L104" s="1"/>
      <c r="M104" s="1"/>
      <c r="N104" s="1"/>
      <c r="O104" s="1"/>
      <c r="P104" s="1"/>
    </row>
    <row r="105" spans="1:16">
      <c r="A105" s="1">
        <v>7.4999999999999996E-16</v>
      </c>
      <c r="B105" s="1">
        <f t="shared" si="7"/>
        <v>4.9233676005708464E-5</v>
      </c>
      <c r="C105" s="1">
        <f t="shared" si="8"/>
        <v>787.50670284584862</v>
      </c>
      <c r="D105" s="1">
        <f t="shared" si="9"/>
        <v>27.935137988897374</v>
      </c>
      <c r="E105" s="1">
        <f t="shared" si="10"/>
        <v>1338.761394837943</v>
      </c>
      <c r="F105" s="1">
        <f t="shared" si="11"/>
        <v>36.491093571699274</v>
      </c>
      <c r="G105" s="1">
        <f t="shared" si="12"/>
        <v>2769.8511617336758</v>
      </c>
      <c r="H105" s="1">
        <f t="shared" si="13"/>
        <v>52.561105667753004</v>
      </c>
      <c r="I105" s="1">
        <f>'WSO-UV_WUVS_130nm'!I115</f>
        <v>5.0680617146935152</v>
      </c>
      <c r="J105" s="1"/>
      <c r="K105" s="1"/>
      <c r="L105" s="1"/>
      <c r="M105" s="1"/>
      <c r="N105" s="1"/>
      <c r="O105" s="1"/>
      <c r="P105" s="1"/>
    </row>
    <row r="106" spans="1:16">
      <c r="A106" s="1">
        <v>7.0000000000000003E-16</v>
      </c>
      <c r="B106" s="1">
        <f t="shared" si="7"/>
        <v>4.5951430938661235E-5</v>
      </c>
      <c r="C106" s="1">
        <f t="shared" si="8"/>
        <v>735.00625598945885</v>
      </c>
      <c r="D106" s="1">
        <f t="shared" si="9"/>
        <v>26.979179042426711</v>
      </c>
      <c r="E106" s="1">
        <f t="shared" si="10"/>
        <v>1249.5106351820803</v>
      </c>
      <c r="F106" s="1">
        <f t="shared" si="11"/>
        <v>35.247012436917082</v>
      </c>
      <c r="G106" s="1">
        <f t="shared" si="12"/>
        <v>2585.1944176180968</v>
      </c>
      <c r="H106" s="1">
        <f t="shared" si="13"/>
        <v>50.774151047311605</v>
      </c>
      <c r="I106" s="1">
        <f>'WSO-UV_WUVS_130nm'!I116</f>
        <v>4.7373702479449484</v>
      </c>
      <c r="J106" s="1"/>
      <c r="K106" s="1"/>
      <c r="L106" s="1"/>
      <c r="M106" s="1"/>
      <c r="N106" s="1"/>
      <c r="O106" s="1"/>
      <c r="P106" s="1"/>
    </row>
    <row r="107" spans="1:16">
      <c r="A107" s="1">
        <v>6.5000000000000001E-16</v>
      </c>
      <c r="B107" s="1">
        <f t="shared" si="7"/>
        <v>4.2669185871614006E-5</v>
      </c>
      <c r="C107" s="1">
        <f t="shared" si="8"/>
        <v>682.50580913306885</v>
      </c>
      <c r="D107" s="1">
        <f t="shared" si="9"/>
        <v>25.988092881440831</v>
      </c>
      <c r="E107" s="1">
        <f t="shared" si="10"/>
        <v>1160.2598755262175</v>
      </c>
      <c r="F107" s="1">
        <f t="shared" si="11"/>
        <v>33.957389175581277</v>
      </c>
      <c r="G107" s="1">
        <f t="shared" si="12"/>
        <v>2400.5376735025188</v>
      </c>
      <c r="H107" s="1">
        <f t="shared" si="13"/>
        <v>48.921970566272719</v>
      </c>
      <c r="I107" s="1">
        <f>'WSO-UV_WUVS_130nm'!I117</f>
        <v>4.4056836118638847</v>
      </c>
      <c r="J107" s="1"/>
      <c r="K107" s="1"/>
      <c r="L107" s="1"/>
      <c r="M107" s="1"/>
      <c r="N107" s="1"/>
      <c r="O107" s="1"/>
      <c r="P107" s="1"/>
    </row>
    <row r="108" spans="1:16">
      <c r="A108" s="1">
        <v>5.9999999999999999E-16</v>
      </c>
      <c r="B108" s="1">
        <f t="shared" si="7"/>
        <v>3.9386940804566778E-5</v>
      </c>
      <c r="C108" s="1">
        <f t="shared" si="8"/>
        <v>630.00536227667908</v>
      </c>
      <c r="D108" s="1">
        <f t="shared" si="9"/>
        <v>24.95769856225224</v>
      </c>
      <c r="E108" s="1">
        <f t="shared" si="10"/>
        <v>1071.0091158703547</v>
      </c>
      <c r="F108" s="1">
        <f t="shared" si="11"/>
        <v>32.616823812220133</v>
      </c>
      <c r="G108" s="1">
        <f t="shared" si="12"/>
        <v>2215.8809293869404</v>
      </c>
      <c r="H108" s="1">
        <f t="shared" si="13"/>
        <v>46.996853600810958</v>
      </c>
      <c r="I108" s="1">
        <f>'WSO-UV_WUVS_130nm'!I118</f>
        <v>4.0729949948087922</v>
      </c>
      <c r="J108" s="1"/>
      <c r="K108" s="1"/>
      <c r="L108" s="1"/>
      <c r="M108" s="1"/>
      <c r="N108" s="1"/>
      <c r="O108" s="1"/>
      <c r="P108" s="1"/>
    </row>
    <row r="109" spans="1:16">
      <c r="A109" s="1">
        <v>5.4999999999999996E-16</v>
      </c>
      <c r="B109" s="1">
        <f t="shared" si="7"/>
        <v>3.6104695737519535E-5</v>
      </c>
      <c r="C109" s="1">
        <f t="shared" si="8"/>
        <v>577.50491542028897</v>
      </c>
      <c r="D109" s="1">
        <f t="shared" si="9"/>
        <v>23.88291388266234</v>
      </c>
      <c r="E109" s="1">
        <f t="shared" si="10"/>
        <v>981.7583562144913</v>
      </c>
      <c r="F109" s="1">
        <f t="shared" si="11"/>
        <v>31.218756781846608</v>
      </c>
      <c r="G109" s="1">
        <f t="shared" si="12"/>
        <v>2031.2241852713619</v>
      </c>
      <c r="H109" s="1">
        <f t="shared" si="13"/>
        <v>44.989438946054534</v>
      </c>
      <c r="I109" s="1">
        <f>'WSO-UV_WUVS_130nm'!I119</f>
        <v>3.7392975157185107</v>
      </c>
      <c r="J109" s="1"/>
      <c r="K109" s="1"/>
      <c r="L109" s="1"/>
      <c r="M109" s="1"/>
      <c r="N109" s="1"/>
      <c r="O109" s="1"/>
      <c r="P109" s="1"/>
    </row>
    <row r="110" spans="1:16">
      <c r="A110" s="1">
        <v>5.0000000000000004E-16</v>
      </c>
      <c r="B110" s="1">
        <f t="shared" si="7"/>
        <v>3.2822450670472314E-5</v>
      </c>
      <c r="C110" s="1">
        <f t="shared" si="8"/>
        <v>525.0044685638992</v>
      </c>
      <c r="D110" s="1">
        <f t="shared" si="9"/>
        <v>22.75745756309108</v>
      </c>
      <c r="E110" s="1">
        <f t="shared" si="10"/>
        <v>892.50759655862873</v>
      </c>
      <c r="F110" s="1">
        <f t="shared" si="11"/>
        <v>29.755087216785817</v>
      </c>
      <c r="G110" s="1">
        <f t="shared" si="12"/>
        <v>1846.5674411557841</v>
      </c>
      <c r="H110" s="1">
        <f t="shared" si="13"/>
        <v>42.888173262901006</v>
      </c>
      <c r="I110" s="1">
        <f>'WSO-UV_WUVS_130nm'!I120</f>
        <v>3.4045842231801076</v>
      </c>
      <c r="J110" s="1"/>
      <c r="K110" s="1"/>
      <c r="L110" s="1"/>
      <c r="M110" s="1"/>
      <c r="N110" s="1"/>
      <c r="O110" s="1"/>
      <c r="P110" s="1"/>
    </row>
    <row r="111" spans="1:16">
      <c r="A111" s="1">
        <v>4.5000000000000002E-16</v>
      </c>
      <c r="B111" s="1">
        <f t="shared" si="7"/>
        <v>2.9540205603425078E-5</v>
      </c>
      <c r="C111" s="1">
        <f t="shared" si="8"/>
        <v>472.50402170750914</v>
      </c>
      <c r="D111" s="1">
        <f t="shared" si="9"/>
        <v>21.573411606505687</v>
      </c>
      <c r="E111" s="1">
        <f t="shared" si="10"/>
        <v>803.25683690276583</v>
      </c>
      <c r="F111" s="1">
        <f t="shared" si="11"/>
        <v>28.215612714016277</v>
      </c>
      <c r="G111" s="1">
        <f t="shared" si="12"/>
        <v>1661.9106970402054</v>
      </c>
      <c r="H111" s="1">
        <f t="shared" si="13"/>
        <v>40.67851712508115</v>
      </c>
      <c r="I111" s="1">
        <f>'WSO-UV_WUVS_130nm'!I121</f>
        <v>3.0688480944812162</v>
      </c>
      <c r="J111" s="1"/>
      <c r="K111" s="1"/>
      <c r="L111" s="1"/>
      <c r="M111" s="1"/>
      <c r="N111" s="1"/>
      <c r="O111" s="1"/>
      <c r="P111" s="1"/>
    </row>
    <row r="112" spans="1:16">
      <c r="A112" s="1">
        <v>3.9999999999999999E-16</v>
      </c>
      <c r="B112" s="1">
        <f t="shared" si="7"/>
        <v>2.625796053637785E-5</v>
      </c>
      <c r="C112" s="1">
        <f t="shared" si="8"/>
        <v>420.00357485111931</v>
      </c>
      <c r="D112" s="1">
        <f t="shared" si="9"/>
        <v>20.320554179211751</v>
      </c>
      <c r="E112" s="1">
        <f t="shared" si="10"/>
        <v>714.00607724690303</v>
      </c>
      <c r="F112" s="1">
        <f t="shared" si="11"/>
        <v>26.587176548871664</v>
      </c>
      <c r="G112" s="1">
        <f t="shared" si="12"/>
        <v>1477.2539529246271</v>
      </c>
      <c r="H112" s="1">
        <f t="shared" si="13"/>
        <v>38.341738026028843</v>
      </c>
      <c r="I112" s="1">
        <f>'WSO-UV_WUVS_130nm'!I122</f>
        <v>2.7320820346465755</v>
      </c>
      <c r="J112" s="1"/>
      <c r="K112" s="1"/>
      <c r="L112" s="1"/>
      <c r="M112" s="1"/>
      <c r="N112" s="1"/>
      <c r="O112" s="1"/>
      <c r="P112" s="1"/>
    </row>
    <row r="113" spans="1:16">
      <c r="A113" s="1">
        <v>3.5000000000000002E-16</v>
      </c>
      <c r="B113" s="1">
        <f t="shared" si="7"/>
        <v>2.2975715469330617E-5</v>
      </c>
      <c r="C113" s="1">
        <f t="shared" si="8"/>
        <v>367.50312799472943</v>
      </c>
      <c r="D113" s="1">
        <f t="shared" si="9"/>
        <v>18.985296350605971</v>
      </c>
      <c r="E113" s="1">
        <f t="shared" si="10"/>
        <v>624.75531759104013</v>
      </c>
      <c r="F113" s="1">
        <f t="shared" si="11"/>
        <v>24.852310731742772</v>
      </c>
      <c r="G113" s="1">
        <f t="shared" si="12"/>
        <v>1292.5972088090484</v>
      </c>
      <c r="H113" s="1">
        <f t="shared" si="13"/>
        <v>35.852992789356172</v>
      </c>
      <c r="I113" s="1">
        <f>'WSO-UV_WUVS_130nm'!I123</f>
        <v>2.3942788754584394</v>
      </c>
      <c r="J113" s="1"/>
      <c r="K113" s="1"/>
      <c r="L113" s="1"/>
      <c r="M113" s="1"/>
      <c r="N113" s="1"/>
      <c r="O113" s="1"/>
      <c r="P113" s="1"/>
    </row>
    <row r="114" spans="1:16">
      <c r="A114" s="1">
        <v>2.9999999999999999E-16</v>
      </c>
      <c r="B114" s="1">
        <f t="shared" si="7"/>
        <v>1.9693470402283389E-5</v>
      </c>
      <c r="C114" s="1">
        <f t="shared" si="8"/>
        <v>315.00268113833954</v>
      </c>
      <c r="D114" s="1">
        <f t="shared" si="9"/>
        <v>17.54889095225808</v>
      </c>
      <c r="E114" s="1">
        <f t="shared" si="10"/>
        <v>535.50455793517733</v>
      </c>
      <c r="F114" s="1">
        <f t="shared" si="11"/>
        <v>22.98695455080961</v>
      </c>
      <c r="G114" s="1">
        <f t="shared" si="12"/>
        <v>1107.9404646934702</v>
      </c>
      <c r="H114" s="1">
        <f t="shared" si="13"/>
        <v>33.178109531898485</v>
      </c>
      <c r="I114" s="1">
        <f>'WSO-UV_WUVS_130nm'!I124</f>
        <v>2.055431374460543</v>
      </c>
      <c r="J114" s="1"/>
      <c r="K114" s="1"/>
      <c r="L114" s="1"/>
      <c r="M114" s="1"/>
      <c r="N114" s="1"/>
      <c r="O114" s="1"/>
      <c r="P114" s="1"/>
    </row>
    <row r="115" spans="1:16">
      <c r="A115" s="1">
        <v>2.5000000000000002E-16</v>
      </c>
      <c r="B115" s="1">
        <f t="shared" si="7"/>
        <v>1.6411225335236157E-5</v>
      </c>
      <c r="C115" s="1">
        <f t="shared" si="8"/>
        <v>262.5022342819496</v>
      </c>
      <c r="D115" s="1">
        <f t="shared" si="9"/>
        <v>15.984193638098779</v>
      </c>
      <c r="E115" s="1">
        <f t="shared" si="10"/>
        <v>446.25379827931437</v>
      </c>
      <c r="F115" s="1">
        <f t="shared" si="11"/>
        <v>20.956338440705359</v>
      </c>
      <c r="G115" s="1">
        <f t="shared" si="12"/>
        <v>923.28372057789204</v>
      </c>
      <c r="H115" s="1">
        <f t="shared" si="13"/>
        <v>30.267795320033049</v>
      </c>
      <c r="I115" s="1">
        <f>'WSO-UV_WUVS_130nm'!I125</f>
        <v>1.7155322139452907</v>
      </c>
      <c r="J115" s="1"/>
      <c r="K115" s="1"/>
      <c r="L115" s="1"/>
      <c r="M115" s="1"/>
      <c r="N115" s="1"/>
      <c r="O115" s="1"/>
      <c r="P115" s="1"/>
    </row>
    <row r="116" spans="1:16">
      <c r="A116" s="1">
        <v>2E-16</v>
      </c>
      <c r="B116" s="1">
        <f t="shared" si="7"/>
        <v>1.3128980268188925E-5</v>
      </c>
      <c r="C116" s="1">
        <f t="shared" si="8"/>
        <v>210.00178742555966</v>
      </c>
      <c r="D116" s="1">
        <f t="shared" si="9"/>
        <v>14.249226627946552</v>
      </c>
      <c r="E116" s="1">
        <f t="shared" si="10"/>
        <v>357.00303862345152</v>
      </c>
      <c r="F116" s="1">
        <f t="shared" si="11"/>
        <v>18.706827010742739</v>
      </c>
      <c r="G116" s="1">
        <f t="shared" si="12"/>
        <v>738.62697646231356</v>
      </c>
      <c r="H116" s="1">
        <f t="shared" si="13"/>
        <v>27.046191657976234</v>
      </c>
      <c r="I116" s="1">
        <f>'WSO-UV_WUVS_130nm'!I126</f>
        <v>1.3745739999238296</v>
      </c>
      <c r="J116" s="1"/>
      <c r="K116" s="1"/>
      <c r="L116" s="1"/>
      <c r="M116" s="1"/>
      <c r="N116" s="1"/>
      <c r="O116" s="1"/>
      <c r="P116" s="1"/>
    </row>
    <row r="117" spans="1:16">
      <c r="A117" s="1">
        <v>1.5E-16</v>
      </c>
      <c r="B117" s="1">
        <f t="shared" si="7"/>
        <v>9.8467352011416944E-6</v>
      </c>
      <c r="C117" s="1">
        <f t="shared" si="8"/>
        <v>157.50134056916977</v>
      </c>
      <c r="D117" s="1">
        <f t="shared" si="9"/>
        <v>12.272574795275142</v>
      </c>
      <c r="E117" s="1">
        <f t="shared" si="10"/>
        <v>267.75227896758867</v>
      </c>
      <c r="F117" s="1">
        <f t="shared" si="11"/>
        <v>16.147471033457574</v>
      </c>
      <c r="G117" s="1">
        <f t="shared" si="12"/>
        <v>553.97023234673509</v>
      </c>
      <c r="H117" s="1">
        <f t="shared" si="13"/>
        <v>23.38509377214762</v>
      </c>
      <c r="I117" s="1">
        <f>'WSO-UV_WUVS_130nm'!I127</f>
        <v>1.0325492610786706</v>
      </c>
      <c r="J117" s="1"/>
      <c r="K117" s="1"/>
      <c r="L117" s="1"/>
      <c r="M117" s="1"/>
      <c r="N117" s="1"/>
      <c r="O117" s="1"/>
      <c r="P117" s="1"/>
    </row>
    <row r="118" spans="1:16">
      <c r="A118" s="1">
        <v>9.9999999999999998E-17</v>
      </c>
      <c r="B118" s="1">
        <f t="shared" si="7"/>
        <v>6.5644901340944624E-6</v>
      </c>
      <c r="C118" s="1">
        <f t="shared" si="8"/>
        <v>105.00089371277983</v>
      </c>
      <c r="D118" s="1">
        <f t="shared" si="9"/>
        <v>9.9127656140010316</v>
      </c>
      <c r="E118" s="1">
        <f t="shared" si="10"/>
        <v>178.50151931172576</v>
      </c>
      <c r="F118" s="1">
        <f t="shared" si="11"/>
        <v>13.098880752307288</v>
      </c>
      <c r="G118" s="1">
        <f t="shared" si="12"/>
        <v>369.31348823115678</v>
      </c>
      <c r="H118" s="1">
        <f t="shared" si="13"/>
        <v>19.032897113723934</v>
      </c>
      <c r="I118" s="1">
        <f>'WSO-UV_WUVS_130nm'!I128</f>
        <v>0.6894504476984995</v>
      </c>
      <c r="J118" s="1"/>
      <c r="K118" s="1"/>
      <c r="L118" s="1"/>
      <c r="M118" s="1"/>
      <c r="N118" s="1"/>
      <c r="O118" s="1"/>
      <c r="P118" s="1"/>
    </row>
    <row r="119" spans="1:16">
      <c r="A119" s="1">
        <v>9.5000000000000003E-17</v>
      </c>
      <c r="B119" s="1">
        <f t="shared" si="7"/>
        <v>6.2362656273897392E-6</v>
      </c>
      <c r="C119" s="1">
        <f t="shared" si="8"/>
        <v>99.750849027140831</v>
      </c>
      <c r="D119" s="1">
        <f t="shared" si="9"/>
        <v>9.6454941636874718</v>
      </c>
      <c r="E119" s="1">
        <f t="shared" si="10"/>
        <v>169.57644334613943</v>
      </c>
      <c r="F119" s="1">
        <f t="shared" si="11"/>
        <v>12.754203036191221</v>
      </c>
      <c r="G119" s="1">
        <f t="shared" si="12"/>
        <v>350.84781381959891</v>
      </c>
      <c r="H119" s="1">
        <f t="shared" si="13"/>
        <v>18.541644990443473</v>
      </c>
      <c r="I119" s="1">
        <f>'WSO-UV_WUVS_130nm'!I129</f>
        <v>0.6550811992316562</v>
      </c>
      <c r="J119" s="1"/>
      <c r="K119" s="1"/>
      <c r="L119" s="1"/>
      <c r="M119" s="1"/>
      <c r="N119" s="1"/>
      <c r="O119" s="1"/>
      <c r="P119" s="1"/>
    </row>
    <row r="120" spans="1:16">
      <c r="A120" s="1">
        <v>8.9999999999999996E-17</v>
      </c>
      <c r="B120" s="1">
        <f t="shared" si="7"/>
        <v>5.908041120685016E-6</v>
      </c>
      <c r="C120" s="1">
        <f t="shared" si="8"/>
        <v>94.500804341501848</v>
      </c>
      <c r="D120" s="1">
        <f t="shared" si="9"/>
        <v>9.3707275503739211</v>
      </c>
      <c r="E120" s="1">
        <f t="shared" si="10"/>
        <v>160.65136738055318</v>
      </c>
      <c r="F120" s="1">
        <f t="shared" si="11"/>
        <v>12.400008550382298</v>
      </c>
      <c r="G120" s="1">
        <f t="shared" si="12"/>
        <v>332.38213940804104</v>
      </c>
      <c r="H120" s="1">
        <f t="shared" si="13"/>
        <v>18.037039602259476</v>
      </c>
      <c r="I120" s="1">
        <f>'WSO-UV_WUVS_130nm'!I130</f>
        <v>0.62070112612082184</v>
      </c>
      <c r="J120" s="1"/>
      <c r="K120" s="1"/>
      <c r="L120" s="1"/>
      <c r="M120" s="1"/>
      <c r="N120" s="1"/>
      <c r="O120" s="1"/>
      <c r="P120" s="1"/>
    </row>
    <row r="121" spans="1:16">
      <c r="A121" s="1">
        <v>8.5000000000000001E-17</v>
      </c>
      <c r="B121" s="1">
        <f t="shared" si="7"/>
        <v>5.5798166139802928E-6</v>
      </c>
      <c r="C121" s="1">
        <f t="shared" si="8"/>
        <v>89.250759655862851</v>
      </c>
      <c r="D121" s="1">
        <f t="shared" si="9"/>
        <v>9.0878069952264937</v>
      </c>
      <c r="E121" s="1">
        <f t="shared" si="10"/>
        <v>151.72629141496688</v>
      </c>
      <c r="F121" s="1">
        <f t="shared" si="11"/>
        <v>12.035467600562363</v>
      </c>
      <c r="G121" s="1">
        <f t="shared" si="12"/>
        <v>313.91646499648323</v>
      </c>
      <c r="H121" s="1">
        <f t="shared" si="13"/>
        <v>17.517930863866749</v>
      </c>
      <c r="I121" s="1">
        <f>'WSO-UV_WUVS_130nm'!I131</f>
        <v>0.58631022068469552</v>
      </c>
      <c r="J121" s="1"/>
      <c r="K121" s="1"/>
      <c r="L121" s="1"/>
      <c r="M121" s="1"/>
      <c r="N121" s="1"/>
      <c r="O121" s="1"/>
      <c r="P121" s="1"/>
    </row>
    <row r="122" spans="1:16">
      <c r="A122" s="1">
        <v>8.0000000000000006E-17</v>
      </c>
      <c r="B122" s="1">
        <f t="shared" si="7"/>
        <v>5.2515921072755704E-6</v>
      </c>
      <c r="C122" s="1">
        <f t="shared" si="8"/>
        <v>84.000714970223882</v>
      </c>
      <c r="D122" s="1">
        <f t="shared" si="9"/>
        <v>8.7959724628209699</v>
      </c>
      <c r="E122" s="1">
        <f t="shared" si="10"/>
        <v>142.80121544938063</v>
      </c>
      <c r="F122" s="1">
        <f t="shared" si="11"/>
        <v>11.659623177830747</v>
      </c>
      <c r="G122" s="1">
        <f t="shared" si="12"/>
        <v>295.45079058492541</v>
      </c>
      <c r="H122" s="1">
        <f t="shared" si="13"/>
        <v>16.982993761484771</v>
      </c>
      <c r="I122" s="1">
        <f>'WSO-UV_WUVS_130nm'!I132</f>
        <v>0.5519084752338973</v>
      </c>
      <c r="J122" s="1"/>
      <c r="K122" s="1"/>
      <c r="L122" s="1"/>
      <c r="M122" s="1"/>
      <c r="N122" s="1"/>
      <c r="O122" s="1"/>
      <c r="P122" s="1"/>
    </row>
    <row r="123" spans="1:16">
      <c r="A123" s="1">
        <v>7.4999999999999998E-17</v>
      </c>
      <c r="B123" s="1">
        <f t="shared" si="7"/>
        <v>4.9233676005708472E-6</v>
      </c>
      <c r="C123" s="1">
        <f t="shared" si="8"/>
        <v>78.750670284584885</v>
      </c>
      <c r="D123" s="1">
        <f t="shared" si="9"/>
        <v>8.4943397001918619</v>
      </c>
      <c r="E123" s="1">
        <f t="shared" si="10"/>
        <v>133.87613948379433</v>
      </c>
      <c r="F123" s="1">
        <f t="shared" si="11"/>
        <v>11.271361968750202</v>
      </c>
      <c r="G123" s="1">
        <f t="shared" si="12"/>
        <v>276.98511617336754</v>
      </c>
      <c r="H123" s="1">
        <f t="shared" si="13"/>
        <v>16.430688740356882</v>
      </c>
      <c r="I123" s="1">
        <f>'WSO-UV_WUVS_130nm'!I133</f>
        <v>0.51749588207095498</v>
      </c>
      <c r="J123" s="1"/>
      <c r="K123" s="1"/>
      <c r="L123" s="1"/>
      <c r="M123" s="1"/>
      <c r="N123" s="1"/>
      <c r="O123" s="1"/>
      <c r="P123" s="1"/>
    </row>
    <row r="124" spans="1:16">
      <c r="A124" s="1">
        <v>7.0000000000000003E-17</v>
      </c>
      <c r="B124" s="1">
        <f t="shared" si="7"/>
        <v>4.595143093866124E-6</v>
      </c>
      <c r="C124" s="1">
        <f t="shared" si="8"/>
        <v>73.500625598945902</v>
      </c>
      <c r="D124" s="1">
        <f t="shared" si="9"/>
        <v>8.1818701897131891</v>
      </c>
      <c r="E124" s="1">
        <f t="shared" si="10"/>
        <v>124.95106351820803</v>
      </c>
      <c r="F124" s="1">
        <f t="shared" si="11"/>
        <v>10.869376332592571</v>
      </c>
      <c r="G124" s="1">
        <f t="shared" si="12"/>
        <v>258.51944176180973</v>
      </c>
      <c r="H124" s="1">
        <f t="shared" si="13"/>
        <v>15.859209776982121</v>
      </c>
      <c r="I124" s="1">
        <f>'WSO-UV_WUVS_130nm'!I134</f>
        <v>0.48307243349029566</v>
      </c>
      <c r="J124" s="1"/>
      <c r="K124" s="1"/>
      <c r="L124" s="1"/>
      <c r="M124" s="1"/>
      <c r="N124" s="1"/>
      <c r="O124" s="1"/>
      <c r="P124" s="1"/>
    </row>
    <row r="125" spans="1:16">
      <c r="A125" s="1">
        <v>6.4999999999999996E-17</v>
      </c>
      <c r="B125" s="1">
        <f t="shared" si="7"/>
        <v>4.2669185871614E-6</v>
      </c>
      <c r="C125" s="1">
        <f t="shared" si="8"/>
        <v>68.250580913306891</v>
      </c>
      <c r="D125" s="1">
        <f t="shared" si="9"/>
        <v>7.8573311727400537</v>
      </c>
      <c r="E125" s="1">
        <f t="shared" si="10"/>
        <v>116.02598755262171</v>
      </c>
      <c r="F125" s="1">
        <f t="shared" si="11"/>
        <v>10.452113567782492</v>
      </c>
      <c r="G125" s="1">
        <f t="shared" si="12"/>
        <v>240.05376735025183</v>
      </c>
      <c r="H125" s="1">
        <f t="shared" si="13"/>
        <v>15.266415115711968</v>
      </c>
      <c r="I125" s="1">
        <f>'WSO-UV_WUVS_130nm'!I135</f>
        <v>0.44863812177823215</v>
      </c>
      <c r="J125" s="1"/>
      <c r="K125" s="1"/>
      <c r="L125" s="1"/>
      <c r="M125" s="1"/>
      <c r="N125" s="1"/>
      <c r="O125" s="1"/>
      <c r="P125" s="1"/>
    </row>
    <row r="126" spans="1:16">
      <c r="A126" s="1">
        <v>6.0000000000000001E-17</v>
      </c>
      <c r="B126" s="1">
        <f t="shared" si="7"/>
        <v>3.9386940804566776E-6</v>
      </c>
      <c r="C126" s="1">
        <f t="shared" si="8"/>
        <v>63.000536227667901</v>
      </c>
      <c r="D126" s="1">
        <f t="shared" si="9"/>
        <v>7.5192414594413588</v>
      </c>
      <c r="E126" s="1">
        <f t="shared" si="10"/>
        <v>107.10091158703545</v>
      </c>
      <c r="F126" s="1">
        <f t="shared" si="11"/>
        <v>10.017706887155679</v>
      </c>
      <c r="G126" s="1">
        <f t="shared" si="12"/>
        <v>221.58809293869407</v>
      </c>
      <c r="H126" s="1">
        <f t="shared" si="13"/>
        <v>14.64973304047103</v>
      </c>
      <c r="I126" s="1">
        <f>'WSO-UV_WUVS_130nm'!I136</f>
        <v>0.41419293921295236</v>
      </c>
      <c r="J126" s="1"/>
      <c r="K126" s="1"/>
      <c r="L126" s="1"/>
      <c r="M126" s="1"/>
      <c r="N126" s="1"/>
      <c r="O126" s="1"/>
      <c r="P126" s="1"/>
    </row>
    <row r="127" spans="1:16">
      <c r="A127" s="1">
        <v>5.5E-17</v>
      </c>
      <c r="B127" s="1">
        <f t="shared" si="7"/>
        <v>3.6104695737519544E-6</v>
      </c>
      <c r="C127" s="1">
        <f t="shared" si="8"/>
        <v>57.750491542028911</v>
      </c>
      <c r="D127" s="1">
        <f t="shared" si="9"/>
        <v>7.1657963916506917</v>
      </c>
      <c r="E127" s="1">
        <f t="shared" si="10"/>
        <v>98.175835621449167</v>
      </c>
      <c r="F127" s="1">
        <f t="shared" si="11"/>
        <v>9.5638793915253419</v>
      </c>
      <c r="G127" s="1">
        <f t="shared" si="12"/>
        <v>203.1224185271362</v>
      </c>
      <c r="H127" s="1">
        <f t="shared" si="13"/>
        <v>14.006030745529976</v>
      </c>
      <c r="I127" s="1">
        <f>'WSO-UV_WUVS_130nm'!I137</f>
        <v>0.37973687806450951</v>
      </c>
      <c r="J127" s="1"/>
      <c r="K127" s="1"/>
      <c r="L127" s="1"/>
      <c r="M127" s="1"/>
      <c r="N127" s="1"/>
      <c r="O127" s="1"/>
      <c r="P127" s="1"/>
    </row>
    <row r="128" spans="1:16">
      <c r="A128" s="1">
        <v>4.9999999999999999E-17</v>
      </c>
      <c r="B128" s="1">
        <f t="shared" si="7"/>
        <v>3.2822450670472312E-6</v>
      </c>
      <c r="C128" s="1">
        <f t="shared" si="8"/>
        <v>52.500446856389914</v>
      </c>
      <c r="D128" s="1">
        <f t="shared" si="9"/>
        <v>6.7947613692767828</v>
      </c>
      <c r="E128" s="1">
        <f t="shared" si="10"/>
        <v>89.250759655862879</v>
      </c>
      <c r="F128" s="1">
        <f t="shared" si="11"/>
        <v>9.0878069952264955</v>
      </c>
      <c r="G128" s="1">
        <f t="shared" si="12"/>
        <v>184.65674411557839</v>
      </c>
      <c r="H128" s="1">
        <f t="shared" si="13"/>
        <v>13.331426994871462</v>
      </c>
      <c r="I128" s="1">
        <f>'WSO-UV_WUVS_130nm'!I138</f>
        <v>0.34526993059480876</v>
      </c>
      <c r="J128" s="1"/>
      <c r="K128" s="1"/>
      <c r="L128" s="1"/>
      <c r="M128" s="1"/>
      <c r="N128" s="1"/>
      <c r="O128" s="1"/>
      <c r="P128" s="1"/>
    </row>
    <row r="129" spans="1:16">
      <c r="A129" s="1">
        <v>4.4999999999999998E-17</v>
      </c>
      <c r="B129" s="1">
        <f t="shared" si="7"/>
        <v>2.954020560342508E-6</v>
      </c>
      <c r="C129" s="1">
        <f t="shared" si="8"/>
        <v>47.250402170750924</v>
      </c>
      <c r="D129" s="1">
        <f t="shared" si="9"/>
        <v>6.4033164262350537</v>
      </c>
      <c r="E129" s="1">
        <f t="shared" si="10"/>
        <v>80.325683690276591</v>
      </c>
      <c r="F129" s="1">
        <f t="shared" si="11"/>
        <v>8.5859167816529443</v>
      </c>
      <c r="G129" s="1">
        <f t="shared" si="12"/>
        <v>166.19106970402052</v>
      </c>
      <c r="H129" s="1">
        <f t="shared" si="13"/>
        <v>12.621016085854874</v>
      </c>
      <c r="I129" s="1">
        <f>'WSO-UV_WUVS_130nm'!I139</f>
        <v>0.31079208905759709</v>
      </c>
      <c r="J129" s="1"/>
      <c r="K129" s="1"/>
      <c r="L129" s="1"/>
      <c r="M129" s="1"/>
      <c r="N129" s="1"/>
      <c r="O129" s="1"/>
      <c r="P129" s="1"/>
    </row>
    <row r="130" spans="1:16">
      <c r="A130" s="1">
        <v>4.0000000000000003E-17</v>
      </c>
      <c r="B130" s="1">
        <f t="shared" si="7"/>
        <v>2.6257960536377852E-6</v>
      </c>
      <c r="C130" s="1">
        <f t="shared" si="8"/>
        <v>42.000357485111941</v>
      </c>
      <c r="D130" s="1">
        <f t="shared" si="9"/>
        <v>5.9878216711851664</v>
      </c>
      <c r="E130" s="1">
        <f t="shared" si="10"/>
        <v>71.400607724690317</v>
      </c>
      <c r="F130" s="1">
        <f t="shared" si="11"/>
        <v>8.0535796146789362</v>
      </c>
      <c r="G130" s="1">
        <f t="shared" si="12"/>
        <v>147.72539529246271</v>
      </c>
      <c r="H130" s="1">
        <f t="shared" si="13"/>
        <v>11.868445894950522</v>
      </c>
      <c r="I130" s="1">
        <f>'WSO-UV_WUVS_130nm'!I140</f>
        <v>0.27630334569845194</v>
      </c>
      <c r="J130" s="1"/>
      <c r="K130" s="1"/>
      <c r="L130" s="1"/>
      <c r="M130" s="1"/>
      <c r="N130" s="1"/>
      <c r="O130" s="1"/>
      <c r="P130" s="1"/>
    </row>
    <row r="131" spans="1:16">
      <c r="A131" s="1">
        <v>3.5000000000000002E-17</v>
      </c>
      <c r="B131" s="1">
        <f t="shared" si="7"/>
        <v>2.297571546933062E-6</v>
      </c>
      <c r="C131" s="1">
        <f t="shared" si="8"/>
        <v>36.750312799472951</v>
      </c>
      <c r="D131" s="1">
        <f t="shared" si="9"/>
        <v>5.5434489795593063</v>
      </c>
      <c r="E131" s="1">
        <f t="shared" si="10"/>
        <v>62.475531759104015</v>
      </c>
      <c r="F131" s="1">
        <f t="shared" si="11"/>
        <v>7.4846210268107658</v>
      </c>
      <c r="G131" s="1">
        <f t="shared" si="12"/>
        <v>129.25972088090487</v>
      </c>
      <c r="H131" s="1">
        <f t="shared" si="13"/>
        <v>11.065243476817699</v>
      </c>
      <c r="I131" s="1">
        <f>'WSO-UV_WUVS_130nm'!I141</f>
        <v>0.24180369275476962</v>
      </c>
      <c r="J131" s="1"/>
      <c r="K131" s="1"/>
      <c r="L131" s="1"/>
      <c r="M131" s="1"/>
      <c r="N131" s="1"/>
      <c r="O131" s="1"/>
      <c r="P131" s="1"/>
    </row>
    <row r="132" spans="1:16">
      <c r="A132" s="1">
        <v>3.0000000000000001E-17</v>
      </c>
      <c r="B132" s="1">
        <f t="shared" si="7"/>
        <v>1.9693470402283388E-6</v>
      </c>
      <c r="C132" s="1">
        <f t="shared" si="8"/>
        <v>31.50026811383395</v>
      </c>
      <c r="D132" s="1">
        <f t="shared" si="9"/>
        <v>5.0635751912372546</v>
      </c>
      <c r="E132" s="1">
        <f t="shared" si="10"/>
        <v>53.550455793517727</v>
      </c>
      <c r="F132" s="1">
        <f t="shared" si="11"/>
        <v>6.8705009078328478</v>
      </c>
      <c r="G132" s="1">
        <f t="shared" si="12"/>
        <v>110.79404646934704</v>
      </c>
      <c r="H132" s="1">
        <f t="shared" si="13"/>
        <v>10.199676008078084</v>
      </c>
      <c r="I132" s="1">
        <f>'WSO-UV_WUVS_130nm'!I142</f>
        <v>0.20729312245575424</v>
      </c>
      <c r="J132" s="1"/>
      <c r="K132" s="1"/>
      <c r="L132" s="1"/>
      <c r="M132" s="1"/>
      <c r="N132" s="1"/>
      <c r="O132" s="1"/>
      <c r="P132" s="1"/>
    </row>
    <row r="133" spans="1:16">
      <c r="A133" s="1">
        <v>2.4999999999999999E-17</v>
      </c>
      <c r="B133" s="1">
        <f t="shared" si="7"/>
        <v>1.6411225335236156E-6</v>
      </c>
      <c r="C133" s="1">
        <f t="shared" si="8"/>
        <v>26.250223428194957</v>
      </c>
      <c r="D133" s="1">
        <f t="shared" si="9"/>
        <v>4.5387210600939278</v>
      </c>
      <c r="E133" s="1">
        <f t="shared" si="10"/>
        <v>44.62537982793144</v>
      </c>
      <c r="F133" s="1">
        <f t="shared" si="11"/>
        <v>6.1988435963828046</v>
      </c>
      <c r="G133" s="1">
        <f t="shared" si="12"/>
        <v>92.328372057789196</v>
      </c>
      <c r="H133" s="1">
        <f t="shared" si="13"/>
        <v>9.2546868430328164</v>
      </c>
      <c r="I133" s="1">
        <f>'WSO-UV_WUVS_130nm'!I143</f>
        <v>0.17277162702240639</v>
      </c>
      <c r="J133" s="1"/>
      <c r="K133" s="1"/>
      <c r="L133" s="1"/>
      <c r="M133" s="1"/>
      <c r="N133" s="1"/>
      <c r="O133" s="1"/>
      <c r="P133" s="1"/>
    </row>
    <row r="134" spans="1:16">
      <c r="A134" s="1">
        <v>2.0000000000000001E-17</v>
      </c>
      <c r="B134" s="1">
        <f t="shared" si="7"/>
        <v>1.3128980268188926E-6</v>
      </c>
      <c r="C134" s="1">
        <f t="shared" si="8"/>
        <v>21.000178742555971</v>
      </c>
      <c r="D134" s="1">
        <f t="shared" si="9"/>
        <v>3.9545499065158016</v>
      </c>
      <c r="E134" s="1">
        <f t="shared" si="10"/>
        <v>35.700303862345159</v>
      </c>
      <c r="F134" s="1">
        <f t="shared" si="11"/>
        <v>5.4505675770247342</v>
      </c>
      <c r="G134" s="1">
        <f t="shared" si="12"/>
        <v>73.862697646231354</v>
      </c>
      <c r="H134" s="1">
        <f t="shared" si="13"/>
        <v>8.2037919671684918</v>
      </c>
      <c r="I134" s="1">
        <f>'WSO-UV_WUVS_130nm'!I144</f>
        <v>0.13823919866751119</v>
      </c>
      <c r="J134" s="1"/>
      <c r="K134" s="1"/>
      <c r="L134" s="1"/>
      <c r="M134" s="1"/>
      <c r="N134" s="1"/>
      <c r="O134" s="1"/>
      <c r="P134" s="1"/>
    </row>
    <row r="135" spans="1:16">
      <c r="A135" s="1">
        <v>1.5E-17</v>
      </c>
      <c r="B135" s="1">
        <f t="shared" si="7"/>
        <v>9.846735201141694E-7</v>
      </c>
      <c r="C135" s="1">
        <f t="shared" si="8"/>
        <v>15.750134056916975</v>
      </c>
      <c r="D135" s="1">
        <f t="shared" si="9"/>
        <v>3.2876959093003544</v>
      </c>
      <c r="E135" s="1">
        <f t="shared" si="10"/>
        <v>26.775227896758864</v>
      </c>
      <c r="F135" s="1">
        <f t="shared" si="11"/>
        <v>4.5935874299378199</v>
      </c>
      <c r="G135" s="1">
        <f t="shared" si="12"/>
        <v>55.397023234673519</v>
      </c>
      <c r="H135" s="1">
        <f t="shared" si="13"/>
        <v>7.0017981712685629</v>
      </c>
      <c r="I135" s="1">
        <f>'WSO-UV_WUVS_130nm'!I145</f>
        <v>0.10369582959562758</v>
      </c>
      <c r="J135" s="1"/>
      <c r="K135" s="1"/>
      <c r="L135" s="1"/>
      <c r="M135" s="1"/>
      <c r="N135" s="1"/>
      <c r="O135" s="1"/>
      <c r="P135" s="1"/>
    </row>
    <row r="136" spans="1:16">
      <c r="A136" s="1">
        <v>1.0000000000000001E-17</v>
      </c>
      <c r="B136" s="1">
        <f t="shared" si="7"/>
        <v>6.564490134094463E-7</v>
      </c>
      <c r="C136" s="1">
        <f t="shared" si="8"/>
        <v>10.500089371277985</v>
      </c>
      <c r="D136" s="1">
        <f t="shared" si="9"/>
        <v>2.4957740567681181</v>
      </c>
      <c r="E136" s="1">
        <f t="shared" si="10"/>
        <v>17.850151931172579</v>
      </c>
      <c r="F136" s="1">
        <f t="shared" si="11"/>
        <v>3.5664548865182826</v>
      </c>
      <c r="G136" s="1">
        <f t="shared" si="12"/>
        <v>36.931348823115677</v>
      </c>
      <c r="H136" s="1">
        <f t="shared" si="13"/>
        <v>5.5593186633202922</v>
      </c>
      <c r="I136" s="1">
        <f>'WSO-UV_WUVS_130nm'!I146</f>
        <v>6.9141512003076833E-2</v>
      </c>
      <c r="J136" s="1"/>
      <c r="K136" s="1"/>
      <c r="L136" s="1"/>
      <c r="M136" s="1"/>
      <c r="N136" s="1"/>
      <c r="O136" s="1"/>
      <c r="P136" s="1"/>
    </row>
    <row r="137" spans="1:16">
      <c r="A137" s="1">
        <v>9.5000000000000003E-18</v>
      </c>
      <c r="B137" s="1">
        <f t="shared" si="7"/>
        <v>6.2362656273897394E-7</v>
      </c>
      <c r="C137" s="1">
        <f t="shared" si="8"/>
        <v>9.9750849027140855</v>
      </c>
      <c r="D137" s="1">
        <f t="shared" si="9"/>
        <v>2.406950475873646</v>
      </c>
      <c r="E137" s="1">
        <f t="shared" si="10"/>
        <v>16.957644334613949</v>
      </c>
      <c r="F137" s="1">
        <f t="shared" si="11"/>
        <v>3.4501520155433836</v>
      </c>
      <c r="G137" s="1">
        <f t="shared" si="12"/>
        <v>35.084781381959893</v>
      </c>
      <c r="H137" s="1">
        <f t="shared" si="13"/>
        <v>5.3954382931524192</v>
      </c>
      <c r="I137" s="1">
        <f>'WSO-UV_WUVS_130nm'!I147</f>
        <v>6.568547777449732E-2</v>
      </c>
      <c r="J137" s="1"/>
      <c r="K137" s="1"/>
      <c r="L137" s="1"/>
      <c r="M137" s="1"/>
      <c r="N137" s="1"/>
      <c r="O137" s="1"/>
      <c r="P137" s="1"/>
    </row>
    <row r="138" spans="1:16">
      <c r="A138" s="1">
        <v>8.9999999999999999E-18</v>
      </c>
      <c r="B138" s="1">
        <f t="shared" si="7"/>
        <v>5.9080411206850168E-7</v>
      </c>
      <c r="C138" s="1">
        <f t="shared" si="8"/>
        <v>9.4500804341501858</v>
      </c>
      <c r="D138" s="1">
        <f t="shared" si="9"/>
        <v>2.3159401777089448</v>
      </c>
      <c r="E138" s="1">
        <f t="shared" si="10"/>
        <v>16.065136738055319</v>
      </c>
      <c r="F138" s="1">
        <f t="shared" si="11"/>
        <v>3.3306701258310718</v>
      </c>
      <c r="G138" s="1">
        <f t="shared" si="12"/>
        <v>33.238213940804108</v>
      </c>
      <c r="H138" s="1">
        <f t="shared" si="13"/>
        <v>5.2268699686345963</v>
      </c>
      <c r="I138" s="1">
        <f>'WSO-UV_WUVS_130nm'!I148</f>
        <v>6.2229333974782232E-2</v>
      </c>
      <c r="J138" s="1"/>
      <c r="K138" s="1"/>
      <c r="L138" s="1"/>
      <c r="M138" s="1"/>
      <c r="N138" s="1"/>
      <c r="O138" s="1"/>
      <c r="P138" s="1"/>
    </row>
    <row r="139" spans="1:16">
      <c r="A139" s="1">
        <v>8.4999999999999995E-18</v>
      </c>
      <c r="B139" s="1">
        <f t="shared" si="7"/>
        <v>5.5798166139802932E-7</v>
      </c>
      <c r="C139" s="1">
        <f t="shared" si="8"/>
        <v>8.9250759655862844</v>
      </c>
      <c r="D139" s="1">
        <f t="shared" si="9"/>
        <v>2.2225986009913816</v>
      </c>
      <c r="E139" s="1">
        <f t="shared" si="10"/>
        <v>15.172629141496691</v>
      </c>
      <c r="F139" s="1">
        <f t="shared" si="11"/>
        <v>3.2077634220683926</v>
      </c>
      <c r="G139" s="1">
        <f t="shared" si="12"/>
        <v>31.391646499648324</v>
      </c>
      <c r="H139" s="1">
        <f t="shared" si="13"/>
        <v>5.0532110965450237</v>
      </c>
      <c r="I139" s="1">
        <f>'WSO-UV_WUVS_130nm'!I149</f>
        <v>5.8773080596114219E-2</v>
      </c>
      <c r="J139" s="1"/>
      <c r="K139" s="1"/>
      <c r="L139" s="1"/>
      <c r="M139" s="1"/>
      <c r="N139" s="1"/>
      <c r="O139" s="1"/>
      <c r="P139" s="1"/>
    </row>
    <row r="140" spans="1:16">
      <c r="A140" s="1">
        <v>8.0000000000000006E-18</v>
      </c>
      <c r="B140" s="1">
        <f t="shared" si="7"/>
        <v>5.2515921072755706E-7</v>
      </c>
      <c r="C140" s="1">
        <f t="shared" si="8"/>
        <v>8.4000714970223882</v>
      </c>
      <c r="D140" s="1">
        <f t="shared" si="9"/>
        <v>2.1267658992080358</v>
      </c>
      <c r="E140" s="1">
        <f t="shared" si="10"/>
        <v>14.280121544938062</v>
      </c>
      <c r="F140" s="1">
        <f t="shared" si="11"/>
        <v>3.0811549311801896</v>
      </c>
      <c r="G140" s="1">
        <f t="shared" si="12"/>
        <v>29.545079058492544</v>
      </c>
      <c r="H140" s="1">
        <f t="shared" si="13"/>
        <v>4.8740004323079278</v>
      </c>
      <c r="I140" s="1">
        <f>'WSO-UV_WUVS_130nm'!I150</f>
        <v>5.5316717630675194E-2</v>
      </c>
      <c r="J140" s="1"/>
      <c r="K140" s="1"/>
      <c r="L140" s="1"/>
      <c r="M140" s="1"/>
      <c r="N140" s="1"/>
      <c r="O140" s="1"/>
      <c r="P140" s="1"/>
    </row>
    <row r="141" spans="1:16">
      <c r="A141" s="1">
        <v>7.5000000000000002E-18</v>
      </c>
      <c r="B141" s="1">
        <f t="shared" si="7"/>
        <v>4.923367600570847E-7</v>
      </c>
      <c r="C141" s="1">
        <f t="shared" si="8"/>
        <v>7.8750670284584876</v>
      </c>
      <c r="D141" s="1">
        <f t="shared" si="9"/>
        <v>2.0282647037805202</v>
      </c>
      <c r="E141" s="1">
        <f t="shared" si="10"/>
        <v>13.387613948379432</v>
      </c>
      <c r="F141" s="1">
        <f t="shared" si="11"/>
        <v>2.9505309350098732</v>
      </c>
      <c r="G141" s="1">
        <f t="shared" si="12"/>
        <v>27.698511617336759</v>
      </c>
      <c r="H141" s="1">
        <f t="shared" si="13"/>
        <v>4.6887057688572193</v>
      </c>
      <c r="I141" s="1">
        <f>'WSO-UV_WUVS_130nm'!I151</f>
        <v>5.1860245070646176E-2</v>
      </c>
      <c r="J141" s="1"/>
      <c r="K141" s="1"/>
      <c r="L141" s="1"/>
      <c r="M141" s="1"/>
      <c r="N141" s="1"/>
      <c r="O141" s="1"/>
      <c r="P141" s="1"/>
    </row>
    <row r="142" spans="1:16">
      <c r="A142" s="1">
        <v>6.9999999999999997E-18</v>
      </c>
      <c r="B142" s="1">
        <f t="shared" si="7"/>
        <v>4.5951430938661234E-7</v>
      </c>
      <c r="C142" s="1">
        <f t="shared" si="8"/>
        <v>7.350062559894587</v>
      </c>
      <c r="D142" s="1">
        <f t="shared" si="9"/>
        <v>1.9268974645103456</v>
      </c>
      <c r="E142" s="1">
        <f t="shared" si="10"/>
        <v>12.495106351820802</v>
      </c>
      <c r="F142" s="1">
        <f t="shared" si="11"/>
        <v>2.8155341013010373</v>
      </c>
      <c r="G142" s="1">
        <f t="shared" si="12"/>
        <v>25.851944176180972</v>
      </c>
      <c r="H142" s="1">
        <f t="shared" si="13"/>
        <v>4.4967081780660703</v>
      </c>
      <c r="I142" s="1">
        <f>'WSO-UV_WUVS_130nm'!I152</f>
        <v>4.840366290820744E-2</v>
      </c>
      <c r="J142" s="1"/>
      <c r="K142" s="1"/>
      <c r="L142" s="1"/>
      <c r="M142" s="1"/>
      <c r="N142" s="1"/>
      <c r="O142" s="1"/>
      <c r="P142" s="1"/>
    </row>
    <row r="143" spans="1:16">
      <c r="A143" s="1">
        <v>6.5000000000000001E-18</v>
      </c>
      <c r="B143" s="1">
        <f t="shared" si="7"/>
        <v>4.2669185871614008E-7</v>
      </c>
      <c r="C143" s="1">
        <f t="shared" si="8"/>
        <v>6.8250580913306891</v>
      </c>
      <c r="D143" s="1">
        <f t="shared" si="9"/>
        <v>1.8224432682661735</v>
      </c>
      <c r="E143" s="1">
        <f t="shared" si="10"/>
        <v>11.602598755262173</v>
      </c>
      <c r="F143" s="1">
        <f t="shared" si="11"/>
        <v>2.6757549308554314</v>
      </c>
      <c r="G143" s="1">
        <f t="shared" si="12"/>
        <v>24.005376735025191</v>
      </c>
      <c r="H143" s="1">
        <f t="shared" si="13"/>
        <v>4.2972815722149598</v>
      </c>
      <c r="I143" s="1">
        <f>'WSO-UV_WUVS_130nm'!I153</f>
        <v>4.4946971135538347E-2</v>
      </c>
      <c r="J143" s="1"/>
      <c r="K143" s="1"/>
      <c r="L143" s="1"/>
      <c r="M143" s="1"/>
      <c r="N143" s="1"/>
      <c r="O143" s="1"/>
      <c r="P143" s="1"/>
    </row>
    <row r="144" spans="1:16">
      <c r="A144" s="1">
        <v>5.9999999999999997E-18</v>
      </c>
      <c r="B144" s="1">
        <f t="shared" si="7"/>
        <v>3.9386940804566772E-7</v>
      </c>
      <c r="C144" s="1">
        <f t="shared" si="8"/>
        <v>6.3000536227667894</v>
      </c>
      <c r="D144" s="1">
        <f t="shared" si="9"/>
        <v>1.7146540088686302</v>
      </c>
      <c r="E144" s="1">
        <f t="shared" si="10"/>
        <v>10.710091158703543</v>
      </c>
      <c r="F144" s="1">
        <f t="shared" si="11"/>
        <v>2.5307210016593764</v>
      </c>
      <c r="G144" s="1">
        <f t="shared" si="12"/>
        <v>22.158809293869407</v>
      </c>
      <c r="H144" s="1">
        <f t="shared" si="13"/>
        <v>4.0895658056859014</v>
      </c>
      <c r="I144" s="1">
        <f>'WSO-UV_WUVS_130nm'!I154</f>
        <v>4.1490169744817479E-2</v>
      </c>
      <c r="J144" s="1"/>
      <c r="K144" s="1"/>
      <c r="L144" s="1"/>
      <c r="M144" s="1"/>
      <c r="N144" s="1"/>
      <c r="O144" s="1"/>
      <c r="P144" s="1"/>
    </row>
    <row r="145" spans="1:16">
      <c r="A145" s="1">
        <v>5.5E-18</v>
      </c>
      <c r="B145" s="1">
        <f t="shared" si="7"/>
        <v>3.6104695737519546E-7</v>
      </c>
      <c r="C145" s="1">
        <f t="shared" si="8"/>
        <v>5.7750491542028906</v>
      </c>
      <c r="D145" s="1">
        <f t="shared" si="9"/>
        <v>1.6032497437425666</v>
      </c>
      <c r="E145" s="1">
        <f t="shared" si="10"/>
        <v>9.8175835621449163</v>
      </c>
      <c r="F145" s="1">
        <f t="shared" si="11"/>
        <v>2.379883294691981</v>
      </c>
      <c r="G145" s="1">
        <f t="shared" si="12"/>
        <v>20.312241852713623</v>
      </c>
      <c r="H145" s="1">
        <f t="shared" si="13"/>
        <v>3.8725306934059764</v>
      </c>
      <c r="I145" s="1">
        <f>'WSO-UV_WUVS_130nm'!I155</f>
        <v>3.8033258728222594E-2</v>
      </c>
      <c r="J145" s="1"/>
      <c r="K145" s="1"/>
      <c r="L145" s="1"/>
      <c r="M145" s="1"/>
      <c r="N145" s="1"/>
      <c r="O145" s="1"/>
      <c r="P145" s="1"/>
    </row>
    <row r="146" spans="1:16">
      <c r="A146" s="1">
        <v>5.0000000000000004E-18</v>
      </c>
      <c r="B146" s="1">
        <f t="shared" si="7"/>
        <v>3.2822450670472315E-7</v>
      </c>
      <c r="C146" s="1">
        <f t="shared" si="8"/>
        <v>5.2500446856389926</v>
      </c>
      <c r="D146" s="1">
        <f t="shared" si="9"/>
        <v>1.4879130224701955</v>
      </c>
      <c r="E146" s="1">
        <f t="shared" si="10"/>
        <v>8.9250759655862897</v>
      </c>
      <c r="F146" s="1">
        <f t="shared" si="11"/>
        <v>2.2225986009913825</v>
      </c>
      <c r="G146" s="1">
        <f t="shared" si="12"/>
        <v>18.465674411557838</v>
      </c>
      <c r="H146" s="1">
        <f t="shared" si="13"/>
        <v>3.6449269891235314</v>
      </c>
      <c r="I146" s="1">
        <f>'WSO-UV_WUVS_130nm'!I156</f>
        <v>3.4576238077930595E-2</v>
      </c>
      <c r="J146" s="1"/>
      <c r="K146" s="1"/>
      <c r="L146" s="1"/>
      <c r="M146" s="1"/>
      <c r="N146" s="1"/>
      <c r="O146" s="1"/>
      <c r="P146" s="1"/>
    </row>
    <row r="147" spans="1:16">
      <c r="A147" s="1">
        <v>4.4999999999999999E-18</v>
      </c>
      <c r="B147" s="1">
        <f t="shared" si="7"/>
        <v>2.9540205603425084E-7</v>
      </c>
      <c r="C147" s="1">
        <f t="shared" si="8"/>
        <v>4.7250402170750929</v>
      </c>
      <c r="D147" s="1">
        <f t="shared" si="9"/>
        <v>1.3682819035602685</v>
      </c>
      <c r="E147" s="1">
        <f t="shared" si="10"/>
        <v>8.0325683690276595</v>
      </c>
      <c r="F147" s="1">
        <f t="shared" si="11"/>
        <v>2.0581065873252844</v>
      </c>
      <c r="G147" s="1">
        <f t="shared" si="12"/>
        <v>16.619106970402054</v>
      </c>
      <c r="H147" s="1">
        <f t="shared" si="13"/>
        <v>3.4052181991101103</v>
      </c>
      <c r="I147" s="1">
        <f>'WSO-UV_WUVS_130nm'!I157</f>
        <v>3.1119107786117563E-2</v>
      </c>
      <c r="J147" s="1"/>
      <c r="K147" s="1"/>
      <c r="L147" s="1"/>
      <c r="M147" s="1"/>
      <c r="N147" s="1"/>
      <c r="O147" s="1"/>
      <c r="P147" s="1"/>
    </row>
    <row r="148" spans="1:16">
      <c r="A148" s="1">
        <v>4.0000000000000003E-18</v>
      </c>
      <c r="B148" s="1">
        <f t="shared" si="7"/>
        <v>2.6257960536377853E-7</v>
      </c>
      <c r="C148" s="1">
        <f t="shared" si="8"/>
        <v>4.2000357485111941</v>
      </c>
      <c r="D148" s="1">
        <f t="shared" si="9"/>
        <v>1.2439412806939898</v>
      </c>
      <c r="E148" s="1">
        <f t="shared" si="10"/>
        <v>7.140060772469031</v>
      </c>
      <c r="F148" s="1">
        <f t="shared" si="11"/>
        <v>1.885499459962251</v>
      </c>
      <c r="G148" s="1">
        <f t="shared" si="12"/>
        <v>14.772539529246272</v>
      </c>
      <c r="H148" s="1">
        <f t="shared" si="13"/>
        <v>3.1514834700674457</v>
      </c>
      <c r="I148" s="1">
        <f>'WSO-UV_WUVS_130nm'!I158</f>
        <v>2.7661867844958776E-2</v>
      </c>
      <c r="J148" s="1"/>
      <c r="K148" s="1"/>
      <c r="L148" s="1"/>
      <c r="M148" s="1"/>
      <c r="N148" s="1"/>
      <c r="O148" s="1"/>
      <c r="P148" s="1"/>
    </row>
    <row r="149" spans="1:16">
      <c r="A149" s="1">
        <v>3.4999999999999999E-18</v>
      </c>
      <c r="B149" s="1">
        <f t="shared" ref="B149:B190" si="14">A149*$C$4/($C$2*$C$3/1304*10000000000)</f>
        <v>2.2975715469330617E-7</v>
      </c>
      <c r="C149" s="1">
        <f t="shared" ref="C149:C190" si="15">B149*$C$11*$C$15*3600</f>
        <v>3.6750312799472935</v>
      </c>
      <c r="D149" s="1">
        <f t="shared" ref="D149:D190" si="16">C149/SQRT(C149+($C$16)*2)</f>
        <v>1.1144120066677834</v>
      </c>
      <c r="E149" s="1">
        <f t="shared" ref="E149:E190" si="17">B149*$D$11*$C$15*3600</f>
        <v>6.2475531759104008</v>
      </c>
      <c r="F149" s="1">
        <f t="shared" ref="F149:F190" si="18">E149/SQRT(E149+($C$16)*2)</f>
        <v>1.703681180907332</v>
      </c>
      <c r="G149" s="1">
        <f t="shared" ref="G149:G190" si="19">B149*$E$11*$C$15*3600</f>
        <v>12.925972088090486</v>
      </c>
      <c r="H149" s="1">
        <f t="shared" ref="H149:H190" si="20">G149/SQRT(G149+($C$16)*2)</f>
        <v>2.8812754628363453</v>
      </c>
      <c r="I149" s="1">
        <f>'WSO-UV_WUVS_130nm'!I159</f>
        <v>2.4204518246628681E-2</v>
      </c>
      <c r="J149" s="1"/>
      <c r="K149" s="1"/>
      <c r="L149" s="1"/>
      <c r="M149" s="1"/>
      <c r="N149" s="1"/>
      <c r="O149" s="1"/>
      <c r="P149" s="1"/>
    </row>
    <row r="150" spans="1:16">
      <c r="A150" s="1">
        <v>2.9999999999999998E-18</v>
      </c>
      <c r="B150" s="1">
        <f t="shared" si="14"/>
        <v>1.9693470402283386E-7</v>
      </c>
      <c r="C150" s="1">
        <f t="shared" si="15"/>
        <v>3.1500268113833947</v>
      </c>
      <c r="D150" s="1">
        <f t="shared" si="16"/>
        <v>0.97913711435424045</v>
      </c>
      <c r="E150" s="1">
        <f t="shared" si="17"/>
        <v>5.3550455793517715</v>
      </c>
      <c r="F150" s="1">
        <f t="shared" si="18"/>
        <v>1.5113116315099651</v>
      </c>
      <c r="G150" s="1">
        <f t="shared" si="19"/>
        <v>11.079404646934703</v>
      </c>
      <c r="H150" s="1">
        <f t="shared" si="20"/>
        <v>2.5914056465714483</v>
      </c>
      <c r="I150" s="1">
        <f>'WSO-UV_WUVS_130nm'!I160</f>
        <v>2.074705898330087E-2</v>
      </c>
      <c r="J150" s="1"/>
      <c r="K150" s="1"/>
      <c r="L150" s="1"/>
      <c r="M150" s="1"/>
      <c r="N150" s="1"/>
      <c r="O150" s="1"/>
      <c r="P150" s="1"/>
    </row>
    <row r="151" spans="1:16">
      <c r="A151" s="1">
        <v>2.5000000000000002E-18</v>
      </c>
      <c r="B151" s="1">
        <f t="shared" si="14"/>
        <v>1.6411225335236158E-7</v>
      </c>
      <c r="C151" s="1">
        <f t="shared" si="15"/>
        <v>2.6250223428194963</v>
      </c>
      <c r="D151" s="1">
        <f t="shared" si="16"/>
        <v>0.83746416156654002</v>
      </c>
      <c r="E151" s="1">
        <f t="shared" si="17"/>
        <v>4.4625379827931448</v>
      </c>
      <c r="F151" s="1">
        <f t="shared" si="18"/>
        <v>1.3067285805950455</v>
      </c>
      <c r="G151" s="1">
        <f t="shared" si="19"/>
        <v>9.2328372057789192</v>
      </c>
      <c r="H151" s="1">
        <f t="shared" si="20"/>
        <v>2.2776075914133669</v>
      </c>
      <c r="I151" s="1">
        <f>'WSO-UV_WUVS_130nm'!I161</f>
        <v>1.7289490047148144E-2</v>
      </c>
      <c r="J151" s="1"/>
      <c r="K151" s="1"/>
      <c r="L151" s="1"/>
      <c r="M151" s="1"/>
      <c r="N151" s="1"/>
      <c r="O151" s="1"/>
      <c r="P151" s="1"/>
    </row>
    <row r="152" spans="1:16">
      <c r="A152" s="1">
        <v>2.0000000000000001E-18</v>
      </c>
      <c r="B152" s="1">
        <f t="shared" si="14"/>
        <v>1.3128980268188927E-7</v>
      </c>
      <c r="C152" s="1">
        <f t="shared" si="15"/>
        <v>2.1000178742555971</v>
      </c>
      <c r="D152" s="1">
        <f t="shared" si="16"/>
        <v>0.68862232701947101</v>
      </c>
      <c r="E152" s="1">
        <f t="shared" si="17"/>
        <v>3.5700303862345155</v>
      </c>
      <c r="F152" s="1">
        <f t="shared" si="18"/>
        <v>1.0878360535833513</v>
      </c>
      <c r="G152" s="1">
        <f t="shared" si="19"/>
        <v>7.3862697646231359</v>
      </c>
      <c r="H152" s="1">
        <f t="shared" si="20"/>
        <v>1.9339847464721536</v>
      </c>
      <c r="I152" s="1">
        <f>'WSO-UV_WUVS_130nm'!I162</f>
        <v>1.3831811430342435E-2</v>
      </c>
      <c r="J152" s="1"/>
      <c r="K152" s="1"/>
      <c r="L152" s="1"/>
      <c r="M152" s="1"/>
      <c r="N152" s="1"/>
      <c r="O152" s="1"/>
      <c r="P152" s="1"/>
    </row>
    <row r="153" spans="1:16">
      <c r="A153" s="1">
        <v>1.4999999999999999E-18</v>
      </c>
      <c r="B153" s="1">
        <f t="shared" si="14"/>
        <v>9.8467352011416929E-8</v>
      </c>
      <c r="C153" s="1">
        <f t="shared" si="15"/>
        <v>1.5750134056916973</v>
      </c>
      <c r="D153" s="1">
        <f t="shared" si="16"/>
        <v>0.53169228707273886</v>
      </c>
      <c r="E153" s="1">
        <f t="shared" si="17"/>
        <v>2.6775227896758858</v>
      </c>
      <c r="F153" s="1">
        <f t="shared" si="18"/>
        <v>0.85194028689568635</v>
      </c>
      <c r="G153" s="1">
        <f t="shared" si="19"/>
        <v>5.5397023234673517</v>
      </c>
      <c r="H153" s="1">
        <f t="shared" si="20"/>
        <v>1.5520538602161633</v>
      </c>
      <c r="I153" s="1">
        <f>'WSO-UV_WUVS_130nm'!I163</f>
        <v>1.0374023125054881E-2</v>
      </c>
      <c r="J153" s="1"/>
      <c r="K153" s="1"/>
      <c r="L153" s="1"/>
      <c r="M153" s="1"/>
      <c r="N153" s="1"/>
      <c r="O153" s="1"/>
      <c r="P153" s="1"/>
    </row>
    <row r="154" spans="1:16">
      <c r="A154" s="1">
        <v>9.9999999999999892E-19</v>
      </c>
      <c r="B154" s="1">
        <f t="shared" si="14"/>
        <v>6.5644901340944553E-8</v>
      </c>
      <c r="C154" s="1">
        <f t="shared" si="15"/>
        <v>1.0500089371277972</v>
      </c>
      <c r="D154" s="1">
        <f t="shared" si="16"/>
        <v>0.3655659910088695</v>
      </c>
      <c r="E154" s="1">
        <f t="shared" si="17"/>
        <v>1.7850151931172558</v>
      </c>
      <c r="F154" s="1">
        <f t="shared" si="18"/>
        <v>0.59550101910634912</v>
      </c>
      <c r="G154" s="1">
        <f t="shared" si="19"/>
        <v>3.6931348823115639</v>
      </c>
      <c r="H154" s="1">
        <f t="shared" si="20"/>
        <v>1.1189707361846091</v>
      </c>
      <c r="I154" s="1">
        <f>'WSO-UV_WUVS_130nm'!I164</f>
        <v>6.9161251234557755E-3</v>
      </c>
      <c r="J154" s="1"/>
      <c r="K154" s="1"/>
      <c r="L154" s="1"/>
      <c r="M154" s="1"/>
      <c r="N154" s="1"/>
      <c r="O154" s="1"/>
      <c r="P154" s="1"/>
    </row>
    <row r="155" spans="1:16">
      <c r="A155" s="1">
        <v>9.4999999999999995E-19</v>
      </c>
      <c r="B155" s="1">
        <f t="shared" si="14"/>
        <v>6.2362656273897391E-8</v>
      </c>
      <c r="C155" s="1">
        <f t="shared" si="15"/>
        <v>0.99750849027140842</v>
      </c>
      <c r="D155" s="1">
        <f t="shared" si="16"/>
        <v>0.3483980080545831</v>
      </c>
      <c r="E155" s="1">
        <f t="shared" si="17"/>
        <v>1.6957644334613946</v>
      </c>
      <c r="F155" s="1">
        <f t="shared" si="18"/>
        <v>0.5685568355565469</v>
      </c>
      <c r="G155" s="1">
        <f t="shared" si="19"/>
        <v>3.5084781381959891</v>
      </c>
      <c r="H155" s="1">
        <f t="shared" si="20"/>
        <v>1.0721483894348174</v>
      </c>
      <c r="I155" s="1">
        <f>'WSO-UV_WUVS_130nm'!I165</f>
        <v>6.5703292896972703E-3</v>
      </c>
      <c r="J155" s="1"/>
      <c r="K155" s="1"/>
      <c r="L155" s="1"/>
      <c r="M155" s="1"/>
      <c r="N155" s="1"/>
      <c r="O155" s="1"/>
      <c r="P155" s="1"/>
    </row>
    <row r="156" spans="1:16">
      <c r="A156" s="1">
        <v>9.0000000000000003E-19</v>
      </c>
      <c r="B156" s="1">
        <f t="shared" si="14"/>
        <v>5.9080411206850163E-8</v>
      </c>
      <c r="C156" s="1">
        <f t="shared" si="15"/>
        <v>0.94500804341501854</v>
      </c>
      <c r="D156" s="1">
        <f t="shared" si="16"/>
        <v>0.33112330352674696</v>
      </c>
      <c r="E156" s="1">
        <f t="shared" si="17"/>
        <v>1.6065136738055317</v>
      </c>
      <c r="F156" s="1">
        <f t="shared" si="18"/>
        <v>0.54135533306608585</v>
      </c>
      <c r="G156" s="1">
        <f t="shared" si="19"/>
        <v>3.3238213940804107</v>
      </c>
      <c r="H156" s="1">
        <f t="shared" si="20"/>
        <v>1.0245919619743507</v>
      </c>
      <c r="I156" s="1">
        <f>'WSO-UV_WUVS_130nm'!I166</f>
        <v>6.2245323588895072E-3</v>
      </c>
      <c r="J156" s="1"/>
      <c r="K156" s="1"/>
      <c r="L156" s="1"/>
      <c r="M156" s="1"/>
      <c r="N156" s="1"/>
      <c r="O156" s="1"/>
      <c r="P156" s="1"/>
    </row>
    <row r="157" spans="1:16">
      <c r="A157" s="1">
        <v>8.5E-19</v>
      </c>
      <c r="B157" s="1">
        <f t="shared" si="14"/>
        <v>5.5798166139802928E-8</v>
      </c>
      <c r="C157" s="1">
        <f t="shared" si="15"/>
        <v>0.89250759655862855</v>
      </c>
      <c r="D157" s="1">
        <f t="shared" si="16"/>
        <v>0.31374034039957832</v>
      </c>
      <c r="E157" s="1">
        <f t="shared" si="17"/>
        <v>1.517262914149669</v>
      </c>
      <c r="F157" s="1">
        <f t="shared" si="18"/>
        <v>0.51389071437528377</v>
      </c>
      <c r="G157" s="1">
        <f t="shared" si="19"/>
        <v>3.1391646499648327</v>
      </c>
      <c r="H157" s="1">
        <f t="shared" si="20"/>
        <v>0.97627320427942244</v>
      </c>
      <c r="I157" s="1">
        <f>'WSO-UV_WUVS_130nm'!I167</f>
        <v>5.8787343310246617E-3</v>
      </c>
      <c r="J157" s="1"/>
      <c r="K157" s="1"/>
      <c r="L157" s="1"/>
      <c r="M157" s="1"/>
      <c r="N157" s="1"/>
      <c r="O157" s="1"/>
      <c r="P157" s="1"/>
    </row>
    <row r="158" spans="1:16">
      <c r="A158" s="1">
        <v>7.9999999999999998E-19</v>
      </c>
      <c r="B158" s="1">
        <f t="shared" si="14"/>
        <v>5.2515921072755693E-8</v>
      </c>
      <c r="C158" s="1">
        <f t="shared" si="15"/>
        <v>0.84000714970223855</v>
      </c>
      <c r="D158" s="1">
        <f t="shared" si="16"/>
        <v>0.29624754844470241</v>
      </c>
      <c r="E158" s="1">
        <f t="shared" si="17"/>
        <v>1.4280121544938058</v>
      </c>
      <c r="F158" s="1">
        <f t="shared" si="18"/>
        <v>0.48615698482567682</v>
      </c>
      <c r="G158" s="1">
        <f t="shared" si="19"/>
        <v>2.9545079058492543</v>
      </c>
      <c r="H158" s="1">
        <f t="shared" si="20"/>
        <v>0.92716219590620463</v>
      </c>
      <c r="I158" s="1">
        <f>'WSO-UV_WUVS_130nm'!I168</f>
        <v>5.5329352060949017E-3</v>
      </c>
      <c r="J158" s="1"/>
      <c r="K158" s="1"/>
      <c r="L158" s="1"/>
      <c r="M158" s="1"/>
      <c r="N158" s="1"/>
      <c r="O158" s="1"/>
      <c r="P158" s="1"/>
    </row>
    <row r="159" spans="1:16">
      <c r="A159" s="1">
        <v>7.4999999999999996E-19</v>
      </c>
      <c r="B159" s="1">
        <f t="shared" si="14"/>
        <v>4.9233676005708465E-8</v>
      </c>
      <c r="C159" s="1">
        <f t="shared" si="15"/>
        <v>0.78750670284584867</v>
      </c>
      <c r="D159" s="1">
        <f t="shared" si="16"/>
        <v>0.27864332328135399</v>
      </c>
      <c r="E159" s="1">
        <f t="shared" si="17"/>
        <v>1.3387613948379429</v>
      </c>
      <c r="F159" s="1">
        <f t="shared" si="18"/>
        <v>0.45814794341074622</v>
      </c>
      <c r="G159" s="1">
        <f t="shared" si="19"/>
        <v>2.7698511617336758</v>
      </c>
      <c r="H159" s="1">
        <f t="shared" si="20"/>
        <v>0.87722721234415157</v>
      </c>
      <c r="I159" s="1">
        <f>'WSO-UV_WUVS_130nm'!I169</f>
        <v>5.1871349840923965E-3</v>
      </c>
      <c r="J159" s="1"/>
      <c r="K159" s="1"/>
      <c r="L159" s="1"/>
      <c r="M159" s="1"/>
      <c r="N159" s="1"/>
      <c r="O159" s="1"/>
      <c r="P159" s="1"/>
    </row>
    <row r="160" spans="1:16">
      <c r="A160" s="1">
        <v>7.0000000000000003E-19</v>
      </c>
      <c r="B160" s="1">
        <f t="shared" si="14"/>
        <v>4.5951430938661236E-8</v>
      </c>
      <c r="C160" s="1">
        <f t="shared" si="15"/>
        <v>0.73500625598945879</v>
      </c>
      <c r="D160" s="1">
        <f t="shared" si="16"/>
        <v>0.26092602539278154</v>
      </c>
      <c r="E160" s="1">
        <f t="shared" si="17"/>
        <v>1.2495106351820802</v>
      </c>
      <c r="F160" s="1">
        <f t="shared" si="18"/>
        <v>0.42985717331957563</v>
      </c>
      <c r="G160" s="1">
        <f t="shared" si="19"/>
        <v>2.5851944176180974</v>
      </c>
      <c r="H160" s="1">
        <f t="shared" si="20"/>
        <v>0.82643457847444701</v>
      </c>
      <c r="I160" s="1">
        <f>'WSO-UV_WUVS_130nm'!I170</f>
        <v>4.8413336650093173E-3</v>
      </c>
      <c r="J160" s="1"/>
      <c r="K160" s="1"/>
      <c r="L160" s="1"/>
      <c r="M160" s="1"/>
      <c r="N160" s="1"/>
      <c r="O160" s="1"/>
      <c r="P160" s="1"/>
    </row>
    <row r="161" spans="1:16">
      <c r="A161" s="1">
        <v>6.5000000000000001E-19</v>
      </c>
      <c r="B161" s="1">
        <f t="shared" si="14"/>
        <v>4.2669185871614008E-8</v>
      </c>
      <c r="C161" s="1">
        <f t="shared" si="15"/>
        <v>0.68250580913306891</v>
      </c>
      <c r="D161" s="1">
        <f t="shared" si="16"/>
        <v>0.24309397910741412</v>
      </c>
      <c r="E161" s="1">
        <f t="shared" si="17"/>
        <v>1.1602598755262177</v>
      </c>
      <c r="F161" s="1">
        <f t="shared" si="18"/>
        <v>0.40127803193889733</v>
      </c>
      <c r="G161" s="1">
        <f t="shared" si="19"/>
        <v>2.400537673502519</v>
      </c>
      <c r="H161" s="1">
        <f t="shared" si="20"/>
        <v>0.77474850699787368</v>
      </c>
      <c r="I161" s="1">
        <f>'WSO-UV_WUVS_130nm'!I171</f>
        <v>4.4955312488378302E-3</v>
      </c>
      <c r="J161" s="1"/>
      <c r="K161" s="1"/>
      <c r="L161" s="1"/>
      <c r="M161" s="1"/>
      <c r="N161" s="1"/>
      <c r="O161" s="1"/>
      <c r="P161" s="1"/>
    </row>
    <row r="162" spans="1:16">
      <c r="A162" s="1">
        <v>6.0000000000000104E-19</v>
      </c>
      <c r="B162" s="1">
        <f t="shared" si="14"/>
        <v>3.9386940804566846E-8</v>
      </c>
      <c r="C162" s="1">
        <f t="shared" si="15"/>
        <v>0.63000536227668014</v>
      </c>
      <c r="D162" s="1">
        <f t="shared" si="16"/>
        <v>0.22514547154328077</v>
      </c>
      <c r="E162" s="1">
        <f t="shared" si="17"/>
        <v>1.0710091158703565</v>
      </c>
      <c r="F162" s="1">
        <f t="shared" si="18"/>
        <v>0.37240364027622719</v>
      </c>
      <c r="G162" s="1">
        <f t="shared" si="19"/>
        <v>2.2158809293869446</v>
      </c>
      <c r="H162" s="1">
        <f t="shared" si="20"/>
        <v>0.72213091996029177</v>
      </c>
      <c r="I162" s="1">
        <f>'WSO-UV_WUVS_130nm'!I172</f>
        <v>4.1497277355701115E-3</v>
      </c>
      <c r="J162" s="1"/>
      <c r="K162" s="1"/>
      <c r="L162" s="1"/>
      <c r="M162" s="1"/>
      <c r="N162" s="1"/>
      <c r="O162" s="1"/>
      <c r="P162" s="1"/>
    </row>
    <row r="163" spans="1:16">
      <c r="A163" s="1">
        <v>5.5000000000000102E-19</v>
      </c>
      <c r="B163" s="1">
        <f t="shared" si="14"/>
        <v>3.6104695737519604E-8</v>
      </c>
      <c r="C163" s="1">
        <f t="shared" si="15"/>
        <v>0.57750491542028992</v>
      </c>
      <c r="D163" s="1">
        <f t="shared" si="16"/>
        <v>0.20707875151409338</v>
      </c>
      <c r="E163" s="1">
        <f t="shared" si="17"/>
        <v>0.98175835621449326</v>
      </c>
      <c r="F163" s="1">
        <f t="shared" si="18"/>
        <v>0.34322687176377997</v>
      </c>
      <c r="G163" s="1">
        <f t="shared" si="19"/>
        <v>2.0312241852713657</v>
      </c>
      <c r="H163" s="1">
        <f t="shared" si="20"/>
        <v>0.668541251228287</v>
      </c>
      <c r="I163" s="1">
        <f>'WSO-UV_WUVS_130nm'!I173</f>
        <v>3.8039231251983151E-3</v>
      </c>
      <c r="J163" s="1"/>
      <c r="K163" s="1"/>
      <c r="L163" s="1"/>
      <c r="M163" s="1"/>
      <c r="N163" s="1"/>
      <c r="O163" s="1"/>
      <c r="P163" s="1"/>
    </row>
    <row r="164" spans="1:16">
      <c r="A164" s="1">
        <v>5.00000000000001E-19</v>
      </c>
      <c r="B164" s="1">
        <f t="shared" si="14"/>
        <v>3.2822450670472376E-8</v>
      </c>
      <c r="C164" s="1">
        <f t="shared" si="15"/>
        <v>0.52500446856390015</v>
      </c>
      <c r="D164" s="1">
        <f t="shared" si="16"/>
        <v>0.18889202839533259</v>
      </c>
      <c r="E164" s="1">
        <f t="shared" si="17"/>
        <v>0.89250759655863043</v>
      </c>
      <c r="F164" s="1">
        <f t="shared" si="18"/>
        <v>0.31374034039957893</v>
      </c>
      <c r="G164" s="1">
        <f t="shared" si="19"/>
        <v>1.8465674411557875</v>
      </c>
      <c r="H164" s="1">
        <f t="shared" si="20"/>
        <v>0.61393622744487608</v>
      </c>
      <c r="I164" s="1">
        <f>'WSO-UV_WUVS_130nm'!I174</f>
        <v>3.4581174177146165E-3</v>
      </c>
      <c r="J164" s="1"/>
      <c r="K164" s="1"/>
      <c r="L164" s="1"/>
      <c r="M164" s="1"/>
      <c r="N164" s="1"/>
      <c r="O164" s="1"/>
      <c r="P164" s="1"/>
    </row>
    <row r="165" spans="1:16">
      <c r="A165" s="1">
        <v>4.5000000000000098E-19</v>
      </c>
      <c r="B165" s="1">
        <f t="shared" si="14"/>
        <v>2.9540205603425144E-8</v>
      </c>
      <c r="C165" s="1">
        <f t="shared" si="15"/>
        <v>0.47250402170751027</v>
      </c>
      <c r="D165" s="1">
        <f t="shared" si="16"/>
        <v>0.17058347094857668</v>
      </c>
      <c r="E165" s="1">
        <f t="shared" si="17"/>
        <v>0.80325683690276761</v>
      </c>
      <c r="F165" s="1">
        <f t="shared" si="18"/>
        <v>0.28393638817855865</v>
      </c>
      <c r="G165" s="1">
        <f t="shared" si="19"/>
        <v>1.6619106970402091</v>
      </c>
      <c r="H165" s="1">
        <f t="shared" si="20"/>
        <v>0.55826962461614105</v>
      </c>
      <c r="I165" s="1">
        <f>'WSO-UV_WUVS_130nm'!I175</f>
        <v>3.1123106131111852E-3</v>
      </c>
      <c r="J165" s="1"/>
      <c r="K165" s="1"/>
      <c r="L165" s="1"/>
      <c r="M165" s="1"/>
      <c r="N165" s="1"/>
      <c r="O165" s="1"/>
      <c r="P165" s="1"/>
    </row>
    <row r="166" spans="1:16">
      <c r="A166" s="1">
        <v>4.00000000000001E-19</v>
      </c>
      <c r="B166" s="1">
        <f t="shared" si="14"/>
        <v>2.6257960536377916E-8</v>
      </c>
      <c r="C166" s="1">
        <f t="shared" si="15"/>
        <v>0.42000357485112039</v>
      </c>
      <c r="D166" s="1">
        <f t="shared" si="16"/>
        <v>0.15215120610224148</v>
      </c>
      <c r="E166" s="1">
        <f t="shared" si="17"/>
        <v>0.71400607724690479</v>
      </c>
      <c r="F166" s="1">
        <f t="shared" si="18"/>
        <v>0.25380707176254863</v>
      </c>
      <c r="G166" s="1">
        <f t="shared" si="19"/>
        <v>1.4772539529246309</v>
      </c>
      <c r="H166" s="1">
        <f t="shared" si="20"/>
        <v>0.50149199703324354</v>
      </c>
      <c r="I166" s="1">
        <f>'WSO-UV_WUVS_130nm'!I176</f>
        <v>2.7665027113801866E-3</v>
      </c>
      <c r="J166" s="1"/>
      <c r="K166" s="1"/>
      <c r="L166" s="1"/>
      <c r="M166" s="1"/>
      <c r="N166" s="1"/>
      <c r="O166" s="1"/>
      <c r="P166" s="1"/>
    </row>
    <row r="167" spans="1:16">
      <c r="A167" s="1">
        <v>3.5000000000000098E-19</v>
      </c>
      <c r="B167" s="1">
        <f t="shared" si="14"/>
        <v>2.2975715469330681E-8</v>
      </c>
      <c r="C167" s="1">
        <f t="shared" si="15"/>
        <v>0.36750312799473045</v>
      </c>
      <c r="D167" s="1">
        <f t="shared" si="16"/>
        <v>0.13359331768679164</v>
      </c>
      <c r="E167" s="1">
        <f t="shared" si="17"/>
        <v>0.62475531759104186</v>
      </c>
      <c r="F167" s="1">
        <f t="shared" si="18"/>
        <v>0.22334414833369484</v>
      </c>
      <c r="G167" s="1">
        <f t="shared" si="19"/>
        <v>1.2925972088090523</v>
      </c>
      <c r="H167" s="1">
        <f t="shared" si="20"/>
        <v>0.44355037470653064</v>
      </c>
      <c r="I167" s="1">
        <f>'WSO-UV_WUVS_130nm'!I177</f>
        <v>2.420693712513793E-3</v>
      </c>
      <c r="J167" s="1"/>
      <c r="K167" s="1"/>
      <c r="L167" s="1"/>
      <c r="M167" s="1"/>
      <c r="N167" s="1"/>
      <c r="O167" s="1"/>
      <c r="P167" s="1"/>
    </row>
    <row r="168" spans="1:16">
      <c r="A168" s="1">
        <v>3.00000000000001E-19</v>
      </c>
      <c r="B168" s="1">
        <f t="shared" si="14"/>
        <v>1.9693470402283453E-8</v>
      </c>
      <c r="C168" s="1">
        <f t="shared" si="15"/>
        <v>0.31500268113834051</v>
      </c>
      <c r="D168" s="1">
        <f t="shared" si="16"/>
        <v>0.11490784512239016</v>
      </c>
      <c r="E168" s="1">
        <f t="shared" si="17"/>
        <v>0.53550455793517904</v>
      </c>
      <c r="F168" s="1">
        <f t="shared" si="18"/>
        <v>0.1925390605711548</v>
      </c>
      <c r="G168" s="1">
        <f t="shared" si="19"/>
        <v>1.1079404646934741</v>
      </c>
      <c r="H168" s="1">
        <f t="shared" si="20"/>
        <v>0.38438792486255963</v>
      </c>
      <c r="I168" s="1">
        <f>'WSO-UV_WUVS_130nm'!I178</f>
        <v>2.0748836165041689E-3</v>
      </c>
      <c r="J168" s="1"/>
      <c r="K168" s="1"/>
      <c r="L168" s="1"/>
      <c r="M168" s="1"/>
      <c r="N168" s="1"/>
      <c r="O168" s="1"/>
      <c r="P168" s="1"/>
    </row>
    <row r="169" spans="1:16">
      <c r="A169" s="1">
        <v>2.5000000000000098E-19</v>
      </c>
      <c r="B169" s="1">
        <f t="shared" si="14"/>
        <v>1.6411225335236218E-8</v>
      </c>
      <c r="C169" s="1">
        <f t="shared" si="15"/>
        <v>0.26250223428195052</v>
      </c>
      <c r="D169" s="1">
        <f t="shared" si="16"/>
        <v>9.6092782056844003E-2</v>
      </c>
      <c r="E169" s="1">
        <f t="shared" si="17"/>
        <v>0.44625379827931599</v>
      </c>
      <c r="F169" s="1">
        <f t="shared" si="18"/>
        <v>0.1613829206857027</v>
      </c>
      <c r="G169" s="1">
        <f t="shared" si="19"/>
        <v>0.92328372057789532</v>
      </c>
      <c r="H169" s="1">
        <f t="shared" si="20"/>
        <v>0.32394357230988674</v>
      </c>
      <c r="I169" s="1">
        <f>'WSO-UV_WUVS_130nm'!I179</f>
        <v>1.7290724233434832E-3</v>
      </c>
      <c r="J169" s="1"/>
      <c r="K169" s="1"/>
      <c r="L169" s="1"/>
      <c r="M169" s="1"/>
      <c r="N169" s="1"/>
      <c r="O169" s="1"/>
      <c r="P169" s="1"/>
    </row>
    <row r="170" spans="1:16">
      <c r="A170" s="1">
        <v>2.0000000000000101E-19</v>
      </c>
      <c r="B170" s="1">
        <f t="shared" si="14"/>
        <v>1.3128980268188989E-8</v>
      </c>
      <c r="C170" s="1">
        <f t="shared" si="15"/>
        <v>0.21000178742556072</v>
      </c>
      <c r="D170" s="1">
        <f t="shared" si="16"/>
        <v>7.714607495159323E-2</v>
      </c>
      <c r="E170" s="1">
        <f t="shared" si="17"/>
        <v>0.35700303862345323</v>
      </c>
      <c r="F170" s="1">
        <f t="shared" si="18"/>
        <v>0.1298664934411736</v>
      </c>
      <c r="G170" s="1">
        <f t="shared" si="19"/>
        <v>0.73862697646231712</v>
      </c>
      <c r="H170" s="1">
        <f t="shared" si="20"/>
        <v>0.26215157258942484</v>
      </c>
      <c r="I170" s="1">
        <f>'WSO-UV_WUVS_130nm'!I180</f>
        <v>1.383260133023904E-3</v>
      </c>
      <c r="J170" s="1"/>
      <c r="K170" s="1"/>
      <c r="L170" s="1"/>
      <c r="M170" s="1"/>
      <c r="N170" s="1"/>
      <c r="O170" s="1"/>
      <c r="P170" s="1"/>
    </row>
    <row r="171" spans="1:16">
      <c r="A171" s="1">
        <v>1.5000000000000101E-19</v>
      </c>
      <c r="B171" s="1">
        <f t="shared" si="14"/>
        <v>9.8467352011417594E-9</v>
      </c>
      <c r="C171" s="1">
        <f t="shared" si="15"/>
        <v>0.15750134056917078</v>
      </c>
      <c r="D171" s="1">
        <f t="shared" si="16"/>
        <v>5.8065621613369887E-2</v>
      </c>
      <c r="E171" s="1">
        <f t="shared" si="17"/>
        <v>0.26775227896759046</v>
      </c>
      <c r="F171" s="1">
        <f t="shared" si="18"/>
        <v>9.7980178085390168E-2</v>
      </c>
      <c r="G171" s="1">
        <f t="shared" si="19"/>
        <v>0.55397023234673881</v>
      </c>
      <c r="H171" s="1">
        <f t="shared" si="20"/>
        <v>0.19894103075769018</v>
      </c>
      <c r="I171" s="1">
        <f>'WSO-UV_WUVS_130nm'!I181</f>
        <v>1.0374467455375996E-3</v>
      </c>
      <c r="J171" s="1"/>
      <c r="K171" s="1"/>
      <c r="L171" s="1"/>
      <c r="M171" s="1"/>
      <c r="N171" s="1"/>
      <c r="O171" s="1"/>
      <c r="P171" s="1"/>
    </row>
    <row r="172" spans="1:16">
      <c r="A172" s="1">
        <v>1.00000000000001E-19</v>
      </c>
      <c r="B172" s="1">
        <f t="shared" si="14"/>
        <v>6.5644901340945278E-9</v>
      </c>
      <c r="C172" s="1">
        <f t="shared" si="15"/>
        <v>0.10500089371278086</v>
      </c>
      <c r="D172" s="1">
        <f t="shared" si="16"/>
        <v>3.8849269669028796E-2</v>
      </c>
      <c r="E172" s="1">
        <f t="shared" si="17"/>
        <v>0.17850151931172753</v>
      </c>
      <c r="F172" s="1">
        <f t="shared" si="18"/>
        <v>6.5713989106294002E-2</v>
      </c>
      <c r="G172" s="1">
        <f t="shared" si="19"/>
        <v>0.36931348823116045</v>
      </c>
      <c r="H172" s="1">
        <f t="shared" si="20"/>
        <v>0.13423535736577491</v>
      </c>
      <c r="I172" s="1">
        <f>'WSO-UV_WUVS_130nm'!I182</f>
        <v>6.9163226087673641E-4</v>
      </c>
      <c r="J172" s="1"/>
      <c r="K172" s="1"/>
      <c r="L172" s="1"/>
      <c r="M172" s="1"/>
      <c r="N172" s="1"/>
      <c r="O172" s="1"/>
      <c r="P172" s="1"/>
    </row>
    <row r="173" spans="1:16">
      <c r="A173" s="1">
        <v>9.5E-20</v>
      </c>
      <c r="B173" s="1">
        <f t="shared" si="14"/>
        <v>6.2362656273897383E-9</v>
      </c>
      <c r="C173" s="1">
        <f t="shared" si="15"/>
        <v>9.9750849027140834E-2</v>
      </c>
      <c r="D173" s="1">
        <f t="shared" si="16"/>
        <v>3.6920075649104434E-2</v>
      </c>
      <c r="E173" s="1">
        <f t="shared" si="17"/>
        <v>0.16957644334613944</v>
      </c>
      <c r="F173" s="1">
        <f t="shared" si="18"/>
        <v>6.2466080739698567E-2</v>
      </c>
      <c r="G173" s="1">
        <f t="shared" si="19"/>
        <v>0.3508478138195989</v>
      </c>
      <c r="H173" s="1">
        <f t="shared" si="20"/>
        <v>0.12767942439323648</v>
      </c>
      <c r="I173" s="1">
        <f>'WSO-UV_WUVS_130nm'!I183</f>
        <v>6.5705075206574112E-4</v>
      </c>
      <c r="J173" s="1"/>
      <c r="K173" s="1"/>
      <c r="L173" s="1"/>
      <c r="M173" s="1"/>
      <c r="N173" s="1"/>
      <c r="O173" s="1"/>
      <c r="P173" s="1"/>
    </row>
    <row r="174" spans="1:16">
      <c r="A174" s="1">
        <v>9.0000000000000003E-20</v>
      </c>
      <c r="B174" s="1">
        <f t="shared" si="14"/>
        <v>5.9080411206850166E-9</v>
      </c>
      <c r="C174" s="1">
        <f t="shared" si="15"/>
        <v>9.4500804341501848E-2</v>
      </c>
      <c r="D174" s="1">
        <f t="shared" si="16"/>
        <v>3.4989498412702082E-2</v>
      </c>
      <c r="E174" s="1">
        <f t="shared" si="17"/>
        <v>0.16065136738055316</v>
      </c>
      <c r="F174" s="1">
        <f t="shared" si="18"/>
        <v>5.9214259461169871E-2</v>
      </c>
      <c r="G174" s="1">
        <f t="shared" si="19"/>
        <v>0.33238213940804112</v>
      </c>
      <c r="H174" s="1">
        <f t="shared" si="20"/>
        <v>0.12110763030011439</v>
      </c>
      <c r="I174" s="1">
        <f>'WSO-UV_WUVS_130nm'!I184</f>
        <v>6.2246923228292082E-4</v>
      </c>
      <c r="J174" s="1"/>
      <c r="K174" s="1"/>
      <c r="L174" s="1"/>
      <c r="M174" s="1"/>
      <c r="N174" s="1"/>
      <c r="O174" s="1"/>
      <c r="P174" s="1"/>
    </row>
    <row r="175" spans="1:16">
      <c r="A175" s="1">
        <v>8.5000000000000005E-20</v>
      </c>
      <c r="B175" s="1">
        <f t="shared" si="14"/>
        <v>5.5798166139802933E-9</v>
      </c>
      <c r="C175" s="1">
        <f t="shared" si="15"/>
        <v>8.9250759655862863E-2</v>
      </c>
      <c r="D175" s="1">
        <f t="shared" si="16"/>
        <v>3.3057535721366611E-2</v>
      </c>
      <c r="E175" s="1">
        <f t="shared" si="17"/>
        <v>0.15172629141496688</v>
      </c>
      <c r="F175" s="1">
        <f t="shared" si="18"/>
        <v>5.5958514607679331E-2</v>
      </c>
      <c r="G175" s="1">
        <f t="shared" si="19"/>
        <v>0.31391646499648324</v>
      </c>
      <c r="H175" s="1">
        <f t="shared" si="20"/>
        <v>0.11451988780719739</v>
      </c>
      <c r="I175" s="1">
        <f>'WSO-UV_WUVS_130nm'!I185</f>
        <v>5.8788770152826098E-4</v>
      </c>
      <c r="J175" s="1"/>
      <c r="K175" s="1"/>
      <c r="L175" s="1"/>
      <c r="M175" s="1"/>
      <c r="N175" s="1"/>
      <c r="O175" s="1"/>
      <c r="P175" s="1"/>
    </row>
    <row r="176" spans="1:16">
      <c r="A176" s="1">
        <v>7.9999999999999996E-20</v>
      </c>
      <c r="B176" s="1">
        <f t="shared" si="14"/>
        <v>5.2515921072755691E-9</v>
      </c>
      <c r="C176" s="1">
        <f t="shared" si="15"/>
        <v>8.400071497022385E-2</v>
      </c>
      <c r="D176" s="1">
        <f t="shared" si="16"/>
        <v>3.1124185331269483E-2</v>
      </c>
      <c r="E176" s="1">
        <f t="shared" si="17"/>
        <v>0.1428012154493806</v>
      </c>
      <c r="F176" s="1">
        <f t="shared" si="18"/>
        <v>5.2698835473054047E-2</v>
      </c>
      <c r="G176" s="1">
        <f t="shared" si="19"/>
        <v>0.2954507905849254</v>
      </c>
      <c r="H176" s="1">
        <f t="shared" si="20"/>
        <v>0.10791610892050284</v>
      </c>
      <c r="I176" s="1">
        <f>'WSO-UV_WUVS_130nm'!I186</f>
        <v>5.5330615980175391E-4</v>
      </c>
      <c r="J176" s="1"/>
      <c r="K176" s="1"/>
      <c r="L176" s="1"/>
      <c r="M176" s="1"/>
      <c r="N176" s="1"/>
      <c r="O176" s="1"/>
      <c r="P176" s="1"/>
    </row>
    <row r="177" spans="1:16">
      <c r="A177" s="1">
        <v>7.4999999999999998E-20</v>
      </c>
      <c r="B177" s="1">
        <f t="shared" si="14"/>
        <v>4.9233676005708458E-9</v>
      </c>
      <c r="C177" s="1">
        <f t="shared" si="15"/>
        <v>7.8750670284584864E-2</v>
      </c>
      <c r="D177" s="1">
        <f t="shared" si="16"/>
        <v>2.9189444993191475E-2</v>
      </c>
      <c r="E177" s="1">
        <f t="shared" si="17"/>
        <v>0.13387613948379429</v>
      </c>
      <c r="F177" s="1">
        <f t="shared" si="18"/>
        <v>4.9435211307746578E-2</v>
      </c>
      <c r="G177" s="1">
        <f t="shared" si="19"/>
        <v>0.27698511617336752</v>
      </c>
      <c r="H177" s="1">
        <f t="shared" si="20"/>
        <v>0.10129620492356674</v>
      </c>
      <c r="I177" s="1">
        <f>'WSO-UV_WUVS_130nm'!I187</f>
        <v>5.1872460710339135E-4</v>
      </c>
      <c r="J177" s="1"/>
      <c r="K177" s="1"/>
      <c r="L177" s="1"/>
      <c r="M177" s="1"/>
      <c r="N177" s="1"/>
      <c r="O177" s="1"/>
      <c r="P177" s="1"/>
    </row>
    <row r="178" spans="1:16">
      <c r="A178" s="1">
        <v>7.0000000000000001E-20</v>
      </c>
      <c r="B178" s="1">
        <f t="shared" si="14"/>
        <v>4.5951430938661241E-9</v>
      </c>
      <c r="C178" s="1">
        <f t="shared" si="15"/>
        <v>7.3500625598945879E-2</v>
      </c>
      <c r="D178" s="1">
        <f t="shared" si="16"/>
        <v>2.7253312452505618E-2</v>
      </c>
      <c r="E178" s="1">
        <f t="shared" si="17"/>
        <v>0.12495106351820805</v>
      </c>
      <c r="F178" s="1">
        <f t="shared" si="18"/>
        <v>4.6167631318604026E-2</v>
      </c>
      <c r="G178" s="1">
        <f t="shared" si="19"/>
        <v>0.25851944176180974</v>
      </c>
      <c r="H178" s="1">
        <f t="shared" si="20"/>
        <v>9.4660086369632662E-2</v>
      </c>
      <c r="I178" s="1">
        <f>'WSO-UV_WUVS_130nm'!I188</f>
        <v>4.8414304343316584E-4</v>
      </c>
      <c r="J178" s="1"/>
      <c r="K178" s="1"/>
      <c r="L178" s="1"/>
      <c r="M178" s="1"/>
      <c r="N178" s="1"/>
      <c r="O178" s="1"/>
      <c r="P178" s="1"/>
    </row>
    <row r="179" spans="1:16">
      <c r="A179" s="1">
        <v>6.5000000000000003E-20</v>
      </c>
      <c r="B179" s="1">
        <f t="shared" si="14"/>
        <v>4.2669185871614008E-9</v>
      </c>
      <c r="C179" s="1">
        <f t="shared" si="15"/>
        <v>6.8250580913306894E-2</v>
      </c>
      <c r="D179" s="1">
        <f t="shared" si="16"/>
        <v>2.531578544916015E-2</v>
      </c>
      <c r="E179" s="1">
        <f t="shared" si="17"/>
        <v>0.11602598755262175</v>
      </c>
      <c r="F179" s="1">
        <f t="shared" si="18"/>
        <v>4.2896084668635398E-2</v>
      </c>
      <c r="G179" s="1">
        <f t="shared" si="19"/>
        <v>0.24005376735025188</v>
      </c>
      <c r="H179" s="1">
        <f t="shared" si="20"/>
        <v>8.8007663073735629E-2</v>
      </c>
      <c r="I179" s="1">
        <f>'WSO-UV_WUVS_130nm'!I189</f>
        <v>4.4956146879106945E-4</v>
      </c>
      <c r="J179" s="1"/>
      <c r="K179" s="1"/>
      <c r="L179" s="1"/>
      <c r="M179" s="1"/>
      <c r="N179" s="1"/>
      <c r="O179" s="1"/>
      <c r="P179" s="1"/>
    </row>
    <row r="180" spans="1:16">
      <c r="A180" s="1">
        <v>6.0000000000000006E-20</v>
      </c>
      <c r="B180" s="1">
        <f t="shared" si="14"/>
        <v>3.9386940804566775E-9</v>
      </c>
      <c r="C180" s="1">
        <f t="shared" si="15"/>
        <v>6.3000536227667908E-2</v>
      </c>
      <c r="D180" s="1">
        <f t="shared" si="16"/>
        <v>2.3376861717661339E-2</v>
      </c>
      <c r="E180" s="1">
        <f t="shared" si="17"/>
        <v>0.10710091158703545</v>
      </c>
      <c r="F180" s="1">
        <f t="shared" si="18"/>
        <v>3.9620560476777616E-2</v>
      </c>
      <c r="G180" s="1">
        <f t="shared" si="19"/>
        <v>0.22158809293869405</v>
      </c>
      <c r="H180" s="1">
        <f t="shared" si="20"/>
        <v>8.1338844104680452E-2</v>
      </c>
      <c r="I180" s="1">
        <f>'WSO-UV_WUVS_130nm'!I190</f>
        <v>4.1497988317709423E-4</v>
      </c>
      <c r="J180" s="1"/>
      <c r="K180" s="1"/>
      <c r="L180" s="1"/>
      <c r="M180" s="1"/>
      <c r="N180" s="1"/>
      <c r="O180" s="1"/>
      <c r="P180" s="1"/>
    </row>
    <row r="181" spans="1:16">
      <c r="A181" s="1">
        <v>5.4999999999999996E-20</v>
      </c>
      <c r="B181" s="1">
        <f t="shared" si="14"/>
        <v>3.6104695737519541E-9</v>
      </c>
      <c r="C181" s="1">
        <f t="shared" si="15"/>
        <v>5.7750491542028902E-2</v>
      </c>
      <c r="D181" s="1">
        <f t="shared" si="16"/>
        <v>2.1436538987056292E-2</v>
      </c>
      <c r="E181" s="1">
        <f t="shared" si="17"/>
        <v>9.8175835621449159E-2</v>
      </c>
      <c r="F181" s="1">
        <f t="shared" si="18"/>
        <v>3.6341047817659913E-2</v>
      </c>
      <c r="G181" s="1">
        <f t="shared" si="19"/>
        <v>0.20312241852713619</v>
      </c>
      <c r="H181" s="1">
        <f t="shared" si="20"/>
        <v>7.4653537776911472E-2</v>
      </c>
      <c r="I181" s="1">
        <f>'WSO-UV_WUVS_130nm'!I191</f>
        <v>3.8039828659123257E-4</v>
      </c>
      <c r="J181" s="1"/>
      <c r="K181" s="1"/>
      <c r="L181" s="1"/>
      <c r="M181" s="1"/>
      <c r="N181" s="1"/>
      <c r="O181" s="1"/>
      <c r="P181" s="1"/>
    </row>
    <row r="182" spans="1:16">
      <c r="A182" s="1">
        <v>4.9999999999999999E-20</v>
      </c>
      <c r="B182" s="1">
        <f t="shared" si="14"/>
        <v>3.2822450670472308E-9</v>
      </c>
      <c r="C182" s="1">
        <f t="shared" si="15"/>
        <v>5.250044685638991E-2</v>
      </c>
      <c r="D182" s="1">
        <f t="shared" si="16"/>
        <v>1.9494814980915692E-2</v>
      </c>
      <c r="E182" s="1">
        <f t="shared" si="17"/>
        <v>8.9250759655862863E-2</v>
      </c>
      <c r="F182" s="1">
        <f t="shared" si="18"/>
        <v>3.3057535721366611E-2</v>
      </c>
      <c r="G182" s="1">
        <f t="shared" si="19"/>
        <v>0.18465674411557839</v>
      </c>
      <c r="H182" s="1">
        <f t="shared" si="20"/>
        <v>6.7951651642273209E-2</v>
      </c>
      <c r="I182" s="1">
        <f>'WSO-UV_WUVS_130nm'!I192</f>
        <v>3.4581667903347635E-4</v>
      </c>
      <c r="J182" s="1"/>
      <c r="K182" s="1"/>
      <c r="L182" s="1"/>
      <c r="M182" s="1"/>
      <c r="N182" s="1"/>
      <c r="O182" s="1"/>
      <c r="P182" s="1"/>
    </row>
    <row r="183" spans="1:16">
      <c r="A183" s="1">
        <v>4.5000000000000001E-20</v>
      </c>
      <c r="B183" s="1">
        <f t="shared" si="14"/>
        <v>2.9540205603425083E-9</v>
      </c>
      <c r="C183" s="1">
        <f t="shared" si="15"/>
        <v>4.7250402170750924E-2</v>
      </c>
      <c r="D183" s="1">
        <f t="shared" si="16"/>
        <v>1.7551687417316386E-2</v>
      </c>
      <c r="E183" s="1">
        <f t="shared" si="17"/>
        <v>8.0325683690276581E-2</v>
      </c>
      <c r="F183" s="1">
        <f t="shared" si="18"/>
        <v>2.9770013173198429E-2</v>
      </c>
      <c r="G183" s="1">
        <f t="shared" si="19"/>
        <v>0.16619106970402056</v>
      </c>
      <c r="H183" s="1">
        <f t="shared" si="20"/>
        <v>6.1233092481659271E-2</v>
      </c>
      <c r="I183" s="1">
        <f>'WSO-UV_WUVS_130nm'!I193</f>
        <v>3.1123506050381792E-4</v>
      </c>
      <c r="J183" s="1"/>
      <c r="K183" s="1"/>
      <c r="L183" s="1"/>
      <c r="M183" s="1"/>
      <c r="N183" s="1"/>
      <c r="O183" s="1"/>
      <c r="P183" s="1"/>
    </row>
    <row r="184" spans="1:16">
      <c r="A184" s="1">
        <v>3.9999999999999998E-20</v>
      </c>
      <c r="B184" s="1">
        <f t="shared" si="14"/>
        <v>2.6257960536377846E-9</v>
      </c>
      <c r="C184" s="1">
        <f t="shared" si="15"/>
        <v>4.2000357485111925E-2</v>
      </c>
      <c r="D184" s="1">
        <f t="shared" si="16"/>
        <v>1.5607154008824025E-2</v>
      </c>
      <c r="E184" s="1">
        <f t="shared" si="17"/>
        <v>7.1400607724690299E-2</v>
      </c>
      <c r="F184" s="1">
        <f t="shared" si="18"/>
        <v>2.6478469113432154E-2</v>
      </c>
      <c r="G184" s="1">
        <f t="shared" si="19"/>
        <v>0.1477253952924627</v>
      </c>
      <c r="H184" s="1">
        <f t="shared" si="20"/>
        <v>5.4497766296548192E-2</v>
      </c>
      <c r="I184" s="1">
        <f>'WSO-UV_WUVS_130nm'!I194</f>
        <v>2.7665343100224959E-4</v>
      </c>
      <c r="J184" s="1"/>
      <c r="K184" s="1"/>
      <c r="L184" s="1"/>
      <c r="M184" s="1"/>
      <c r="N184" s="1"/>
      <c r="O184" s="1"/>
      <c r="P184" s="1"/>
    </row>
    <row r="185" spans="1:16">
      <c r="A185" s="1">
        <v>3.5E-20</v>
      </c>
      <c r="B185" s="1">
        <f t="shared" si="14"/>
        <v>2.2975715469330621E-9</v>
      </c>
      <c r="C185" s="1">
        <f t="shared" si="15"/>
        <v>3.6750312799472939E-2</v>
      </c>
      <c r="D185" s="1">
        <f t="shared" si="16"/>
        <v>1.3661212462475559E-2</v>
      </c>
      <c r="E185" s="1">
        <f t="shared" si="17"/>
        <v>6.2475531759104024E-2</v>
      </c>
      <c r="F185" s="1">
        <f t="shared" si="18"/>
        <v>2.3182892437078727E-2</v>
      </c>
      <c r="G185" s="1">
        <f t="shared" si="19"/>
        <v>0.12925972088090487</v>
      </c>
      <c r="H185" s="1">
        <f t="shared" si="20"/>
        <v>4.7745578300424363E-2</v>
      </c>
      <c r="I185" s="1">
        <f>'WSO-UV_WUVS_130nm'!I195</f>
        <v>2.4207179052876323E-4</v>
      </c>
      <c r="J185" s="1"/>
      <c r="K185" s="1"/>
      <c r="L185" s="1"/>
      <c r="M185" s="1"/>
      <c r="N185" s="1"/>
      <c r="O185" s="1"/>
      <c r="P185" s="1"/>
    </row>
    <row r="186" spans="1:16">
      <c r="A186" s="1">
        <v>3.0000000000000003E-20</v>
      </c>
      <c r="B186" s="1">
        <f t="shared" si="14"/>
        <v>1.9693470402283387E-9</v>
      </c>
      <c r="C186" s="1">
        <f t="shared" si="15"/>
        <v>3.1500268113833954E-2</v>
      </c>
      <c r="D186" s="1">
        <f t="shared" si="16"/>
        <v>1.1713860479761681E-2</v>
      </c>
      <c r="E186" s="1">
        <f t="shared" si="17"/>
        <v>5.3550455793517727E-2</v>
      </c>
      <c r="F186" s="1">
        <f t="shared" si="18"/>
        <v>1.9883271993639724E-2</v>
      </c>
      <c r="G186" s="1">
        <f t="shared" si="19"/>
        <v>0.11079404646934703</v>
      </c>
      <c r="H186" s="1">
        <f t="shared" si="20"/>
        <v>4.0976432910081816E-2</v>
      </c>
      <c r="I186" s="1">
        <f>'WSO-UV_WUVS_130nm'!I196</f>
        <v>2.0749013908335121E-4</v>
      </c>
      <c r="J186" s="1"/>
      <c r="K186" s="1"/>
      <c r="L186" s="1"/>
      <c r="M186" s="1"/>
      <c r="N186" s="1"/>
      <c r="O186" s="1"/>
      <c r="P186" s="1"/>
    </row>
    <row r="187" spans="1:16">
      <c r="A187" s="1">
        <v>2.4999999999999999E-20</v>
      </c>
      <c r="B187" s="1">
        <f t="shared" si="14"/>
        <v>1.6411225335236154E-9</v>
      </c>
      <c r="C187" s="1">
        <f t="shared" si="15"/>
        <v>2.6250223428194955E-2</v>
      </c>
      <c r="D187" s="1">
        <f t="shared" si="16"/>
        <v>9.7650957566091986E-3</v>
      </c>
      <c r="E187" s="1">
        <f t="shared" si="17"/>
        <v>4.4625379827931431E-2</v>
      </c>
      <c r="F187" s="1">
        <f t="shared" si="18"/>
        <v>1.6579596586862248E-2</v>
      </c>
      <c r="G187" s="1">
        <f t="shared" si="19"/>
        <v>9.2328372057789196E-2</v>
      </c>
      <c r="H187" s="1">
        <f t="shared" si="20"/>
        <v>3.4190233736809537E-2</v>
      </c>
      <c r="I187" s="1">
        <f>'WSO-UV_WUVS_130nm'!I197</f>
        <v>1.7290847666600557E-4</v>
      </c>
      <c r="J187" s="1"/>
      <c r="K187" s="1"/>
      <c r="L187" s="1"/>
      <c r="M187" s="1"/>
      <c r="N187" s="1"/>
      <c r="O187" s="1"/>
      <c r="P187" s="1"/>
    </row>
    <row r="188" spans="1:16">
      <c r="A188" s="1">
        <v>1.9999999999999999E-20</v>
      </c>
      <c r="B188" s="1">
        <f t="shared" si="14"/>
        <v>1.3128980268188923E-9</v>
      </c>
      <c r="C188" s="1">
        <f t="shared" si="15"/>
        <v>2.1000178742555962E-2</v>
      </c>
      <c r="D188" s="1">
        <f t="shared" si="16"/>
        <v>7.8149159833633686E-3</v>
      </c>
      <c r="E188" s="1">
        <f t="shared" si="17"/>
        <v>3.5700303862345149E-2</v>
      </c>
      <c r="F188" s="1">
        <f t="shared" si="18"/>
        <v>1.3271854974492129E-2</v>
      </c>
      <c r="G188" s="1">
        <f t="shared" si="19"/>
        <v>7.3862697646231351E-2</v>
      </c>
      <c r="H188" s="1">
        <f t="shared" si="20"/>
        <v>2.7386883577455796E-2</v>
      </c>
      <c r="I188" s="1">
        <f>'WSO-UV_WUVS_130nm'!I198</f>
        <v>1.3832680327671858E-4</v>
      </c>
      <c r="J188" s="1"/>
      <c r="K188" s="1"/>
      <c r="L188" s="1"/>
      <c r="M188" s="1"/>
      <c r="N188" s="1"/>
      <c r="O188" s="1"/>
      <c r="P188" s="1"/>
    </row>
    <row r="189" spans="1:16">
      <c r="A189" s="1">
        <v>1.5000000000000001E-20</v>
      </c>
      <c r="B189" s="1">
        <f t="shared" si="14"/>
        <v>9.8467352011416937E-10</v>
      </c>
      <c r="C189" s="1">
        <f t="shared" si="15"/>
        <v>1.5750134056916977E-2</v>
      </c>
      <c r="D189" s="1">
        <f t="shared" si="16"/>
        <v>5.8633188447701073E-3</v>
      </c>
      <c r="E189" s="1">
        <f t="shared" si="17"/>
        <v>2.6775227896758864E-2</v>
      </c>
      <c r="F189" s="1">
        <f t="shared" si="18"/>
        <v>9.960035868025522E-3</v>
      </c>
      <c r="G189" s="1">
        <f t="shared" si="19"/>
        <v>5.5397023234673513E-2</v>
      </c>
      <c r="H189" s="1">
        <f t="shared" si="20"/>
        <v>2.0566284405369981E-2</v>
      </c>
      <c r="I189" s="1">
        <f>'WSO-UV_WUVS_130nm'!I199</f>
        <v>1.0374511891548235E-4</v>
      </c>
      <c r="J189" s="1"/>
      <c r="K189" s="1"/>
      <c r="L189" s="1"/>
      <c r="M189" s="1"/>
      <c r="N189" s="1"/>
      <c r="O189" s="1"/>
      <c r="P189" s="1"/>
    </row>
    <row r="190" spans="1:16">
      <c r="A190" s="1">
        <v>9.9999999999999904E-21</v>
      </c>
      <c r="B190" s="1">
        <f t="shared" si="14"/>
        <v>6.5644901340944552E-10</v>
      </c>
      <c r="C190" s="1">
        <f t="shared" si="15"/>
        <v>1.0500089371277971E-2</v>
      </c>
      <c r="D190" s="1">
        <f t="shared" si="16"/>
        <v>3.9103020199581619E-3</v>
      </c>
      <c r="E190" s="1">
        <f t="shared" si="17"/>
        <v>1.7850151931172554E-2</v>
      </c>
      <c r="F190" s="1">
        <f t="shared" si="18"/>
        <v>6.6441279324588242E-3</v>
      </c>
      <c r="G190" s="1">
        <f t="shared" si="19"/>
        <v>3.6931348823115634E-2</v>
      </c>
      <c r="H190" s="1">
        <f t="shared" si="20"/>
        <v>1.372833736121965E-2</v>
      </c>
      <c r="I190" s="1">
        <f>'WSO-UV_WUVS_130nm'!I200</f>
        <v>6.9163423582288983E-5</v>
      </c>
      <c r="J190" s="1"/>
      <c r="K190" s="1"/>
      <c r="L190" s="1"/>
      <c r="M190" s="1"/>
      <c r="N190" s="1"/>
      <c r="O190" s="1"/>
      <c r="P190" s="1"/>
    </row>
  </sheetData>
  <mergeCells count="14">
    <mergeCell ref="C14:E14"/>
    <mergeCell ref="C15:E15"/>
    <mergeCell ref="E18:F18"/>
    <mergeCell ref="C8:D8"/>
    <mergeCell ref="C6:E6"/>
    <mergeCell ref="C7:E7"/>
    <mergeCell ref="C12:E12"/>
    <mergeCell ref="C13:E13"/>
    <mergeCell ref="K18:L18"/>
    <mergeCell ref="M18:N18"/>
    <mergeCell ref="O18:P18"/>
    <mergeCell ref="C18:D18"/>
    <mergeCell ref="C16:E16"/>
    <mergeCell ref="G18:H18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4"/>
  <sheetViews>
    <sheetView zoomScaleNormal="100" workbookViewId="0">
      <selection activeCell="D20" sqref="D20"/>
    </sheetView>
  </sheetViews>
  <sheetFormatPr baseColWidth="10" defaultColWidth="8.83203125" defaultRowHeight="18"/>
  <cols>
    <col min="1" max="1" width="21.1640625" customWidth="1"/>
    <col min="2" max="2" width="30.83203125" customWidth="1"/>
    <col min="3" max="3" width="22.5" customWidth="1"/>
    <col min="4" max="5" width="19" customWidth="1"/>
    <col min="6" max="6" width="17.6640625" customWidth="1"/>
    <col min="7" max="7" width="11.1640625" customWidth="1"/>
    <col min="8" max="8" width="17.6640625" customWidth="1"/>
    <col min="9" max="9" width="8.83203125" customWidth="1"/>
    <col min="10" max="10" width="17.6640625" customWidth="1"/>
    <col min="11" max="11" width="8.83203125" customWidth="1"/>
    <col min="12" max="12" width="17.6640625" customWidth="1"/>
    <col min="14" max="14" width="17.6640625" customWidth="1"/>
  </cols>
  <sheetData>
    <row r="1" spans="1:7">
      <c r="A1" t="s">
        <v>44</v>
      </c>
      <c r="E1" t="s">
        <v>57</v>
      </c>
      <c r="F1" s="1">
        <v>2.9000000000000002E-15</v>
      </c>
      <c r="G1" t="s">
        <v>58</v>
      </c>
    </row>
    <row r="2" spans="1:7">
      <c r="B2" t="s">
        <v>1</v>
      </c>
      <c r="C2" s="1">
        <v>6.626068E-34</v>
      </c>
    </row>
    <row r="3" spans="1:7">
      <c r="B3" t="s">
        <v>2</v>
      </c>
      <c r="C3" s="1">
        <v>299792458</v>
      </c>
    </row>
    <row r="4" spans="1:7">
      <c r="B4" t="s">
        <v>3</v>
      </c>
      <c r="C4" s="1">
        <v>9.9999999999999995E-8</v>
      </c>
      <c r="D4" t="s">
        <v>4</v>
      </c>
    </row>
    <row r="5" spans="1:7">
      <c r="B5" s="2"/>
      <c r="C5" s="2" t="s">
        <v>47</v>
      </c>
      <c r="D5" s="2" t="s">
        <v>48</v>
      </c>
    </row>
    <row r="6" spans="1:7">
      <c r="B6" s="3" t="s">
        <v>7</v>
      </c>
      <c r="C6" s="181">
        <v>170</v>
      </c>
      <c r="D6" s="182"/>
    </row>
    <row r="7" spans="1:7">
      <c r="B7" s="3" t="s">
        <v>8</v>
      </c>
      <c r="C7" s="181">
        <v>0.75</v>
      </c>
      <c r="D7" s="182"/>
      <c r="E7" s="8"/>
    </row>
    <row r="8" spans="1:7">
      <c r="B8" s="3" t="s">
        <v>10</v>
      </c>
      <c r="C8" s="181">
        <v>0.28999999999999998</v>
      </c>
      <c r="D8" s="182"/>
      <c r="E8" s="9"/>
    </row>
    <row r="9" spans="1:7">
      <c r="B9" s="2" t="s">
        <v>13</v>
      </c>
      <c r="C9" s="10">
        <v>0.16</v>
      </c>
      <c r="D9" s="11">
        <f>C9*1.7</f>
        <v>0.27200000000000002</v>
      </c>
      <c r="E9" s="9"/>
    </row>
    <row r="10" spans="1:7">
      <c r="B10" s="4" t="s">
        <v>46</v>
      </c>
      <c r="C10" s="3">
        <f>C7^3*C8*C9</f>
        <v>1.9574999999999999E-2</v>
      </c>
      <c r="D10" s="3">
        <f>C7^3*C8*D9</f>
        <v>3.3277500000000002E-2</v>
      </c>
    </row>
    <row r="11" spans="1:7">
      <c r="B11" s="2" t="s">
        <v>15</v>
      </c>
      <c r="C11" s="12">
        <f>PI()*(C6/2)^2*C10</f>
        <v>444.31348550179587</v>
      </c>
      <c r="D11" s="12">
        <f>PI()*(C6/2)^2*D10</f>
        <v>755.33292535305316</v>
      </c>
    </row>
    <row r="12" spans="1:7">
      <c r="B12" s="13" t="s">
        <v>50</v>
      </c>
      <c r="C12" s="188">
        <f>0.01*0.01</f>
        <v>1E-4</v>
      </c>
      <c r="D12" s="188"/>
      <c r="E12" t="s">
        <v>52</v>
      </c>
    </row>
    <row r="13" spans="1:7">
      <c r="B13" s="2" t="s">
        <v>51</v>
      </c>
      <c r="C13" s="188">
        <v>1</v>
      </c>
      <c r="D13" s="188"/>
    </row>
    <row r="14" spans="1:7">
      <c r="B14" s="3" t="s">
        <v>49</v>
      </c>
      <c r="C14" s="188">
        <f>C13*C12</f>
        <v>1E-4</v>
      </c>
      <c r="D14" s="188"/>
    </row>
    <row r="15" spans="1:7">
      <c r="B15" s="3" t="s">
        <v>53</v>
      </c>
      <c r="C15" s="181">
        <v>50</v>
      </c>
      <c r="D15" s="182"/>
    </row>
    <row r="16" spans="1:7">
      <c r="B16" s="3" t="s">
        <v>54</v>
      </c>
      <c r="C16" s="181">
        <f>C14*C15*3600</f>
        <v>18</v>
      </c>
      <c r="D16" s="182"/>
    </row>
    <row r="18" spans="1:14">
      <c r="A18" t="s">
        <v>65</v>
      </c>
      <c r="C18" s="189" t="s">
        <v>56</v>
      </c>
      <c r="D18" s="189"/>
      <c r="E18" s="189" t="s">
        <v>59</v>
      </c>
      <c r="F18" s="189"/>
      <c r="G18" t="s">
        <v>60</v>
      </c>
      <c r="I18" s="189"/>
      <c r="J18" s="189"/>
      <c r="K18" s="189"/>
      <c r="L18" s="189"/>
      <c r="M18" s="189"/>
      <c r="N18" s="189"/>
    </row>
    <row r="19" spans="1:14">
      <c r="A19" t="s">
        <v>62</v>
      </c>
      <c r="B19" t="s">
        <v>36</v>
      </c>
      <c r="C19" t="s">
        <v>55</v>
      </c>
      <c r="D19" t="s">
        <v>39</v>
      </c>
      <c r="E19" t="s">
        <v>55</v>
      </c>
      <c r="F19" t="s">
        <v>39</v>
      </c>
      <c r="G19" t="s">
        <v>39</v>
      </c>
    </row>
    <row r="20" spans="1:14">
      <c r="A20" s="1">
        <v>5.0000000000000002E-11</v>
      </c>
      <c r="B20" s="1">
        <f>A20*$C$4/($C$2*$C$3/1304*10000000000)</f>
        <v>3.282245067047231</v>
      </c>
      <c r="C20" s="1">
        <f>B20*$C$11*$C$15*3600</f>
        <v>262502234.28194958</v>
      </c>
      <c r="D20" s="1">
        <f>C20/SQRT(C20+($C$16)*2)</f>
        <v>16201.919586331567</v>
      </c>
      <c r="E20" s="1">
        <f>B20*$D$11*$C$15*3600</f>
        <v>446253798.27931434</v>
      </c>
      <c r="F20" s="1">
        <f>E20/SQRT(E20+($C$16)*2)</f>
        <v>21124.719223680044</v>
      </c>
      <c r="G20" s="1">
        <f>'WSO-UV_WUVS_130nm'!K30</f>
        <v>13727.730258609236</v>
      </c>
      <c r="H20" s="1"/>
      <c r="I20" s="1"/>
      <c r="J20" s="1"/>
      <c r="K20" s="1"/>
      <c r="L20" s="1"/>
      <c r="M20" s="1"/>
      <c r="N20" s="1"/>
    </row>
    <row r="21" spans="1:14">
      <c r="A21" s="1">
        <v>4.5E-11</v>
      </c>
      <c r="B21" s="1">
        <f t="shared" ref="B21:B84" si="0">A21*$C$4/($C$2*$C$3/1304*10000000000)</f>
        <v>2.9540205603425083</v>
      </c>
      <c r="C21" s="1">
        <f t="shared" ref="C21:C84" si="1">B21*$C$11*$C$15*3600</f>
        <v>236252010.85375461</v>
      </c>
      <c r="D21" s="1">
        <f t="shared" ref="D21:D84" si="2">C21/SQRT(C21+($C$16)*2)</f>
        <v>15370.490390802765</v>
      </c>
      <c r="E21" s="1">
        <f t="shared" ref="E21:E84" si="3">B21*$D$11*$C$15*3600</f>
        <v>401628418.45138294</v>
      </c>
      <c r="F21" s="1">
        <f t="shared" ref="F21:F84" si="4">E21/SQRT(E21+($C$16)*2)</f>
        <v>20040.668213694527</v>
      </c>
      <c r="G21" s="1">
        <f>'WSO-UV_WUVS_130nm'!K31</f>
        <v>13023.222811804366</v>
      </c>
      <c r="H21" s="1"/>
      <c r="I21" s="1"/>
      <c r="J21" s="1"/>
      <c r="K21" s="1"/>
      <c r="L21" s="1"/>
      <c r="M21" s="1"/>
      <c r="N21" s="1"/>
    </row>
    <row r="22" spans="1:14">
      <c r="A22" s="1">
        <v>3.9999999999999998E-11</v>
      </c>
      <c r="B22" s="1">
        <f t="shared" si="0"/>
        <v>2.6257960536377847</v>
      </c>
      <c r="C22" s="1">
        <f t="shared" si="1"/>
        <v>210001787.42555967</v>
      </c>
      <c r="D22" s="1">
        <f t="shared" si="2"/>
        <v>14491.437175986577</v>
      </c>
      <c r="E22" s="1">
        <f t="shared" si="3"/>
        <v>357003038.62345147</v>
      </c>
      <c r="F22" s="1">
        <f t="shared" si="4"/>
        <v>18894.523085366698</v>
      </c>
      <c r="G22" s="1">
        <f>'WSO-UV_WUVS_130nm'!K32</f>
        <v>12278.358472510292</v>
      </c>
      <c r="H22" s="1"/>
      <c r="I22" s="1"/>
      <c r="J22" s="1"/>
      <c r="K22" s="1"/>
      <c r="L22" s="1"/>
      <c r="M22" s="1"/>
      <c r="N22" s="1"/>
    </row>
    <row r="23" spans="1:14">
      <c r="A23" s="1">
        <v>3.5000000000000002E-11</v>
      </c>
      <c r="B23" s="1">
        <f t="shared" si="0"/>
        <v>2.2975715469330615</v>
      </c>
      <c r="C23" s="1">
        <f t="shared" si="1"/>
        <v>183751563.99736467</v>
      </c>
      <c r="D23" s="1">
        <f t="shared" si="2"/>
        <v>13555.498072640919</v>
      </c>
      <c r="E23" s="1">
        <f t="shared" si="3"/>
        <v>312377658.79552001</v>
      </c>
      <c r="F23" s="1">
        <f t="shared" si="4"/>
        <v>17674.207840679144</v>
      </c>
      <c r="G23" s="1">
        <f>'WSO-UV_WUVS_130nm'!K33</f>
        <v>11485.288032206197</v>
      </c>
      <c r="H23" s="1"/>
      <c r="I23" s="1"/>
      <c r="J23" s="1"/>
      <c r="K23" s="1"/>
      <c r="L23" s="1"/>
      <c r="M23" s="1"/>
      <c r="N23" s="1"/>
    </row>
    <row r="24" spans="1:14">
      <c r="A24" s="1">
        <v>3E-11</v>
      </c>
      <c r="B24" s="1">
        <f t="shared" si="0"/>
        <v>1.9693470402283386</v>
      </c>
      <c r="C24" s="1">
        <f t="shared" si="1"/>
        <v>157501340.56916976</v>
      </c>
      <c r="D24" s="1">
        <f t="shared" si="2"/>
        <v>12549.952373183653</v>
      </c>
      <c r="E24" s="1">
        <f t="shared" si="3"/>
        <v>267752278.9675886</v>
      </c>
      <c r="F24" s="1">
        <f t="shared" si="4"/>
        <v>16363.136709310762</v>
      </c>
      <c r="G24" s="1">
        <f>'WSO-UV_WUVS_130nm'!K34</f>
        <v>10633.230724035673</v>
      </c>
      <c r="H24" s="1"/>
      <c r="I24" s="1"/>
      <c r="J24" s="1"/>
      <c r="K24" s="1"/>
      <c r="L24" s="1"/>
      <c r="M24" s="1"/>
      <c r="N24" s="1"/>
    </row>
    <row r="25" spans="1:14">
      <c r="A25" s="1">
        <v>2.5000000000000001E-11</v>
      </c>
      <c r="B25" s="1">
        <f t="shared" si="0"/>
        <v>1.6411225335236155</v>
      </c>
      <c r="C25" s="1">
        <f t="shared" si="1"/>
        <v>131251117.14097479</v>
      </c>
      <c r="D25" s="1">
        <f t="shared" si="2"/>
        <v>11456.486422153377</v>
      </c>
      <c r="E25" s="1">
        <f t="shared" si="3"/>
        <v>223126899.13965717</v>
      </c>
      <c r="F25" s="1">
        <f t="shared" si="4"/>
        <v>14937.43161121292</v>
      </c>
      <c r="G25" s="1">
        <f>'WSO-UV_WUVS_130nm'!K35</f>
        <v>9706.6652435175547</v>
      </c>
      <c r="H25" s="1"/>
      <c r="I25" s="1"/>
      <c r="J25" s="1"/>
      <c r="K25" s="1"/>
      <c r="L25" s="1"/>
      <c r="M25" s="1"/>
      <c r="N25" s="1"/>
    </row>
    <row r="26" spans="1:14">
      <c r="A26" s="1">
        <v>1.9999999999999999E-11</v>
      </c>
      <c r="B26" s="1">
        <f t="shared" si="0"/>
        <v>1.3128980268188923</v>
      </c>
      <c r="C26" s="1">
        <f t="shared" si="1"/>
        <v>105000893.71277983</v>
      </c>
      <c r="D26" s="1">
        <f t="shared" si="2"/>
        <v>10246.992617972954</v>
      </c>
      <c r="E26" s="1">
        <f t="shared" si="3"/>
        <v>178501519.31172574</v>
      </c>
      <c r="F26" s="1">
        <f t="shared" si="4"/>
        <v>13360.444727318511</v>
      </c>
      <c r="G26" s="1">
        <f>'WSO-UV_WUVS_130nm'!K36</f>
        <v>8681.7685291426023</v>
      </c>
      <c r="H26" s="1"/>
      <c r="I26" s="1"/>
      <c r="J26" s="1"/>
      <c r="K26" s="1"/>
      <c r="L26" s="1"/>
      <c r="M26" s="1"/>
      <c r="N26" s="1"/>
    </row>
    <row r="27" spans="1:14">
      <c r="A27" s="1">
        <v>1.5E-11</v>
      </c>
      <c r="B27" s="1">
        <f t="shared" si="0"/>
        <v>0.98467352011416931</v>
      </c>
      <c r="C27" s="1">
        <f t="shared" si="1"/>
        <v>78750670.28458488</v>
      </c>
      <c r="D27" s="1">
        <f t="shared" si="2"/>
        <v>8874.1554124660979</v>
      </c>
      <c r="E27" s="1">
        <f t="shared" si="3"/>
        <v>133876139.4837943</v>
      </c>
      <c r="F27" s="1">
        <f t="shared" si="4"/>
        <v>11570.484150795246</v>
      </c>
      <c r="G27" s="1">
        <f>'WSO-UV_WUVS_130nm'!K37</f>
        <v>7518.4346566962431</v>
      </c>
      <c r="H27" s="1"/>
      <c r="I27" s="1"/>
      <c r="J27" s="1"/>
      <c r="K27" s="1"/>
      <c r="L27" s="1"/>
      <c r="M27" s="1"/>
      <c r="N27" s="1"/>
    </row>
    <row r="28" spans="1:14">
      <c r="A28" s="1">
        <v>9.9999999999999994E-12</v>
      </c>
      <c r="B28" s="1">
        <f t="shared" si="0"/>
        <v>0.65644901340944617</v>
      </c>
      <c r="C28" s="1">
        <f t="shared" si="1"/>
        <v>52500446.856389917</v>
      </c>
      <c r="D28" s="1">
        <f t="shared" si="2"/>
        <v>7245.7167248254054</v>
      </c>
      <c r="E28" s="1">
        <f t="shared" si="3"/>
        <v>89250759.655862868</v>
      </c>
      <c r="F28" s="1">
        <f t="shared" si="4"/>
        <v>9447.2601136984358</v>
      </c>
      <c r="G28" s="1">
        <f>'WSO-UV_WUVS_130nm'!K38</f>
        <v>6138.4538121619853</v>
      </c>
      <c r="H28" s="1"/>
      <c r="I28" s="1"/>
      <c r="J28" s="1"/>
      <c r="K28" s="1"/>
      <c r="L28" s="1"/>
      <c r="M28" s="1"/>
      <c r="N28" s="1"/>
    </row>
    <row r="29" spans="1:14">
      <c r="A29" s="1">
        <v>9.4999999999999995E-12</v>
      </c>
      <c r="B29" s="1">
        <f t="shared" si="0"/>
        <v>0.62362656273897388</v>
      </c>
      <c r="C29" s="1">
        <f t="shared" si="1"/>
        <v>49875424.513570413</v>
      </c>
      <c r="D29" s="1">
        <f t="shared" si="2"/>
        <v>7062.2509523236567</v>
      </c>
      <c r="E29" s="1">
        <f t="shared" si="3"/>
        <v>84788221.67306973</v>
      </c>
      <c r="F29" s="1">
        <f t="shared" si="4"/>
        <v>9208.05004727304</v>
      </c>
      <c r="G29" s="1">
        <f>'WSO-UV_WUVS_130nm'!K39</f>
        <v>5982.9750816752739</v>
      </c>
      <c r="H29" s="1"/>
      <c r="I29" s="1"/>
      <c r="J29" s="1"/>
      <c r="K29" s="1"/>
      <c r="L29" s="1"/>
      <c r="M29" s="1"/>
      <c r="N29" s="1"/>
    </row>
    <row r="30" spans="1:14">
      <c r="A30" s="1">
        <v>8.9999999999999996E-12</v>
      </c>
      <c r="B30" s="1">
        <f t="shared" si="0"/>
        <v>0.59080411206850147</v>
      </c>
      <c r="C30" s="1">
        <f t="shared" si="1"/>
        <v>47250402.170750909</v>
      </c>
      <c r="D30" s="1">
        <f t="shared" si="2"/>
        <v>6873.8901773870621</v>
      </c>
      <c r="E30" s="1">
        <f t="shared" si="3"/>
        <v>80325683.690276578</v>
      </c>
      <c r="F30" s="1">
        <f t="shared" si="4"/>
        <v>8962.45768136691</v>
      </c>
      <c r="G30" s="1">
        <f>'WSO-UV_WUVS_130nm'!K40</f>
        <v>5823.3466729813999</v>
      </c>
      <c r="H30" s="1"/>
      <c r="I30" s="1"/>
      <c r="J30" s="1"/>
      <c r="K30" s="1"/>
      <c r="L30" s="1"/>
      <c r="M30" s="1"/>
      <c r="N30" s="1"/>
    </row>
    <row r="31" spans="1:14">
      <c r="A31" s="1">
        <v>8.4999999999999997E-12</v>
      </c>
      <c r="B31" s="1">
        <f t="shared" si="0"/>
        <v>0.55798166139802929</v>
      </c>
      <c r="C31" s="1">
        <f t="shared" si="1"/>
        <v>44625379.827931426</v>
      </c>
      <c r="D31" s="1">
        <f t="shared" si="2"/>
        <v>6680.2203427701743</v>
      </c>
      <c r="E31" s="1">
        <f t="shared" si="3"/>
        <v>75863145.707483441</v>
      </c>
      <c r="F31" s="1">
        <f t="shared" si="4"/>
        <v>8709.9431517949943</v>
      </c>
      <c r="G31" s="1">
        <f>'WSO-UV_WUVS_130nm'!K41</f>
        <v>5659.2174498983295</v>
      </c>
      <c r="H31" s="1"/>
      <c r="I31" s="1"/>
      <c r="J31" s="1"/>
      <c r="K31" s="1"/>
      <c r="L31" s="1"/>
      <c r="M31" s="1"/>
      <c r="N31" s="1"/>
    </row>
    <row r="32" spans="1:14">
      <c r="A32" s="1">
        <v>7.9999999999999998E-12</v>
      </c>
      <c r="B32" s="1">
        <f t="shared" si="0"/>
        <v>0.525159210727557</v>
      </c>
      <c r="C32" s="1">
        <f t="shared" si="1"/>
        <v>42000357.485111929</v>
      </c>
      <c r="D32" s="1">
        <f t="shared" si="2"/>
        <v>6480.7655014776446</v>
      </c>
      <c r="E32" s="1">
        <f t="shared" si="3"/>
        <v>71400607.724690303</v>
      </c>
      <c r="F32" s="1">
        <f t="shared" si="4"/>
        <v>8449.8859000999819</v>
      </c>
      <c r="G32" s="1">
        <f>'WSO-UV_WUVS_130nm'!K42</f>
        <v>5490.1837717239559</v>
      </c>
      <c r="H32" s="1"/>
      <c r="I32" s="1"/>
      <c r="J32" s="1"/>
      <c r="K32" s="1"/>
      <c r="L32" s="1"/>
      <c r="M32" s="1"/>
      <c r="N32" s="1"/>
    </row>
    <row r="33" spans="1:14">
      <c r="A33" s="1">
        <v>7.5E-12</v>
      </c>
      <c r="B33" s="1">
        <f t="shared" si="0"/>
        <v>0.49233676005708465</v>
      </c>
      <c r="C33" s="1">
        <f t="shared" si="1"/>
        <v>39375335.14229244</v>
      </c>
      <c r="D33" s="1">
        <f t="shared" si="2"/>
        <v>6274.9740351913297</v>
      </c>
      <c r="E33" s="1">
        <f t="shared" si="3"/>
        <v>66938069.741897151</v>
      </c>
      <c r="F33" s="1">
        <f t="shared" si="4"/>
        <v>8181.5667046059407</v>
      </c>
      <c r="G33" s="1">
        <f>'WSO-UV_WUVS_130nm'!K43</f>
        <v>5315.7777969018225</v>
      </c>
      <c r="H33" s="1"/>
      <c r="I33" s="1"/>
      <c r="J33" s="1"/>
      <c r="K33" s="1"/>
      <c r="L33" s="1"/>
      <c r="M33" s="1"/>
      <c r="N33" s="1"/>
    </row>
    <row r="34" spans="1:14">
      <c r="A34" s="1">
        <v>7.0000000000000001E-12</v>
      </c>
      <c r="B34" s="1">
        <f t="shared" si="0"/>
        <v>0.45951430938661231</v>
      </c>
      <c r="C34" s="1">
        <f t="shared" si="1"/>
        <v>36750312.799472935</v>
      </c>
      <c r="D34" s="1">
        <f t="shared" si="2"/>
        <v>6062.2006564867352</v>
      </c>
      <c r="E34" s="1">
        <f t="shared" si="3"/>
        <v>62475531.759104013</v>
      </c>
      <c r="F34" s="1">
        <f t="shared" si="4"/>
        <v>7904.1442142160313</v>
      </c>
      <c r="G34" s="1">
        <f>'WSO-UV_WUVS_130nm'!K44</f>
        <v>5135.4522068934812</v>
      </c>
      <c r="H34" s="1"/>
      <c r="I34" s="1"/>
      <c r="J34" s="1"/>
      <c r="K34" s="1"/>
      <c r="L34" s="1"/>
      <c r="M34" s="1"/>
      <c r="N34" s="1"/>
    </row>
    <row r="35" spans="1:14">
      <c r="A35" s="1">
        <v>6.5000000000000002E-12</v>
      </c>
      <c r="B35" s="1">
        <f t="shared" si="0"/>
        <v>0.42669185871614007</v>
      </c>
      <c r="C35" s="1">
        <f t="shared" si="1"/>
        <v>34125290.456653446</v>
      </c>
      <c r="D35" s="1">
        <f t="shared" si="2"/>
        <v>5841.6825022155581</v>
      </c>
      <c r="E35" s="1">
        <f t="shared" si="3"/>
        <v>58012993.776310876</v>
      </c>
      <c r="F35" s="1">
        <f t="shared" si="4"/>
        <v>7616.6237780484616</v>
      </c>
      <c r="G35" s="1">
        <f>'WSO-UV_WUVS_130nm'!K45</f>
        <v>4948.5599124723212</v>
      </c>
      <c r="H35" s="1"/>
      <c r="I35" s="1"/>
      <c r="J35" s="1"/>
      <c r="K35" s="1"/>
      <c r="L35" s="1"/>
      <c r="M35" s="1"/>
      <c r="N35" s="1"/>
    </row>
    <row r="36" spans="1:14">
      <c r="A36" s="1">
        <v>6.0000000000000003E-12</v>
      </c>
      <c r="B36" s="1">
        <f t="shared" si="0"/>
        <v>0.39386940804566772</v>
      </c>
      <c r="C36" s="1">
        <f t="shared" si="1"/>
        <v>31500268.113833945</v>
      </c>
      <c r="D36" s="1">
        <f t="shared" si="2"/>
        <v>5612.5067584703256</v>
      </c>
      <c r="E36" s="1">
        <f t="shared" si="3"/>
        <v>53550455.793517724</v>
      </c>
      <c r="F36" s="1">
        <f t="shared" si="4"/>
        <v>7317.8152336296334</v>
      </c>
      <c r="G36" s="1">
        <f>'WSO-UV_WUVS_130nm'!K46</f>
        <v>4754.326567858694</v>
      </c>
      <c r="H36" s="1"/>
      <c r="I36" s="1"/>
      <c r="J36" s="1"/>
      <c r="K36" s="1"/>
      <c r="L36" s="1"/>
      <c r="M36" s="1"/>
      <c r="N36" s="1"/>
    </row>
    <row r="37" spans="1:14">
      <c r="A37" s="1">
        <v>5.5000000000000004E-12</v>
      </c>
      <c r="B37" s="1">
        <f t="shared" si="0"/>
        <v>0.36104695737519549</v>
      </c>
      <c r="C37" s="1">
        <f t="shared" si="1"/>
        <v>28875245.771014459</v>
      </c>
      <c r="D37" s="1">
        <f t="shared" si="2"/>
        <v>5373.5658338815711</v>
      </c>
      <c r="E37" s="1">
        <f t="shared" si="3"/>
        <v>49087917.810724594</v>
      </c>
      <c r="F37" s="1">
        <f t="shared" si="4"/>
        <v>7006.2744601357854</v>
      </c>
      <c r="G37" s="1">
        <f>'WSO-UV_WUVS_130nm'!K47</f>
        <v>4551.8125079477031</v>
      </c>
      <c r="H37" s="1"/>
      <c r="I37" s="1"/>
      <c r="J37" s="1"/>
      <c r="K37" s="1"/>
      <c r="L37" s="1"/>
      <c r="M37" s="1"/>
      <c r="N37" s="1"/>
    </row>
    <row r="38" spans="1:14">
      <c r="A38" s="1">
        <v>4.9999999999999997E-12</v>
      </c>
      <c r="B38" s="1">
        <f t="shared" si="0"/>
        <v>0.32822450670472308</v>
      </c>
      <c r="C38" s="1">
        <f t="shared" si="1"/>
        <v>26250223.428194959</v>
      </c>
      <c r="D38" s="1">
        <f t="shared" si="2"/>
        <v>5123.4936740708808</v>
      </c>
      <c r="E38" s="1">
        <f t="shared" si="3"/>
        <v>44625379.827931434</v>
      </c>
      <c r="F38" s="1">
        <f t="shared" si="4"/>
        <v>6680.2203427701752</v>
      </c>
      <c r="G38" s="1">
        <f>'WSO-UV_WUVS_130nm'!K48</f>
        <v>4339.8586629567699</v>
      </c>
      <c r="H38" s="1"/>
      <c r="I38" s="1"/>
      <c r="J38" s="1"/>
      <c r="K38" s="1"/>
      <c r="L38" s="1"/>
      <c r="M38" s="1"/>
      <c r="N38" s="1"/>
    </row>
    <row r="39" spans="1:14">
      <c r="A39" s="1">
        <v>4.4999999999999998E-12</v>
      </c>
      <c r="B39" s="1">
        <f t="shared" si="0"/>
        <v>0.29540205603425074</v>
      </c>
      <c r="C39" s="1">
        <f t="shared" si="1"/>
        <v>23625201.085375454</v>
      </c>
      <c r="D39" s="1">
        <f t="shared" si="2"/>
        <v>4860.572505932847</v>
      </c>
      <c r="E39" s="1">
        <f t="shared" si="3"/>
        <v>40162841.845138289</v>
      </c>
      <c r="F39" s="1">
        <f t="shared" si="4"/>
        <v>6337.4131824562737</v>
      </c>
      <c r="G39" s="1">
        <f>'WSO-UV_WUVS_130nm'!K49</f>
        <v>4117.0073442213416</v>
      </c>
      <c r="H39" s="1"/>
      <c r="I39" s="1"/>
      <c r="J39" s="1"/>
      <c r="K39" s="1"/>
      <c r="L39" s="1"/>
      <c r="M39" s="1"/>
      <c r="N39" s="1"/>
    </row>
    <row r="40" spans="1:14">
      <c r="A40" s="1">
        <v>3.9999999999999999E-12</v>
      </c>
      <c r="B40" s="1">
        <f t="shared" si="0"/>
        <v>0.2625796053637785</v>
      </c>
      <c r="C40" s="1">
        <f t="shared" si="1"/>
        <v>21000178.742555965</v>
      </c>
      <c r="D40" s="1">
        <f t="shared" si="2"/>
        <v>4582.5912694258132</v>
      </c>
      <c r="E40" s="1">
        <f t="shared" si="3"/>
        <v>35700303.862345152</v>
      </c>
      <c r="F40" s="1">
        <f t="shared" si="4"/>
        <v>5974.9701139320732</v>
      </c>
      <c r="G40" s="1">
        <f>'WSO-UV_WUVS_130nm'!K50</f>
        <v>3881.381962379392</v>
      </c>
      <c r="H40" s="1"/>
      <c r="I40" s="1"/>
      <c r="J40" s="1"/>
      <c r="K40" s="1"/>
      <c r="L40" s="1"/>
      <c r="M40" s="1"/>
      <c r="N40" s="1"/>
    </row>
    <row r="41" spans="1:14">
      <c r="A41" s="1">
        <v>3.5E-12</v>
      </c>
      <c r="B41" s="1">
        <f t="shared" si="0"/>
        <v>0.22975715469330615</v>
      </c>
      <c r="C41" s="1">
        <f t="shared" si="1"/>
        <v>18375156.399736468</v>
      </c>
      <c r="D41" s="1">
        <f t="shared" si="2"/>
        <v>4286.6210935662366</v>
      </c>
      <c r="E41" s="1">
        <f t="shared" si="3"/>
        <v>31237765.879552007</v>
      </c>
      <c r="F41" s="1">
        <f t="shared" si="4"/>
        <v>5589.0723630664779</v>
      </c>
      <c r="G41" s="1">
        <f>'WSO-UV_WUVS_130nm'!K51</f>
        <v>3630.4962057353378</v>
      </c>
      <c r="H41" s="1"/>
      <c r="I41" s="1"/>
      <c r="J41" s="1"/>
      <c r="K41" s="1"/>
      <c r="L41" s="1"/>
      <c r="M41" s="1"/>
      <c r="N41" s="1"/>
    </row>
    <row r="42" spans="1:14">
      <c r="A42" s="1">
        <v>3.0000000000000001E-12</v>
      </c>
      <c r="B42" s="1">
        <f t="shared" si="0"/>
        <v>0.19693470402283386</v>
      </c>
      <c r="C42" s="1">
        <f t="shared" si="1"/>
        <v>15750134.056916973</v>
      </c>
      <c r="D42" s="1">
        <f t="shared" si="2"/>
        <v>3968.6393205983404</v>
      </c>
      <c r="E42" s="1">
        <f t="shared" si="3"/>
        <v>26775227.896758862</v>
      </c>
      <c r="F42" s="1">
        <f t="shared" si="4"/>
        <v>5174.4750358666597</v>
      </c>
      <c r="G42" s="1">
        <f>'WSO-UV_WUVS_130nm'!K52</f>
        <v>3360.9343799562844</v>
      </c>
      <c r="H42" s="1"/>
      <c r="I42" s="1"/>
      <c r="J42" s="1"/>
      <c r="K42" s="1"/>
      <c r="L42" s="1"/>
      <c r="M42" s="1"/>
      <c r="N42" s="1"/>
    </row>
    <row r="43" spans="1:14">
      <c r="A43" s="1">
        <v>2.4999999999999998E-12</v>
      </c>
      <c r="B43" s="1">
        <f t="shared" si="0"/>
        <v>0.16411225335236154</v>
      </c>
      <c r="C43" s="1">
        <f t="shared" si="1"/>
        <v>13125111.714097479</v>
      </c>
      <c r="D43" s="1">
        <f t="shared" si="2"/>
        <v>3622.8546360841224</v>
      </c>
      <c r="E43" s="1">
        <f t="shared" si="3"/>
        <v>22312689.913965717</v>
      </c>
      <c r="F43" s="1">
        <f t="shared" si="4"/>
        <v>4723.6271988826338</v>
      </c>
      <c r="G43" s="1">
        <f>'WSO-UV_WUVS_130nm'!K53</f>
        <v>3067.7773426068447</v>
      </c>
      <c r="H43" s="1"/>
      <c r="I43" s="1"/>
      <c r="J43" s="1"/>
      <c r="K43" s="1"/>
      <c r="L43" s="1"/>
      <c r="M43" s="1"/>
      <c r="N43" s="1"/>
    </row>
    <row r="44" spans="1:14">
      <c r="A44" s="1">
        <v>2E-12</v>
      </c>
      <c r="B44" s="1">
        <f t="shared" si="0"/>
        <v>0.13128980268188925</v>
      </c>
      <c r="C44" s="1">
        <f t="shared" si="1"/>
        <v>10500089.371277982</v>
      </c>
      <c r="D44" s="1">
        <f t="shared" si="2"/>
        <v>3240.3785845794951</v>
      </c>
      <c r="E44" s="1">
        <f t="shared" si="3"/>
        <v>17850151.931172576</v>
      </c>
      <c r="F44" s="1">
        <f t="shared" si="4"/>
        <v>4224.9397547474191</v>
      </c>
      <c r="G44" s="1">
        <f>'WSO-UV_WUVS_130nm'!K54</f>
        <v>2743.471702885568</v>
      </c>
      <c r="H44" s="1"/>
      <c r="I44" s="1"/>
      <c r="J44" s="1"/>
      <c r="K44" s="1"/>
      <c r="L44" s="1"/>
      <c r="M44" s="1"/>
      <c r="N44" s="1"/>
    </row>
    <row r="45" spans="1:14">
      <c r="A45" s="1">
        <v>1.5000000000000001E-12</v>
      </c>
      <c r="B45" s="1">
        <f t="shared" si="0"/>
        <v>9.8467352011416931E-2</v>
      </c>
      <c r="C45" s="1">
        <f t="shared" si="1"/>
        <v>7875067.0284584863</v>
      </c>
      <c r="D45" s="1">
        <f t="shared" si="2"/>
        <v>2806.2485685738984</v>
      </c>
      <c r="E45" s="1">
        <f t="shared" si="3"/>
        <v>13387613.948379431</v>
      </c>
      <c r="F45" s="1">
        <f t="shared" si="4"/>
        <v>3658.9039271995425</v>
      </c>
      <c r="G45" s="1">
        <f>'WSO-UV_WUVS_130nm'!K55</f>
        <v>2375.2933775037377</v>
      </c>
      <c r="H45" s="1"/>
      <c r="I45" s="1"/>
      <c r="J45" s="1"/>
      <c r="K45" s="1"/>
      <c r="L45" s="1"/>
      <c r="M45" s="1"/>
      <c r="N45" s="1"/>
    </row>
    <row r="46" spans="1:14">
      <c r="A46" s="1">
        <v>9.9999999999999998E-13</v>
      </c>
      <c r="B46" s="1">
        <f t="shared" si="0"/>
        <v>6.5644901340944625E-2</v>
      </c>
      <c r="C46" s="1">
        <f t="shared" si="1"/>
        <v>5250044.6856389912</v>
      </c>
      <c r="D46" s="1">
        <f t="shared" si="2"/>
        <v>2291.28974289282</v>
      </c>
      <c r="E46" s="1">
        <f t="shared" si="3"/>
        <v>8925075.9655862879</v>
      </c>
      <c r="F46" s="1">
        <f t="shared" si="4"/>
        <v>2987.4805381343485</v>
      </c>
      <c r="G46" s="1">
        <f>'WSO-UV_WUVS_130nm'!K56</f>
        <v>1938.4030726552182</v>
      </c>
      <c r="H46" s="1"/>
      <c r="I46" s="1"/>
      <c r="J46" s="1"/>
      <c r="K46" s="1"/>
      <c r="L46" s="1"/>
      <c r="M46" s="1"/>
      <c r="N46" s="1"/>
    </row>
    <row r="47" spans="1:14">
      <c r="A47" s="1">
        <v>9.4999999999999999E-13</v>
      </c>
      <c r="B47" s="1">
        <f t="shared" si="0"/>
        <v>6.2362656273897393E-2</v>
      </c>
      <c r="C47" s="1">
        <f t="shared" si="1"/>
        <v>4987542.4513570415</v>
      </c>
      <c r="D47" s="1">
        <f t="shared" si="2"/>
        <v>2233.2725878443248</v>
      </c>
      <c r="E47" s="1">
        <f t="shared" si="3"/>
        <v>8478822.1673069727</v>
      </c>
      <c r="F47" s="1">
        <f t="shared" si="4"/>
        <v>2911.8355323506553</v>
      </c>
      <c r="G47" s="1">
        <f>'WSO-UV_WUVS_130nm'!K57</f>
        <v>1889.1654170042016</v>
      </c>
      <c r="H47" s="1"/>
      <c r="I47" s="1"/>
      <c r="J47" s="1"/>
      <c r="K47" s="1"/>
      <c r="L47" s="1"/>
      <c r="M47" s="1"/>
      <c r="N47" s="1"/>
    </row>
    <row r="48" spans="1:14">
      <c r="A48" s="1">
        <v>9E-13</v>
      </c>
      <c r="B48" s="1">
        <f t="shared" si="0"/>
        <v>5.9080411206850154E-2</v>
      </c>
      <c r="C48" s="1">
        <f t="shared" si="1"/>
        <v>4725040.2170750918</v>
      </c>
      <c r="D48" s="1">
        <f t="shared" si="2"/>
        <v>2173.7074820107173</v>
      </c>
      <c r="E48" s="1">
        <f t="shared" si="3"/>
        <v>8032568.3690276574</v>
      </c>
      <c r="F48" s="1">
        <f t="shared" si="4"/>
        <v>2834.1722546784272</v>
      </c>
      <c r="G48" s="1">
        <f>'WSO-UV_WUVS_130nm'!K58</f>
        <v>1838.6097166962199</v>
      </c>
      <c r="H48" s="1"/>
      <c r="I48" s="1"/>
      <c r="J48" s="1"/>
      <c r="K48" s="1"/>
      <c r="L48" s="1"/>
      <c r="M48" s="1"/>
      <c r="N48" s="1"/>
    </row>
    <row r="49" spans="1:14">
      <c r="A49" s="1">
        <v>8.5000000000000001E-13</v>
      </c>
      <c r="B49" s="1">
        <f t="shared" si="0"/>
        <v>5.5798166139802929E-2</v>
      </c>
      <c r="C49" s="1">
        <f t="shared" si="1"/>
        <v>4462537.982793143</v>
      </c>
      <c r="D49" s="1">
        <f t="shared" si="2"/>
        <v>2112.4634868048156</v>
      </c>
      <c r="E49" s="1">
        <f t="shared" si="3"/>
        <v>7586314.5707483441</v>
      </c>
      <c r="F49" s="1">
        <f t="shared" si="4"/>
        <v>2754.3199833932108</v>
      </c>
      <c r="G49" s="1">
        <f>'WSO-UV_WUVS_130nm'!K59</f>
        <v>1786.6240966616044</v>
      </c>
      <c r="H49" s="1"/>
      <c r="I49" s="1"/>
      <c r="J49" s="1"/>
      <c r="K49" s="1"/>
      <c r="L49" s="1"/>
      <c r="M49" s="1"/>
      <c r="N49" s="1"/>
    </row>
    <row r="50" spans="1:14">
      <c r="A50" s="1">
        <v>8.0000000000000002E-13</v>
      </c>
      <c r="B50" s="1">
        <f t="shared" si="0"/>
        <v>5.2515921072755697E-2</v>
      </c>
      <c r="C50" s="1">
        <f t="shared" si="1"/>
        <v>4200035.7485111933</v>
      </c>
      <c r="D50" s="1">
        <f t="shared" si="2"/>
        <v>2049.3900919102152</v>
      </c>
      <c r="E50" s="1">
        <f t="shared" si="3"/>
        <v>7140060.7724690307</v>
      </c>
      <c r="F50" s="1">
        <f t="shared" si="4"/>
        <v>2672.0824786391868</v>
      </c>
      <c r="G50" s="1">
        <f>'WSO-UV_WUVS_130nm'!K60</f>
        <v>1733.0798994104257</v>
      </c>
      <c r="H50" s="1"/>
      <c r="I50" s="1"/>
      <c r="J50" s="1"/>
      <c r="K50" s="1"/>
      <c r="L50" s="1"/>
      <c r="M50" s="1"/>
      <c r="N50" s="1"/>
    </row>
    <row r="51" spans="1:14">
      <c r="A51" s="1">
        <v>7.5000000000000004E-13</v>
      </c>
      <c r="B51" s="1">
        <f t="shared" si="0"/>
        <v>4.9233676005708465E-2</v>
      </c>
      <c r="C51" s="1">
        <f t="shared" si="1"/>
        <v>3937533.5142292432</v>
      </c>
      <c r="D51" s="1">
        <f t="shared" si="2"/>
        <v>1984.3128570259228</v>
      </c>
      <c r="E51" s="1">
        <f t="shared" si="3"/>
        <v>6693806.9741897155</v>
      </c>
      <c r="F51" s="1">
        <f t="shared" si="4"/>
        <v>2587.2323000425235</v>
      </c>
      <c r="G51" s="1">
        <f>'WSO-UV_WUVS_130nm'!K61</f>
        <v>1677.8279338142843</v>
      </c>
      <c r="H51" s="1"/>
      <c r="I51" s="1"/>
      <c r="J51" s="1"/>
      <c r="K51" s="1"/>
      <c r="L51" s="1"/>
      <c r="M51" s="1"/>
      <c r="N51" s="1"/>
    </row>
    <row r="52" spans="1:14">
      <c r="A52" s="1">
        <v>7.0000000000000005E-13</v>
      </c>
      <c r="B52" s="1">
        <f t="shared" si="0"/>
        <v>4.595143093866124E-2</v>
      </c>
      <c r="C52" s="1">
        <f t="shared" si="1"/>
        <v>3675031.2799472944</v>
      </c>
      <c r="D52" s="1">
        <f t="shared" si="2"/>
        <v>1917.0277202742636</v>
      </c>
      <c r="E52" s="1">
        <f t="shared" si="3"/>
        <v>6247553.1759104021</v>
      </c>
      <c r="F52" s="1">
        <f t="shared" si="4"/>
        <v>2499.5033858984552</v>
      </c>
      <c r="G52" s="1">
        <f>'WSO-UV_WUVS_130nm'!K62</f>
        <v>1620.6935717163994</v>
      </c>
      <c r="H52" s="1"/>
      <c r="I52" s="1"/>
      <c r="J52" s="1"/>
      <c r="K52" s="1"/>
      <c r="L52" s="1"/>
      <c r="M52" s="1"/>
      <c r="N52" s="1"/>
    </row>
    <row r="53" spans="1:14">
      <c r="A53" s="1">
        <v>6.4999999999999996E-13</v>
      </c>
      <c r="B53" s="1">
        <f t="shared" si="0"/>
        <v>4.2669185871614002E-2</v>
      </c>
      <c r="C53" s="1">
        <f t="shared" si="1"/>
        <v>3412529.0456653442</v>
      </c>
      <c r="D53" s="1">
        <f t="shared" si="2"/>
        <v>1847.2934379911376</v>
      </c>
      <c r="E53" s="1">
        <f t="shared" si="3"/>
        <v>5801299.3776310869</v>
      </c>
      <c r="F53" s="1">
        <f t="shared" si="4"/>
        <v>2408.581196026923</v>
      </c>
      <c r="G53" s="1">
        <f>'WSO-UV_WUVS_130nm'!K63</f>
        <v>1561.4702278857683</v>
      </c>
      <c r="H53" s="1"/>
      <c r="I53" s="1"/>
      <c r="J53" s="1"/>
      <c r="K53" s="1"/>
      <c r="L53" s="1"/>
      <c r="M53" s="1"/>
      <c r="N53" s="1"/>
    </row>
    <row r="54" spans="1:14">
      <c r="A54" s="1">
        <v>5.9999999999999997E-13</v>
      </c>
      <c r="B54" s="1">
        <f t="shared" si="0"/>
        <v>3.938694080456677E-2</v>
      </c>
      <c r="C54" s="1">
        <f t="shared" si="1"/>
        <v>3150026.8113833945</v>
      </c>
      <c r="D54" s="1">
        <f t="shared" si="2"/>
        <v>1774.8213464444289</v>
      </c>
      <c r="E54" s="1">
        <f t="shared" si="3"/>
        <v>5355045.5793517716</v>
      </c>
      <c r="F54" s="1">
        <f t="shared" si="4"/>
        <v>2314.0893629230882</v>
      </c>
      <c r="G54" s="1">
        <f>'WSO-UV_WUVS_130nm'!K64</f>
        <v>1499.910519866633</v>
      </c>
      <c r="H54" s="1"/>
      <c r="I54" s="1"/>
      <c r="J54" s="1"/>
      <c r="K54" s="1"/>
      <c r="L54" s="1"/>
      <c r="M54" s="1"/>
      <c r="N54" s="1"/>
    </row>
    <row r="55" spans="1:14">
      <c r="A55" s="1">
        <v>5.4999999999999998E-13</v>
      </c>
      <c r="B55" s="1">
        <f t="shared" si="0"/>
        <v>3.6104695737519538E-2</v>
      </c>
      <c r="C55" s="1">
        <f t="shared" si="1"/>
        <v>2887524.5771014444</v>
      </c>
      <c r="D55" s="1">
        <f t="shared" si="2"/>
        <v>1699.2611857952461</v>
      </c>
      <c r="E55" s="1">
        <f t="shared" si="3"/>
        <v>4908791.7810724583</v>
      </c>
      <c r="F55" s="1">
        <f t="shared" si="4"/>
        <v>2215.5712088164696</v>
      </c>
      <c r="G55" s="1">
        <f>'WSO-UV_WUVS_130nm'!K65</f>
        <v>1435.7140111378426</v>
      </c>
      <c r="H55" s="1"/>
      <c r="I55" s="1"/>
      <c r="J55" s="1"/>
      <c r="K55" s="1"/>
      <c r="L55" s="1"/>
      <c r="M55" s="1"/>
      <c r="N55" s="1"/>
    </row>
    <row r="56" spans="1:14">
      <c r="A56" s="1">
        <v>4.9999999999999999E-13</v>
      </c>
      <c r="B56" s="1">
        <f t="shared" si="0"/>
        <v>3.2822450670472313E-2</v>
      </c>
      <c r="C56" s="1">
        <f t="shared" si="1"/>
        <v>2625022.3428194956</v>
      </c>
      <c r="D56" s="1">
        <f t="shared" si="2"/>
        <v>1620.1809600514378</v>
      </c>
      <c r="E56" s="1">
        <f t="shared" si="3"/>
        <v>4462537.982793144</v>
      </c>
      <c r="F56" s="1">
        <f t="shared" si="4"/>
        <v>2112.4634868048156</v>
      </c>
      <c r="G56" s="1">
        <f>'WSO-UV_WUVS_130nm'!K66</f>
        <v>1368.5097702293715</v>
      </c>
      <c r="H56" s="1"/>
      <c r="I56" s="1"/>
      <c r="J56" s="1"/>
      <c r="K56" s="1"/>
      <c r="L56" s="1"/>
      <c r="M56" s="1"/>
      <c r="N56" s="1"/>
    </row>
    <row r="57" spans="1:14">
      <c r="A57" s="1">
        <v>4.5E-13</v>
      </c>
      <c r="B57" s="1">
        <f t="shared" si="0"/>
        <v>2.9540205603425077E-2</v>
      </c>
      <c r="C57" s="1">
        <f t="shared" si="1"/>
        <v>2362520.1085375459</v>
      </c>
      <c r="D57" s="1">
        <f t="shared" si="2"/>
        <v>1537.0374455705703</v>
      </c>
      <c r="E57" s="1">
        <f t="shared" si="3"/>
        <v>4016284.1845138287</v>
      </c>
      <c r="F57" s="1">
        <f t="shared" si="4"/>
        <v>2004.0579295111486</v>
      </c>
      <c r="G57" s="1">
        <f>'WSO-UV_WUVS_130nm'!K67</f>
        <v>1297.8307844565313</v>
      </c>
      <c r="H57" s="1"/>
      <c r="I57" s="1"/>
      <c r="J57" s="1"/>
      <c r="K57" s="1"/>
      <c r="L57" s="1"/>
      <c r="M57" s="1"/>
      <c r="N57" s="1"/>
    </row>
    <row r="58" spans="1:14">
      <c r="A58" s="1">
        <v>4.0000000000000001E-13</v>
      </c>
      <c r="B58" s="1">
        <f t="shared" si="0"/>
        <v>2.6257960536377849E-2</v>
      </c>
      <c r="C58" s="1">
        <f t="shared" si="1"/>
        <v>2100017.8742555967</v>
      </c>
      <c r="D58" s="1">
        <f t="shared" si="2"/>
        <v>1449.1314208424037</v>
      </c>
      <c r="E58" s="1">
        <f t="shared" si="3"/>
        <v>3570030.3862345153</v>
      </c>
      <c r="F58" s="1">
        <f t="shared" si="4"/>
        <v>1889.4428773047186</v>
      </c>
      <c r="G58" s="1">
        <f>'WSO-UV_WUVS_130nm'!K68</f>
        <v>1223.075032734195</v>
      </c>
      <c r="H58" s="1"/>
      <c r="I58" s="1"/>
      <c r="J58" s="1"/>
      <c r="K58" s="1"/>
      <c r="L58" s="1"/>
      <c r="M58" s="1"/>
      <c r="N58" s="1"/>
    </row>
    <row r="59" spans="1:14">
      <c r="A59" s="1">
        <v>3.5000000000000002E-13</v>
      </c>
      <c r="B59" s="1">
        <f t="shared" si="0"/>
        <v>2.297571546933062E-2</v>
      </c>
      <c r="C59" s="1">
        <f t="shared" si="1"/>
        <v>1837515.6399736472</v>
      </c>
      <c r="D59" s="1">
        <f t="shared" si="2"/>
        <v>1355.5366615030866</v>
      </c>
      <c r="E59" s="1">
        <f t="shared" si="3"/>
        <v>3123776.587955201</v>
      </c>
      <c r="F59" s="1">
        <f t="shared" si="4"/>
        <v>1767.4107016678604</v>
      </c>
      <c r="G59" s="1">
        <f>'WSO-UV_WUVS_130nm'!K69</f>
        <v>1143.443583285858</v>
      </c>
      <c r="H59" s="1"/>
      <c r="I59" s="1"/>
      <c r="J59" s="1"/>
      <c r="K59" s="1"/>
      <c r="L59" s="1"/>
      <c r="M59" s="1"/>
      <c r="N59" s="1"/>
    </row>
    <row r="60" spans="1:14">
      <c r="A60" s="1">
        <v>2.9999999999999998E-13</v>
      </c>
      <c r="B60" s="1">
        <f t="shared" si="0"/>
        <v>1.9693470402283385E-2</v>
      </c>
      <c r="C60" s="1">
        <f t="shared" si="1"/>
        <v>1575013.4056916973</v>
      </c>
      <c r="D60" s="1">
        <f t="shared" si="2"/>
        <v>1254.9810383087581</v>
      </c>
      <c r="E60" s="1">
        <f t="shared" si="3"/>
        <v>2677522.7896758858</v>
      </c>
      <c r="F60" s="1">
        <f t="shared" si="4"/>
        <v>1636.3027807101926</v>
      </c>
      <c r="G60" s="1">
        <f>'WSO-UV_WUVS_130nm'!K70</f>
        <v>1057.8365933830087</v>
      </c>
      <c r="H60" s="1"/>
      <c r="I60" s="1"/>
      <c r="J60" s="1"/>
      <c r="K60" s="1"/>
      <c r="L60" s="1"/>
      <c r="M60" s="1"/>
      <c r="N60" s="1"/>
    </row>
    <row r="61" spans="1:14">
      <c r="A61" s="1">
        <v>2.4999999999999999E-13</v>
      </c>
      <c r="B61" s="1">
        <f t="shared" si="0"/>
        <v>1.6411225335236156E-2</v>
      </c>
      <c r="C61" s="1">
        <f t="shared" si="1"/>
        <v>1312511.1714097478</v>
      </c>
      <c r="D61" s="1">
        <f t="shared" si="2"/>
        <v>1145.6330880334858</v>
      </c>
      <c r="E61" s="1">
        <f t="shared" si="3"/>
        <v>2231268.991396572</v>
      </c>
      <c r="F61" s="1">
        <f t="shared" si="4"/>
        <v>1493.7312315063236</v>
      </c>
      <c r="G61" s="1">
        <f>'WSO-UV_WUVS_130nm'!K71</f>
        <v>964.66584698109693</v>
      </c>
      <c r="H61" s="1"/>
      <c r="I61" s="1"/>
      <c r="J61" s="1"/>
      <c r="K61" s="1"/>
      <c r="L61" s="1"/>
      <c r="M61" s="1"/>
      <c r="N61" s="1"/>
    </row>
    <row r="62" spans="1:14">
      <c r="A62" s="1">
        <v>2.0000000000000001E-13</v>
      </c>
      <c r="B62" s="1">
        <f t="shared" si="0"/>
        <v>1.3128980268188924E-2</v>
      </c>
      <c r="C62" s="1">
        <f t="shared" si="1"/>
        <v>1050008.9371277983</v>
      </c>
      <c r="D62" s="1">
        <f t="shared" si="2"/>
        <v>1024.6818717836436</v>
      </c>
      <c r="E62" s="1">
        <f t="shared" si="3"/>
        <v>1785015.1931172577</v>
      </c>
      <c r="F62" s="1">
        <f t="shared" si="4"/>
        <v>1336.0311350575957</v>
      </c>
      <c r="G62" s="1">
        <f>'WSO-UV_WUVS_130nm'!K72</f>
        <v>861.48368689675544</v>
      </c>
      <c r="H62" s="1"/>
      <c r="I62" s="1"/>
      <c r="J62" s="1"/>
      <c r="K62" s="1"/>
      <c r="L62" s="1"/>
      <c r="M62" s="1"/>
      <c r="N62" s="1"/>
    </row>
    <row r="63" spans="1:14">
      <c r="A63" s="1">
        <v>1.4999999999999999E-13</v>
      </c>
      <c r="B63" s="1">
        <f t="shared" si="0"/>
        <v>9.8467352011416924E-3</v>
      </c>
      <c r="C63" s="1">
        <f t="shared" si="1"/>
        <v>787506.70284584863</v>
      </c>
      <c r="D63" s="1">
        <f t="shared" si="2"/>
        <v>887.3954611623127</v>
      </c>
      <c r="E63" s="1">
        <f t="shared" si="3"/>
        <v>1338761.3948379429</v>
      </c>
      <c r="F63" s="1">
        <f t="shared" si="4"/>
        <v>1157.033014138307</v>
      </c>
      <c r="G63" s="1">
        <f>'WSO-UV_WUVS_130nm'!K73</f>
        <v>744.14505237113451</v>
      </c>
      <c r="H63" s="1"/>
      <c r="I63" s="1"/>
      <c r="J63" s="1"/>
      <c r="K63" s="1"/>
      <c r="L63" s="1"/>
      <c r="M63" s="1"/>
      <c r="N63" s="1"/>
    </row>
    <row r="64" spans="1:14">
      <c r="A64" s="1">
        <v>1E-13</v>
      </c>
      <c r="B64" s="1">
        <f t="shared" si="0"/>
        <v>6.5644901340944622E-3</v>
      </c>
      <c r="C64" s="1">
        <f t="shared" si="1"/>
        <v>525004.46856389917</v>
      </c>
      <c r="D64" s="1">
        <f t="shared" si="2"/>
        <v>724.54707992806118</v>
      </c>
      <c r="E64" s="1">
        <f t="shared" si="3"/>
        <v>892507.59655862884</v>
      </c>
      <c r="F64" s="1">
        <f t="shared" si="4"/>
        <v>944.70714933817385</v>
      </c>
      <c r="G64" s="1">
        <f>'WSO-UV_WUVS_130nm'!K74</f>
        <v>604.48979314806718</v>
      </c>
      <c r="H64" s="1"/>
      <c r="I64" s="1"/>
      <c r="J64" s="1"/>
      <c r="K64" s="1"/>
      <c r="L64" s="1"/>
      <c r="M64" s="1"/>
      <c r="N64" s="1"/>
    </row>
    <row r="65" spans="1:14">
      <c r="A65" s="1">
        <v>9.4999999999999999E-14</v>
      </c>
      <c r="B65" s="1">
        <f t="shared" si="0"/>
        <v>6.2362656273897386E-3</v>
      </c>
      <c r="C65" s="1">
        <f t="shared" si="1"/>
        <v>498754.24513570417</v>
      </c>
      <c r="D65" s="1">
        <f t="shared" si="2"/>
        <v>706.19986387282086</v>
      </c>
      <c r="E65" s="1">
        <f t="shared" si="3"/>
        <v>847882.21673069731</v>
      </c>
      <c r="F65" s="1">
        <f t="shared" si="4"/>
        <v>920.78565272225364</v>
      </c>
      <c r="G65" s="1">
        <f>'WSO-UV_WUVS_130nm'!K75</f>
        <v>588.71058748487974</v>
      </c>
      <c r="H65" s="1"/>
      <c r="I65" s="1"/>
      <c r="J65" s="1"/>
      <c r="K65" s="1"/>
      <c r="L65" s="1"/>
      <c r="M65" s="1"/>
      <c r="N65" s="1"/>
    </row>
    <row r="66" spans="1:14">
      <c r="A66" s="1">
        <v>8.9999999999999995E-14</v>
      </c>
      <c r="B66" s="1">
        <f t="shared" si="0"/>
        <v>5.908041120685016E-3</v>
      </c>
      <c r="C66" s="1">
        <f t="shared" si="1"/>
        <v>472504.02170750918</v>
      </c>
      <c r="D66" s="1">
        <f t="shared" si="2"/>
        <v>687.36309505976089</v>
      </c>
      <c r="E66" s="1">
        <f t="shared" si="3"/>
        <v>803256.83690276591</v>
      </c>
      <c r="F66" s="1">
        <f t="shared" si="4"/>
        <v>896.22588587706241</v>
      </c>
      <c r="G66" s="1">
        <f>'WSO-UV_WUVS_130nm'!K76</f>
        <v>572.49837266929103</v>
      </c>
      <c r="H66" s="1"/>
      <c r="I66" s="1"/>
      <c r="J66" s="1"/>
      <c r="K66" s="1"/>
      <c r="L66" s="1"/>
      <c r="M66" s="1"/>
      <c r="N66" s="1"/>
    </row>
    <row r="67" spans="1:14">
      <c r="A67" s="1">
        <v>8.5000000000000004E-14</v>
      </c>
      <c r="B67" s="1">
        <f t="shared" si="0"/>
        <v>5.5798166139802924E-3</v>
      </c>
      <c r="C67" s="1">
        <f t="shared" si="1"/>
        <v>446253.79827931424</v>
      </c>
      <c r="D67" s="1">
        <f t="shared" si="2"/>
        <v>667.99536015099466</v>
      </c>
      <c r="E67" s="1">
        <f t="shared" si="3"/>
        <v>758631.45707483438</v>
      </c>
      <c r="F67" s="1">
        <f t="shared" si="4"/>
        <v>870.97385654397954</v>
      </c>
      <c r="G67" s="1">
        <f>'WSO-UV_WUVS_130nm'!K77</f>
        <v>555.81556336844426</v>
      </c>
      <c r="H67" s="1"/>
      <c r="I67" s="1"/>
      <c r="J67" s="1"/>
      <c r="K67" s="1"/>
      <c r="L67" s="1"/>
      <c r="M67" s="1"/>
      <c r="N67" s="1"/>
    </row>
    <row r="68" spans="1:14">
      <c r="A68" s="1">
        <v>8E-14</v>
      </c>
      <c r="B68" s="1">
        <f t="shared" si="0"/>
        <v>5.2515921072755697E-3</v>
      </c>
      <c r="C68" s="1">
        <f t="shared" si="1"/>
        <v>420003.57485111931</v>
      </c>
      <c r="D68" s="1">
        <f t="shared" si="2"/>
        <v>648.04905519300223</v>
      </c>
      <c r="E68" s="1">
        <f t="shared" si="3"/>
        <v>714006.07724690298</v>
      </c>
      <c r="F68" s="1">
        <f t="shared" si="4"/>
        <v>844.96750177857257</v>
      </c>
      <c r="G68" s="1">
        <f>'WSO-UV_WUVS_130nm'!K78</f>
        <v>538.61882270204637</v>
      </c>
      <c r="H68" s="1"/>
      <c r="I68" s="1"/>
      <c r="J68" s="1"/>
      <c r="K68" s="1"/>
      <c r="L68" s="1"/>
      <c r="M68" s="1"/>
      <c r="N68" s="1"/>
    </row>
    <row r="69" spans="1:14">
      <c r="A69" s="1">
        <v>7.4999999999999996E-14</v>
      </c>
      <c r="B69" s="1">
        <f t="shared" si="0"/>
        <v>4.9233676005708462E-3</v>
      </c>
      <c r="C69" s="1">
        <f t="shared" si="1"/>
        <v>393753.35142292432</v>
      </c>
      <c r="D69" s="1">
        <f t="shared" si="2"/>
        <v>627.46900697486558</v>
      </c>
      <c r="E69" s="1">
        <f t="shared" si="3"/>
        <v>669380.69741897145</v>
      </c>
      <c r="F69" s="1">
        <f t="shared" si="4"/>
        <v>818.13489068428396</v>
      </c>
      <c r="G69" s="1">
        <f>'WSO-UV_WUVS_130nm'!K79</f>
        <v>520.85775412739565</v>
      </c>
      <c r="H69" s="1"/>
      <c r="I69" s="1"/>
      <c r="J69" s="1"/>
      <c r="K69" s="1"/>
      <c r="L69" s="1"/>
      <c r="M69" s="1"/>
      <c r="N69" s="1"/>
    </row>
    <row r="70" spans="1:14">
      <c r="A70" s="1">
        <v>7.0000000000000005E-14</v>
      </c>
      <c r="B70" s="1">
        <f t="shared" si="0"/>
        <v>4.5951430938661244E-3</v>
      </c>
      <c r="C70" s="1">
        <f t="shared" si="1"/>
        <v>367503.1279947295</v>
      </c>
      <c r="D70" s="1">
        <f t="shared" si="2"/>
        <v>606.19067257826123</v>
      </c>
      <c r="E70" s="1">
        <f t="shared" si="3"/>
        <v>624755.31759104016</v>
      </c>
      <c r="F70" s="1">
        <f t="shared" si="4"/>
        <v>790.39187727691933</v>
      </c>
      <c r="G70" s="1">
        <f>'WSO-UV_WUVS_130nm'!K80</f>
        <v>502.47318558270183</v>
      </c>
      <c r="H70" s="1"/>
      <c r="I70" s="1"/>
      <c r="J70" s="1"/>
      <c r="K70" s="1"/>
      <c r="L70" s="1"/>
      <c r="M70" s="1"/>
      <c r="N70" s="1"/>
    </row>
    <row r="71" spans="1:14">
      <c r="A71" s="1">
        <v>6.5000000000000001E-14</v>
      </c>
      <c r="B71" s="1">
        <f t="shared" si="0"/>
        <v>4.2669185871614008E-3</v>
      </c>
      <c r="C71" s="1">
        <f t="shared" si="1"/>
        <v>341252.9045665345</v>
      </c>
      <c r="D71" s="1">
        <f t="shared" si="2"/>
        <v>584.13774776494608</v>
      </c>
      <c r="E71" s="1">
        <f t="shared" si="3"/>
        <v>580129.93776310876</v>
      </c>
      <c r="F71" s="1">
        <f t="shared" si="4"/>
        <v>761.63898271881567</v>
      </c>
      <c r="G71" s="1">
        <f>'WSO-UV_WUVS_130nm'!K81</f>
        <v>483.39487954230839</v>
      </c>
      <c r="H71" s="1"/>
      <c r="I71" s="1"/>
      <c r="J71" s="1"/>
      <c r="K71" s="1"/>
      <c r="L71" s="1"/>
      <c r="M71" s="1"/>
      <c r="N71" s="1"/>
    </row>
    <row r="72" spans="1:14">
      <c r="A72" s="1">
        <v>5.9999999999999997E-14</v>
      </c>
      <c r="B72" s="1">
        <f t="shared" si="0"/>
        <v>3.9386940804566764E-3</v>
      </c>
      <c r="C72" s="1">
        <f t="shared" si="1"/>
        <v>315002.68113833939</v>
      </c>
      <c r="D72" s="1">
        <f t="shared" si="2"/>
        <v>561.21892809501708</v>
      </c>
      <c r="E72" s="1">
        <f t="shared" si="3"/>
        <v>535504.55793517712</v>
      </c>
      <c r="F72" s="1">
        <f t="shared" si="4"/>
        <v>731.75717308077128</v>
      </c>
      <c r="G72" s="1">
        <f>'WSO-UV_WUVS_130nm'!K82</f>
        <v>463.5384162937919</v>
      </c>
      <c r="H72" s="1"/>
      <c r="I72" s="1"/>
      <c r="J72" s="1"/>
      <c r="K72" s="1"/>
      <c r="L72" s="1"/>
      <c r="M72" s="1"/>
      <c r="N72" s="1"/>
    </row>
    <row r="73" spans="1:14">
      <c r="A73" s="1">
        <v>5.4999999999999999E-14</v>
      </c>
      <c r="B73" s="1">
        <f t="shared" si="0"/>
        <v>3.6104695737519542E-3</v>
      </c>
      <c r="C73" s="1">
        <f t="shared" si="1"/>
        <v>288752.45771014452</v>
      </c>
      <c r="D73" s="1">
        <f t="shared" si="2"/>
        <v>537.32342420357816</v>
      </c>
      <c r="E73" s="1">
        <f t="shared" si="3"/>
        <v>490879.17810724583</v>
      </c>
      <c r="F73" s="1">
        <f t="shared" si="4"/>
        <v>700.60201309103661</v>
      </c>
      <c r="G73" s="1">
        <f>'WSO-UV_WUVS_130nm'!K83</f>
        <v>442.80085538892263</v>
      </c>
      <c r="H73" s="1"/>
      <c r="I73" s="1"/>
      <c r="J73" s="1"/>
      <c r="K73" s="1"/>
      <c r="L73" s="1"/>
      <c r="M73" s="1"/>
      <c r="N73" s="1"/>
    </row>
    <row r="74" spans="1:14">
      <c r="A74" s="1">
        <v>5.0000000000000002E-14</v>
      </c>
      <c r="B74" s="1">
        <f t="shared" si="0"/>
        <v>3.2822450670472311E-3</v>
      </c>
      <c r="C74" s="1">
        <f t="shared" si="1"/>
        <v>262502.23428194958</v>
      </c>
      <c r="D74" s="1">
        <f t="shared" si="2"/>
        <v>512.31459008930574</v>
      </c>
      <c r="E74" s="1">
        <f t="shared" si="3"/>
        <v>446253.79827931442</v>
      </c>
      <c r="F74" s="1">
        <f t="shared" si="4"/>
        <v>667.99536015099466</v>
      </c>
      <c r="G74" s="1">
        <f>'WSO-UV_WUVS_130nm'!K84</f>
        <v>421.05453691546489</v>
      </c>
      <c r="H74" s="1"/>
      <c r="I74" s="1"/>
      <c r="J74" s="1"/>
      <c r="K74" s="1"/>
      <c r="L74" s="1"/>
      <c r="M74" s="1"/>
      <c r="N74" s="1"/>
    </row>
    <row r="75" spans="1:14">
      <c r="A75" s="1">
        <v>4.4999999999999998E-14</v>
      </c>
      <c r="B75" s="1">
        <f t="shared" si="0"/>
        <v>2.954020560342508E-3</v>
      </c>
      <c r="C75" s="1">
        <f t="shared" si="1"/>
        <v>236252.01085375459</v>
      </c>
      <c r="D75" s="1">
        <f t="shared" si="2"/>
        <v>486.02059250466579</v>
      </c>
      <c r="E75" s="1">
        <f t="shared" si="3"/>
        <v>401628.41845138295</v>
      </c>
      <c r="F75" s="1">
        <f t="shared" si="4"/>
        <v>633.71320143891364</v>
      </c>
      <c r="G75" s="1">
        <f>'WSO-UV_WUVS_130nm'!K85</f>
        <v>398.13795072181006</v>
      </c>
      <c r="H75" s="1"/>
      <c r="I75" s="1"/>
      <c r="J75" s="1"/>
      <c r="K75" s="1"/>
      <c r="L75" s="1"/>
      <c r="M75" s="1"/>
      <c r="N75" s="1"/>
    </row>
    <row r="76" spans="1:14">
      <c r="A76" s="1">
        <v>4E-14</v>
      </c>
      <c r="B76" s="1">
        <f t="shared" si="0"/>
        <v>2.6257960536377849E-3</v>
      </c>
      <c r="C76" s="1">
        <f t="shared" si="1"/>
        <v>210001.78742555965</v>
      </c>
      <c r="D76" s="1">
        <f t="shared" si="2"/>
        <v>458.22024572892667</v>
      </c>
      <c r="E76" s="1">
        <f t="shared" si="3"/>
        <v>357003.03862345149</v>
      </c>
      <c r="F76" s="1">
        <f t="shared" si="4"/>
        <v>597.46718926925735</v>
      </c>
      <c r="G76" s="1">
        <f>'WSO-UV_WUVS_130nm'!K86</f>
        <v>373.84179065406948</v>
      </c>
      <c r="H76" s="1"/>
      <c r="I76" s="1"/>
      <c r="J76" s="1"/>
      <c r="K76" s="1"/>
      <c r="L76" s="1"/>
      <c r="M76" s="1"/>
      <c r="N76" s="1"/>
    </row>
    <row r="77" spans="1:14">
      <c r="A77" s="1">
        <v>3.5000000000000002E-14</v>
      </c>
      <c r="B77" s="1">
        <f t="shared" si="0"/>
        <v>2.2975715469330622E-3</v>
      </c>
      <c r="C77" s="1">
        <f t="shared" si="1"/>
        <v>183751.56399736475</v>
      </c>
      <c r="D77" s="1">
        <f t="shared" si="2"/>
        <v>428.6205443617751</v>
      </c>
      <c r="E77" s="1">
        <f t="shared" si="3"/>
        <v>312377.65879552008</v>
      </c>
      <c r="F77" s="1">
        <f t="shared" si="4"/>
        <v>558.87535546297465</v>
      </c>
      <c r="G77" s="1">
        <f>'WSO-UV_WUVS_130nm'!K87</f>
        <v>347.8867026295041</v>
      </c>
      <c r="H77" s="1"/>
      <c r="I77" s="1"/>
      <c r="J77" s="1"/>
      <c r="K77" s="1"/>
      <c r="L77" s="1"/>
      <c r="M77" s="1"/>
      <c r="N77" s="1"/>
    </row>
    <row r="78" spans="1:14">
      <c r="A78" s="1">
        <v>2.9999999999999998E-14</v>
      </c>
      <c r="B78" s="1">
        <f t="shared" si="0"/>
        <v>1.9693470402283382E-3</v>
      </c>
      <c r="C78" s="1">
        <f t="shared" si="1"/>
        <v>157501.3405691697</v>
      </c>
      <c r="D78" s="1">
        <f t="shared" si="2"/>
        <v>396.81903784444461</v>
      </c>
      <c r="E78" s="1">
        <f t="shared" si="3"/>
        <v>267752.27896758856</v>
      </c>
      <c r="F78" s="1">
        <f t="shared" si="4"/>
        <v>517.41306884077903</v>
      </c>
      <c r="G78" s="1">
        <f>'WSO-UV_WUVS_130nm'!K88</f>
        <v>319.88581373713475</v>
      </c>
      <c r="H78" s="1"/>
      <c r="I78" s="1"/>
      <c r="J78" s="1"/>
      <c r="K78" s="1"/>
      <c r="L78" s="1"/>
      <c r="M78" s="1"/>
      <c r="N78" s="1"/>
    </row>
    <row r="79" spans="1:14">
      <c r="A79" s="1">
        <v>2.5000000000000001E-14</v>
      </c>
      <c r="B79" s="1">
        <f t="shared" si="0"/>
        <v>1.6411225335236155E-3</v>
      </c>
      <c r="C79" s="1">
        <f t="shared" si="1"/>
        <v>131251.11714097479</v>
      </c>
      <c r="D79" s="1">
        <f t="shared" si="2"/>
        <v>362.23628616204212</v>
      </c>
      <c r="E79" s="1">
        <f t="shared" si="3"/>
        <v>223126.89913965721</v>
      </c>
      <c r="F79" s="1">
        <f t="shared" si="4"/>
        <v>472.32499928235239</v>
      </c>
      <c r="G79" s="1">
        <f>'WSO-UV_WUVS_130nm'!K89</f>
        <v>289.27718469869228</v>
      </c>
      <c r="H79" s="1"/>
      <c r="I79" s="1"/>
      <c r="J79" s="1"/>
      <c r="K79" s="1"/>
      <c r="L79" s="1"/>
      <c r="M79" s="1"/>
      <c r="N79" s="1"/>
    </row>
    <row r="80" spans="1:14">
      <c r="A80" s="1">
        <v>2E-14</v>
      </c>
      <c r="B80" s="1">
        <f t="shared" si="0"/>
        <v>1.3128980268188924E-3</v>
      </c>
      <c r="C80" s="1">
        <f t="shared" si="1"/>
        <v>105000.89371277983</v>
      </c>
      <c r="D80" s="1">
        <f t="shared" si="2"/>
        <v>323.98287925645332</v>
      </c>
      <c r="E80" s="1">
        <f t="shared" si="3"/>
        <v>178501.51931172574</v>
      </c>
      <c r="F80" s="1">
        <f t="shared" si="4"/>
        <v>422.45180384359134</v>
      </c>
      <c r="G80" s="1">
        <f>'WSO-UV_WUVS_130nm'!K90</f>
        <v>255.19069622030563</v>
      </c>
      <c r="H80" s="1"/>
      <c r="I80" s="1"/>
      <c r="J80" s="1"/>
      <c r="K80" s="1"/>
      <c r="L80" s="1"/>
      <c r="M80" s="1"/>
      <c r="N80" s="1"/>
    </row>
    <row r="81" spans="1:14">
      <c r="A81" s="1">
        <v>1.4999999999999999E-14</v>
      </c>
      <c r="B81" s="1">
        <f t="shared" si="0"/>
        <v>9.8467352011416911E-4</v>
      </c>
      <c r="C81" s="1">
        <f t="shared" si="1"/>
        <v>78750.670284584849</v>
      </c>
      <c r="D81" s="1">
        <f t="shared" si="2"/>
        <v>280.56137783748483</v>
      </c>
      <c r="E81" s="1">
        <f t="shared" si="3"/>
        <v>133876.13948379428</v>
      </c>
      <c r="F81" s="1">
        <f t="shared" si="4"/>
        <v>365.8416995939387</v>
      </c>
      <c r="G81" s="1">
        <f>'WSO-UV_WUVS_130nm'!K91</f>
        <v>216.15166096328383</v>
      </c>
      <c r="H81" s="1"/>
      <c r="I81" s="1"/>
      <c r="J81" s="1"/>
      <c r="K81" s="1"/>
      <c r="L81" s="1"/>
      <c r="M81" s="1"/>
      <c r="N81" s="1"/>
    </row>
    <row r="82" spans="1:14">
      <c r="A82" s="1">
        <v>1E-14</v>
      </c>
      <c r="B82" s="1">
        <f t="shared" si="0"/>
        <v>6.5644901340944622E-4</v>
      </c>
      <c r="C82" s="1">
        <f t="shared" si="1"/>
        <v>52500.446856389914</v>
      </c>
      <c r="D82" s="1">
        <f t="shared" si="2"/>
        <v>229.0512421380391</v>
      </c>
      <c r="E82" s="1">
        <f t="shared" si="3"/>
        <v>89250.759655862872</v>
      </c>
      <c r="F82" s="1">
        <f t="shared" si="4"/>
        <v>298.68842322877686</v>
      </c>
      <c r="G82" s="1">
        <f>'WSO-UV_WUVS_130nm'!K92</f>
        <v>169.29123444141237</v>
      </c>
      <c r="H82" s="1"/>
      <c r="I82" s="1"/>
      <c r="J82" s="1"/>
      <c r="K82" s="1"/>
      <c r="L82" s="1"/>
      <c r="M82" s="1"/>
      <c r="N82" s="1"/>
    </row>
    <row r="83" spans="1:14">
      <c r="A83" s="1">
        <v>9.5000000000000005E-15</v>
      </c>
      <c r="B83" s="1">
        <f t="shared" si="0"/>
        <v>6.2362656273897386E-4</v>
      </c>
      <c r="C83" s="1">
        <f t="shared" si="1"/>
        <v>49875.424513570404</v>
      </c>
      <c r="D83" s="1">
        <f t="shared" si="2"/>
        <v>223.24750945882784</v>
      </c>
      <c r="E83" s="1">
        <f t="shared" si="3"/>
        <v>84788.221673069726</v>
      </c>
      <c r="F83" s="1">
        <f t="shared" si="4"/>
        <v>291.12237452955156</v>
      </c>
      <c r="G83" s="1">
        <f>'WSO-UV_WUVS_130nm'!K93</f>
        <v>163.97381540745093</v>
      </c>
      <c r="H83" s="1"/>
      <c r="I83" s="1"/>
      <c r="J83" s="1"/>
      <c r="K83" s="1"/>
      <c r="L83" s="1"/>
      <c r="M83" s="1"/>
      <c r="N83" s="1"/>
    </row>
    <row r="84" spans="1:14">
      <c r="A84" s="1">
        <v>8.9999999999999995E-15</v>
      </c>
      <c r="B84" s="1">
        <f t="shared" si="0"/>
        <v>5.9080411206850162E-4</v>
      </c>
      <c r="C84" s="1">
        <f t="shared" si="1"/>
        <v>47250.402170750924</v>
      </c>
      <c r="D84" s="1">
        <f t="shared" si="2"/>
        <v>217.28881604492946</v>
      </c>
      <c r="E84" s="1">
        <f t="shared" si="3"/>
        <v>80325.683690276594</v>
      </c>
      <c r="F84" s="1">
        <f t="shared" si="4"/>
        <v>283.35437144566038</v>
      </c>
      <c r="G84" s="1">
        <f>'WSO-UV_WUVS_130nm'!K94</f>
        <v>158.50729099059174</v>
      </c>
      <c r="H84" s="1"/>
      <c r="I84" s="1"/>
      <c r="J84" s="1"/>
      <c r="K84" s="1"/>
      <c r="L84" s="1"/>
      <c r="M84" s="1"/>
      <c r="N84" s="1"/>
    </row>
    <row r="85" spans="1:14">
      <c r="A85" s="1">
        <v>8.5000000000000001E-15</v>
      </c>
      <c r="B85" s="1">
        <f t="shared" ref="B85:B148" si="5">A85*$C$4/($C$2*$C$3/1304*10000000000)</f>
        <v>5.5798166139802926E-4</v>
      </c>
      <c r="C85" s="1">
        <f t="shared" ref="C85:C148" si="6">B85*$C$11*$C$15*3600</f>
        <v>44625.379827931429</v>
      </c>
      <c r="D85" s="1">
        <f t="shared" ref="D85:D148" si="7">C85/SQRT(C85+($C$16)*2)</f>
        <v>211.16204404743641</v>
      </c>
      <c r="E85" s="1">
        <f t="shared" ref="E85:E148" si="8">B85*$D$11*$C$15*3600</f>
        <v>75863.145707483447</v>
      </c>
      <c r="F85" s="1">
        <f t="shared" ref="F85:F148" si="9">E85/SQRT(E85+($C$16)*2)</f>
        <v>275.36732337511376</v>
      </c>
      <c r="G85" s="1">
        <f>'WSO-UV_WUVS_130nm'!K95</f>
        <v>152.87956535103078</v>
      </c>
      <c r="H85" s="1"/>
      <c r="I85" s="1"/>
      <c r="J85" s="1"/>
      <c r="K85" s="1"/>
      <c r="L85" s="1"/>
      <c r="M85" s="1"/>
      <c r="N85" s="1"/>
    </row>
    <row r="86" spans="1:14">
      <c r="A86" s="1">
        <v>8.0000000000000006E-15</v>
      </c>
      <c r="B86" s="1">
        <f t="shared" si="5"/>
        <v>5.2515921072755702E-4</v>
      </c>
      <c r="C86" s="1">
        <f t="shared" si="6"/>
        <v>42000.357485111934</v>
      </c>
      <c r="D86" s="1">
        <f t="shared" si="7"/>
        <v>204.85211328069394</v>
      </c>
      <c r="E86" s="1">
        <f t="shared" si="8"/>
        <v>71400.607724690301</v>
      </c>
      <c r="F86" s="1">
        <f t="shared" si="9"/>
        <v>267.14158393378068</v>
      </c>
      <c r="G86" s="1">
        <f>'WSO-UV_WUVS_130nm'!K96</f>
        <v>147.07691353270408</v>
      </c>
      <c r="H86" s="1"/>
      <c r="I86" s="1"/>
      <c r="J86" s="1"/>
      <c r="K86" s="1"/>
      <c r="L86" s="1"/>
      <c r="M86" s="1"/>
      <c r="N86" s="1"/>
    </row>
    <row r="87" spans="1:14">
      <c r="A87" s="1">
        <v>7.4999999999999996E-15</v>
      </c>
      <c r="B87" s="1">
        <f t="shared" si="5"/>
        <v>4.9233676005708455E-4</v>
      </c>
      <c r="C87" s="1">
        <f t="shared" si="6"/>
        <v>39375.335142292424</v>
      </c>
      <c r="D87" s="1">
        <f t="shared" si="7"/>
        <v>198.34154387377581</v>
      </c>
      <c r="E87" s="1">
        <f t="shared" si="8"/>
        <v>66938.069741897139</v>
      </c>
      <c r="F87" s="1">
        <f t="shared" si="9"/>
        <v>258.65438154547053</v>
      </c>
      <c r="G87" s="1">
        <f>'WSO-UV_WUVS_130nm'!K97</f>
        <v>141.08367006452457</v>
      </c>
      <c r="H87" s="1"/>
      <c r="I87" s="1"/>
      <c r="J87" s="1"/>
      <c r="K87" s="1"/>
      <c r="L87" s="1"/>
      <c r="M87" s="1"/>
      <c r="N87" s="1"/>
    </row>
    <row r="88" spans="1:14">
      <c r="A88" s="1">
        <v>7.0000000000000001E-15</v>
      </c>
      <c r="B88" s="1">
        <f t="shared" si="5"/>
        <v>4.5951430938661236E-4</v>
      </c>
      <c r="C88" s="1">
        <f t="shared" si="6"/>
        <v>36750.312799472937</v>
      </c>
      <c r="D88" s="1">
        <f t="shared" si="7"/>
        <v>191.60988500066401</v>
      </c>
      <c r="E88" s="1">
        <f t="shared" si="8"/>
        <v>62475.531759104015</v>
      </c>
      <c r="F88" s="1">
        <f t="shared" si="9"/>
        <v>249.87907573720284</v>
      </c>
      <c r="G88" s="1">
        <f>'WSO-UV_WUVS_130nm'!K98</f>
        <v>134.88183911490961</v>
      </c>
      <c r="H88" s="1"/>
      <c r="I88" s="1"/>
      <c r="J88" s="1"/>
      <c r="K88" s="1"/>
      <c r="L88" s="1"/>
      <c r="M88" s="1"/>
      <c r="N88" s="1"/>
    </row>
    <row r="89" spans="1:14">
      <c r="A89" s="1">
        <v>6.4999999999999999E-15</v>
      </c>
      <c r="B89" s="1">
        <f t="shared" si="5"/>
        <v>4.2669185871614001E-4</v>
      </c>
      <c r="C89" s="1">
        <f t="shared" si="6"/>
        <v>34125.290456653442</v>
      </c>
      <c r="D89" s="1">
        <f t="shared" si="7"/>
        <v>184.63295587280822</v>
      </c>
      <c r="E89" s="1">
        <f t="shared" si="8"/>
        <v>58012.993776310868</v>
      </c>
      <c r="F89" s="1">
        <f t="shared" si="9"/>
        <v>240.78416912720667</v>
      </c>
      <c r="G89" s="1">
        <f>'WSO-UV_WUVS_130nm'!K99</f>
        <v>128.45060124133542</v>
      </c>
      <c r="H89" s="1"/>
      <c r="I89" s="1"/>
      <c r="J89" s="1"/>
      <c r="K89" s="1"/>
      <c r="L89" s="1"/>
      <c r="M89" s="1"/>
      <c r="N89" s="1"/>
    </row>
    <row r="90" spans="1:14">
      <c r="A90" s="1">
        <v>5.9999999999999997E-15</v>
      </c>
      <c r="B90" s="1">
        <f t="shared" si="5"/>
        <v>3.9386940804566771E-4</v>
      </c>
      <c r="C90" s="1">
        <f t="shared" si="6"/>
        <v>31500.26811383395</v>
      </c>
      <c r="D90" s="1">
        <f t="shared" si="7"/>
        <v>177.38181758391974</v>
      </c>
      <c r="E90" s="1">
        <f t="shared" si="8"/>
        <v>53550.455793517722</v>
      </c>
      <c r="F90" s="1">
        <f t="shared" si="9"/>
        <v>231.33196921033974</v>
      </c>
      <c r="G90" s="1">
        <f>'WSO-UV_WUVS_130nm'!K100</f>
        <v>121.76568201726501</v>
      </c>
      <c r="H90" s="1"/>
      <c r="I90" s="1"/>
      <c r="J90" s="1"/>
      <c r="K90" s="1"/>
      <c r="L90" s="1"/>
      <c r="M90" s="1"/>
      <c r="N90" s="1"/>
    </row>
    <row r="91" spans="1:14">
      <c r="A91" s="1">
        <v>5.5000000000000002E-15</v>
      </c>
      <c r="B91" s="1">
        <f t="shared" si="5"/>
        <v>3.6104695737519546E-4</v>
      </c>
      <c r="C91" s="1">
        <f t="shared" si="6"/>
        <v>28875.245771014455</v>
      </c>
      <c r="D91" s="1">
        <f t="shared" si="7"/>
        <v>169.8213490638376</v>
      </c>
      <c r="E91" s="1">
        <f t="shared" si="8"/>
        <v>49087.91781072459</v>
      </c>
      <c r="F91" s="1">
        <f t="shared" si="9"/>
        <v>221.47673510548498</v>
      </c>
      <c r="G91" s="1">
        <f>'WSO-UV_WUVS_130nm'!K101</f>
        <v>114.79853345445603</v>
      </c>
      <c r="H91" s="1"/>
      <c r="I91" s="1"/>
      <c r="J91" s="1"/>
      <c r="K91" s="1"/>
      <c r="L91" s="1"/>
      <c r="M91" s="1"/>
      <c r="N91" s="1"/>
    </row>
    <row r="92" spans="1:14">
      <c r="A92" s="1">
        <v>5E-15</v>
      </c>
      <c r="B92" s="1">
        <f t="shared" si="5"/>
        <v>3.2822450670472311E-4</v>
      </c>
      <c r="C92" s="1">
        <f t="shared" si="6"/>
        <v>26250.223428194957</v>
      </c>
      <c r="D92" s="1">
        <f t="shared" si="7"/>
        <v>161.90822317469795</v>
      </c>
      <c r="E92" s="1">
        <f t="shared" si="8"/>
        <v>44625.379827931436</v>
      </c>
      <c r="F92" s="1">
        <f t="shared" si="9"/>
        <v>211.16204404743644</v>
      </c>
      <c r="G92" s="1">
        <f>'WSO-UV_WUVS_130nm'!K102</f>
        <v>107.51525758058517</v>
      </c>
      <c r="H92" s="1"/>
      <c r="I92" s="1"/>
      <c r="J92" s="1"/>
      <c r="K92" s="1"/>
      <c r="L92" s="1"/>
      <c r="M92" s="1"/>
      <c r="N92" s="1"/>
    </row>
    <row r="93" spans="1:14">
      <c r="A93" s="1">
        <v>4.4999999999999998E-15</v>
      </c>
      <c r="B93" s="1">
        <f t="shared" si="5"/>
        <v>2.9540205603425081E-4</v>
      </c>
      <c r="C93" s="1">
        <f t="shared" si="6"/>
        <v>23625.201085375462</v>
      </c>
      <c r="D93" s="1">
        <f t="shared" si="7"/>
        <v>153.58794177469849</v>
      </c>
      <c r="E93" s="1">
        <f t="shared" si="8"/>
        <v>40162.841845138297</v>
      </c>
      <c r="F93" s="1">
        <f t="shared" si="9"/>
        <v>200.31693409413268</v>
      </c>
      <c r="G93" s="1">
        <f>'WSO-UV_WUVS_130nm'!K103</f>
        <v>99.875168472744136</v>
      </c>
      <c r="H93" s="1"/>
      <c r="I93" s="1"/>
      <c r="J93" s="1"/>
      <c r="K93" s="1"/>
      <c r="L93" s="1"/>
      <c r="M93" s="1"/>
      <c r="N93" s="1"/>
    </row>
    <row r="94" spans="1:14">
      <c r="A94" s="1">
        <v>4.0000000000000003E-15</v>
      </c>
      <c r="B94" s="1">
        <f t="shared" si="5"/>
        <v>2.6257960536377851E-4</v>
      </c>
      <c r="C94" s="1">
        <f t="shared" si="6"/>
        <v>21000.178742555967</v>
      </c>
      <c r="D94" s="1">
        <f t="shared" si="7"/>
        <v>144.79033237997393</v>
      </c>
      <c r="E94" s="1">
        <f t="shared" si="8"/>
        <v>35700.30386234515</v>
      </c>
      <c r="F94" s="1">
        <f t="shared" si="9"/>
        <v>188.85004667192192</v>
      </c>
      <c r="G94" s="1">
        <f>'WSO-UV_WUVS_130nm'!K104</f>
        <v>91.828837120428346</v>
      </c>
      <c r="H94" s="1"/>
      <c r="I94" s="1"/>
      <c r="J94" s="1"/>
      <c r="K94" s="1"/>
      <c r="L94" s="1"/>
      <c r="M94" s="1"/>
      <c r="N94" s="1"/>
    </row>
    <row r="95" spans="1:14">
      <c r="A95" s="1">
        <v>3.5000000000000001E-15</v>
      </c>
      <c r="B95" s="1">
        <f t="shared" si="5"/>
        <v>2.2975715469330618E-4</v>
      </c>
      <c r="C95" s="1">
        <f t="shared" si="6"/>
        <v>18375.156399736468</v>
      </c>
      <c r="D95" s="1">
        <f t="shared" si="7"/>
        <v>135.42240136638586</v>
      </c>
      <c r="E95" s="1">
        <f t="shared" si="8"/>
        <v>31237.765879552007</v>
      </c>
      <c r="F95" s="1">
        <f t="shared" si="9"/>
        <v>176.6403332198968</v>
      </c>
      <c r="G95" s="1">
        <f>'WSO-UV_WUVS_130nm'!K105</f>
        <v>83.315379710127544</v>
      </c>
      <c r="H95" s="1"/>
      <c r="I95" s="1"/>
      <c r="J95" s="1"/>
      <c r="K95" s="1"/>
      <c r="L95" s="1"/>
      <c r="M95" s="1"/>
      <c r="N95" s="1"/>
    </row>
    <row r="96" spans="1:14">
      <c r="A96" s="1">
        <v>2.9999999999999998E-15</v>
      </c>
      <c r="B96" s="1">
        <f t="shared" si="5"/>
        <v>1.9693470402283385E-4</v>
      </c>
      <c r="C96" s="1">
        <f t="shared" si="6"/>
        <v>15750.134056916975</v>
      </c>
      <c r="D96" s="1">
        <f t="shared" si="7"/>
        <v>125.35635665685791</v>
      </c>
      <c r="E96" s="1">
        <f t="shared" si="8"/>
        <v>26775.227896758861</v>
      </c>
      <c r="F96" s="1">
        <f t="shared" si="9"/>
        <v>163.52148554461141</v>
      </c>
      <c r="G96" s="1">
        <f>'WSO-UV_WUVS_130nm'!K106</f>
        <v>74.258610592690246</v>
      </c>
      <c r="H96" s="1"/>
      <c r="I96" s="1"/>
      <c r="J96" s="1"/>
      <c r="K96" s="1"/>
      <c r="L96" s="1"/>
      <c r="M96" s="1"/>
      <c r="N96" s="1"/>
    </row>
    <row r="97" spans="1:14">
      <c r="A97" s="1">
        <v>2.5E-15</v>
      </c>
      <c r="B97" s="1">
        <f t="shared" si="5"/>
        <v>1.6411225335236155E-4</v>
      </c>
      <c r="C97" s="1">
        <f t="shared" si="6"/>
        <v>13125.111714097478</v>
      </c>
      <c r="D97" s="1">
        <f t="shared" si="7"/>
        <v>114.40808619158896</v>
      </c>
      <c r="E97" s="1">
        <f t="shared" si="8"/>
        <v>22312.689913965718</v>
      </c>
      <c r="F97" s="1">
        <f t="shared" si="9"/>
        <v>149.25397114965511</v>
      </c>
      <c r="G97" s="1">
        <f>'WSO-UV_WUVS_130nm'!K107</f>
        <v>64.561441373188572</v>
      </c>
      <c r="H97" s="1"/>
      <c r="I97" s="1"/>
      <c r="J97" s="1"/>
      <c r="K97" s="1"/>
      <c r="L97" s="1"/>
      <c r="M97" s="1"/>
      <c r="N97" s="1"/>
    </row>
    <row r="98" spans="1:14">
      <c r="A98" s="1">
        <v>2.0000000000000002E-15</v>
      </c>
      <c r="B98" s="1">
        <f t="shared" si="5"/>
        <v>1.3128980268188925E-4</v>
      </c>
      <c r="C98" s="1">
        <f t="shared" si="6"/>
        <v>10500.089371277983</v>
      </c>
      <c r="D98" s="1">
        <f t="shared" si="7"/>
        <v>102.29473289015571</v>
      </c>
      <c r="E98" s="1">
        <f t="shared" si="8"/>
        <v>17850.151931172575</v>
      </c>
      <c r="F98" s="1">
        <f t="shared" si="9"/>
        <v>133.46993814887117</v>
      </c>
      <c r="G98" s="1">
        <f>'WSO-UV_WUVS_130nm'!K108</f>
        <v>54.097478151663935</v>
      </c>
      <c r="H98" s="1"/>
      <c r="I98" s="1"/>
      <c r="J98" s="1"/>
      <c r="K98" s="1"/>
      <c r="L98" s="1"/>
      <c r="M98" s="1"/>
      <c r="N98" s="1"/>
    </row>
    <row r="99" spans="1:14">
      <c r="A99" s="1">
        <v>1.4999999999999999E-15</v>
      </c>
      <c r="B99" s="1">
        <f t="shared" si="5"/>
        <v>9.8467352011416927E-5</v>
      </c>
      <c r="C99" s="1">
        <f t="shared" si="6"/>
        <v>7875.0670284584876</v>
      </c>
      <c r="D99" s="1">
        <f t="shared" si="7"/>
        <v>88.539431044004672</v>
      </c>
      <c r="E99" s="1">
        <f t="shared" si="8"/>
        <v>13387.61394837943</v>
      </c>
      <c r="F99" s="1">
        <f t="shared" si="9"/>
        <v>115.54960188014543</v>
      </c>
      <c r="G99" s="1">
        <f>'WSO-UV_WUVS_130nm'!K109</f>
        <v>42.697964025110998</v>
      </c>
      <c r="H99" s="1"/>
      <c r="I99" s="1"/>
      <c r="J99" s="1"/>
      <c r="K99" s="1"/>
      <c r="L99" s="1"/>
      <c r="M99" s="1"/>
      <c r="N99" s="1"/>
    </row>
    <row r="100" spans="1:14">
      <c r="A100" s="1">
        <v>1.0000000000000001E-15</v>
      </c>
      <c r="B100" s="1">
        <f t="shared" si="5"/>
        <v>6.5644901340944627E-5</v>
      </c>
      <c r="C100" s="1">
        <f t="shared" si="6"/>
        <v>5250.0446856389917</v>
      </c>
      <c r="D100" s="1">
        <f t="shared" si="7"/>
        <v>72.210039880219085</v>
      </c>
      <c r="E100" s="1">
        <f t="shared" si="8"/>
        <v>8925.0759655862876</v>
      </c>
      <c r="F100" s="1">
        <f t="shared" si="9"/>
        <v>94.282663258289503</v>
      </c>
      <c r="G100" s="1">
        <f>'WSO-UV_WUVS_130nm'!K110</f>
        <v>30.130621693879128</v>
      </c>
      <c r="H100" s="1"/>
      <c r="I100" s="1"/>
      <c r="J100" s="1"/>
      <c r="K100" s="1"/>
      <c r="L100" s="1"/>
      <c r="M100" s="1"/>
      <c r="N100" s="1"/>
    </row>
    <row r="101" spans="1:14">
      <c r="A101" s="1">
        <v>9.5000000000000005E-16</v>
      </c>
      <c r="B101" s="1">
        <f t="shared" si="5"/>
        <v>6.2362656273897392E-5</v>
      </c>
      <c r="C101" s="1">
        <f t="shared" si="6"/>
        <v>4987.5424513570415</v>
      </c>
      <c r="D101" s="1">
        <f t="shared" si="7"/>
        <v>70.369030380103055</v>
      </c>
      <c r="E101" s="1">
        <f t="shared" si="8"/>
        <v>8478.8221673069729</v>
      </c>
      <c r="F101" s="1">
        <f t="shared" si="9"/>
        <v>91.885659231907354</v>
      </c>
      <c r="G101" s="1">
        <f>'WSO-UV_WUVS_130nm'!K111</f>
        <v>28.798021808689615</v>
      </c>
      <c r="H101" s="1"/>
      <c r="I101" s="1"/>
      <c r="J101" s="1"/>
      <c r="K101" s="1"/>
      <c r="L101" s="1"/>
      <c r="M101" s="1"/>
      <c r="N101" s="1"/>
    </row>
    <row r="102" spans="1:14">
      <c r="A102" s="1">
        <v>9.0000000000000003E-16</v>
      </c>
      <c r="B102" s="1">
        <f t="shared" si="5"/>
        <v>5.9080411206850156E-5</v>
      </c>
      <c r="C102" s="1">
        <f t="shared" si="6"/>
        <v>4725.0402170750922</v>
      </c>
      <c r="D102" s="1">
        <f t="shared" si="7"/>
        <v>68.478554500631176</v>
      </c>
      <c r="E102" s="1">
        <f t="shared" si="8"/>
        <v>8032.5683690276574</v>
      </c>
      <c r="F102" s="1">
        <f t="shared" si="9"/>
        <v>89.424431741655624</v>
      </c>
      <c r="G102" s="1">
        <f>'WSO-UV_WUVS_130nm'!K112</f>
        <v>27.450154095993643</v>
      </c>
      <c r="H102" s="1"/>
      <c r="I102" s="1"/>
      <c r="J102" s="1"/>
      <c r="K102" s="1"/>
      <c r="L102" s="1"/>
      <c r="M102" s="1"/>
      <c r="N102" s="1"/>
    </row>
    <row r="103" spans="1:14">
      <c r="A103" s="1">
        <v>8.5000000000000001E-16</v>
      </c>
      <c r="B103" s="1">
        <f t="shared" si="5"/>
        <v>5.5798166139802928E-5</v>
      </c>
      <c r="C103" s="1">
        <f t="shared" si="6"/>
        <v>4462.5379827931429</v>
      </c>
      <c r="D103" s="1">
        <f t="shared" si="7"/>
        <v>66.534397693168103</v>
      </c>
      <c r="E103" s="1">
        <f t="shared" si="8"/>
        <v>7586.3145707483436</v>
      </c>
      <c r="F103" s="1">
        <f t="shared" si="9"/>
        <v>86.893524487402772</v>
      </c>
      <c r="G103" s="1">
        <f>'WSO-UV_WUVS_130nm'!K113</f>
        <v>26.086601194449216</v>
      </c>
      <c r="H103" s="1"/>
      <c r="I103" s="1"/>
      <c r="J103" s="1"/>
      <c r="K103" s="1"/>
      <c r="L103" s="1"/>
      <c r="M103" s="1"/>
      <c r="N103" s="1"/>
    </row>
    <row r="104" spans="1:14">
      <c r="A104" s="1">
        <v>7.9999999999999998E-16</v>
      </c>
      <c r="B104" s="1">
        <f t="shared" si="5"/>
        <v>5.2515921072755699E-5</v>
      </c>
      <c r="C104" s="1">
        <f t="shared" si="6"/>
        <v>4200.0357485111936</v>
      </c>
      <c r="D104" s="1">
        <f t="shared" si="7"/>
        <v>64.531710770269711</v>
      </c>
      <c r="E104" s="1">
        <f t="shared" si="8"/>
        <v>7140.0607724690299</v>
      </c>
      <c r="F104" s="1">
        <f t="shared" si="9"/>
        <v>84.286661892296109</v>
      </c>
      <c r="G104" s="1">
        <f>'WSO-UV_WUVS_130nm'!K114</f>
        <v>24.706928416935053</v>
      </c>
      <c r="H104" s="1"/>
      <c r="I104" s="1"/>
      <c r="J104" s="1"/>
      <c r="K104" s="1"/>
      <c r="L104" s="1"/>
      <c r="M104" s="1"/>
      <c r="N104" s="1"/>
    </row>
    <row r="105" spans="1:14">
      <c r="A105" s="1">
        <v>7.4999999999999996E-16</v>
      </c>
      <c r="B105" s="1">
        <f t="shared" si="5"/>
        <v>4.9233676005708464E-5</v>
      </c>
      <c r="C105" s="1">
        <f t="shared" si="6"/>
        <v>3937.5335142292438</v>
      </c>
      <c r="D105" s="1">
        <f t="shared" si="7"/>
        <v>62.464867504011295</v>
      </c>
      <c r="E105" s="1">
        <f t="shared" si="8"/>
        <v>6693.8069741897152</v>
      </c>
      <c r="F105" s="1">
        <f t="shared" si="9"/>
        <v>81.596565799625182</v>
      </c>
      <c r="G105" s="1">
        <f>'WSO-UV_WUVS_130nm'!K115</f>
        <v>23.310682789696159</v>
      </c>
      <c r="H105" s="1"/>
      <c r="I105" s="1"/>
      <c r="J105" s="1"/>
      <c r="K105" s="1"/>
      <c r="L105" s="1"/>
      <c r="M105" s="1"/>
      <c r="N105" s="1"/>
    </row>
    <row r="106" spans="1:14">
      <c r="A106" s="1">
        <v>7.0000000000000003E-16</v>
      </c>
      <c r="B106" s="1">
        <f t="shared" si="5"/>
        <v>4.5951430938661235E-5</v>
      </c>
      <c r="C106" s="1">
        <f t="shared" si="6"/>
        <v>3675.0312799472945</v>
      </c>
      <c r="D106" s="1">
        <f t="shared" si="7"/>
        <v>60.327278316003813</v>
      </c>
      <c r="E106" s="1">
        <f t="shared" si="8"/>
        <v>6247.5531759104015</v>
      </c>
      <c r="F106" s="1">
        <f t="shared" si="9"/>
        <v>78.814715812727115</v>
      </c>
      <c r="G106" s="1">
        <f>'WSO-UV_WUVS_130nm'!K116</f>
        <v>21.897392024697595</v>
      </c>
      <c r="H106" s="1"/>
      <c r="I106" s="1"/>
      <c r="J106" s="1"/>
      <c r="K106" s="1"/>
      <c r="L106" s="1"/>
      <c r="M106" s="1"/>
      <c r="N106" s="1"/>
    </row>
    <row r="107" spans="1:14">
      <c r="A107" s="1">
        <v>6.5000000000000001E-16</v>
      </c>
      <c r="B107" s="1">
        <f t="shared" si="5"/>
        <v>4.2669185871614006E-5</v>
      </c>
      <c r="C107" s="1">
        <f t="shared" si="6"/>
        <v>3412.5290456653443</v>
      </c>
      <c r="D107" s="1">
        <f t="shared" si="7"/>
        <v>58.111142288480089</v>
      </c>
      <c r="E107" s="1">
        <f t="shared" si="8"/>
        <v>5801.2993776310868</v>
      </c>
      <c r="F107" s="1">
        <f t="shared" si="9"/>
        <v>75.931030535015267</v>
      </c>
      <c r="G107" s="1">
        <f>'WSO-UV_WUVS_130nm'!K117</f>
        <v>20.46656341958894</v>
      </c>
      <c r="H107" s="1"/>
      <c r="I107" s="1"/>
      <c r="J107" s="1"/>
      <c r="K107" s="1"/>
      <c r="L107" s="1"/>
      <c r="M107" s="1"/>
      <c r="N107" s="1"/>
    </row>
    <row r="108" spans="1:14">
      <c r="A108" s="1">
        <v>5.9999999999999999E-16</v>
      </c>
      <c r="B108" s="1">
        <f t="shared" si="5"/>
        <v>3.9386940804566778E-5</v>
      </c>
      <c r="C108" s="1">
        <f t="shared" si="6"/>
        <v>3150.0268113833949</v>
      </c>
      <c r="D108" s="1">
        <f t="shared" si="7"/>
        <v>55.807110547144774</v>
      </c>
      <c r="E108" s="1">
        <f t="shared" si="8"/>
        <v>5355.0455793517731</v>
      </c>
      <c r="F108" s="1">
        <f t="shared" si="9"/>
        <v>72.933435254258058</v>
      </c>
      <c r="G108" s="1">
        <f>'WSO-UV_WUVS_130nm'!K118</f>
        <v>19.017682679131042</v>
      </c>
      <c r="H108" s="1"/>
      <c r="I108" s="1"/>
      <c r="J108" s="1"/>
      <c r="K108" s="1"/>
      <c r="L108" s="1"/>
      <c r="M108" s="1"/>
      <c r="N108" s="1"/>
    </row>
    <row r="109" spans="1:14">
      <c r="A109" s="1">
        <v>5.4999999999999996E-16</v>
      </c>
      <c r="B109" s="1">
        <f t="shared" si="5"/>
        <v>3.6104695737519535E-5</v>
      </c>
      <c r="C109" s="1">
        <f t="shared" si="6"/>
        <v>2887.5245771014447</v>
      </c>
      <c r="D109" s="1">
        <f t="shared" si="7"/>
        <v>53.403818942406424</v>
      </c>
      <c r="E109" s="1">
        <f t="shared" si="8"/>
        <v>4908.7917810724566</v>
      </c>
      <c r="F109" s="1">
        <f t="shared" si="9"/>
        <v>69.807262337241596</v>
      </c>
      <c r="G109" s="1">
        <f>'WSO-UV_WUVS_130nm'!K119</f>
        <v>17.550212651323545</v>
      </c>
      <c r="H109" s="1"/>
      <c r="I109" s="1"/>
      <c r="J109" s="1"/>
      <c r="K109" s="1"/>
      <c r="L109" s="1"/>
      <c r="M109" s="1"/>
      <c r="N109" s="1"/>
    </row>
    <row r="110" spans="1:14">
      <c r="A110" s="1">
        <v>5.0000000000000004E-16</v>
      </c>
      <c r="B110" s="1">
        <f t="shared" si="5"/>
        <v>3.2822450670472314E-5</v>
      </c>
      <c r="C110" s="1">
        <f t="shared" si="6"/>
        <v>2625.0223428194959</v>
      </c>
      <c r="D110" s="1">
        <f t="shared" si="7"/>
        <v>50.887222106138367</v>
      </c>
      <c r="E110" s="1">
        <f t="shared" si="8"/>
        <v>4462.5379827931438</v>
      </c>
      <c r="F110" s="1">
        <f t="shared" si="9"/>
        <v>66.534397693168117</v>
      </c>
      <c r="G110" s="1">
        <f>'WSO-UV_WUVS_130nm'!K120</f>
        <v>16.063591970787929</v>
      </c>
      <c r="H110" s="1"/>
      <c r="I110" s="1"/>
      <c r="J110" s="1"/>
      <c r="K110" s="1"/>
      <c r="L110" s="1"/>
      <c r="M110" s="1"/>
      <c r="N110" s="1"/>
    </row>
    <row r="111" spans="1:14">
      <c r="A111" s="1">
        <v>4.5000000000000002E-16</v>
      </c>
      <c r="B111" s="1">
        <f t="shared" si="5"/>
        <v>2.9540205603425078E-5</v>
      </c>
      <c r="C111" s="1">
        <f t="shared" si="6"/>
        <v>2362.5201085375461</v>
      </c>
      <c r="D111" s="1">
        <f t="shared" si="7"/>
        <v>48.239614858729666</v>
      </c>
      <c r="E111" s="1">
        <f t="shared" si="8"/>
        <v>4016.2841845138287</v>
      </c>
      <c r="F111" s="1">
        <f t="shared" si="9"/>
        <v>63.092028055347726</v>
      </c>
      <c r="G111" s="1">
        <f>'WSO-UV_WUVS_130nm'!K121</f>
        <v>14.557233601197375</v>
      </c>
      <c r="H111" s="1"/>
      <c r="I111" s="1"/>
      <c r="J111" s="1"/>
      <c r="K111" s="1"/>
      <c r="L111" s="1"/>
      <c r="M111" s="1"/>
      <c r="N111" s="1"/>
    </row>
    <row r="112" spans="1:14">
      <c r="A112" s="1">
        <v>3.9999999999999999E-16</v>
      </c>
      <c r="B112" s="1">
        <f t="shared" si="5"/>
        <v>2.625796053637785E-5</v>
      </c>
      <c r="C112" s="1">
        <f t="shared" si="6"/>
        <v>2100.0178742555968</v>
      </c>
      <c r="D112" s="1">
        <f t="shared" si="7"/>
        <v>45.438140485184917</v>
      </c>
      <c r="E112" s="1">
        <f t="shared" si="8"/>
        <v>3570.0303862345149</v>
      </c>
      <c r="F112" s="1">
        <f t="shared" si="9"/>
        <v>59.4507340930653</v>
      </c>
      <c r="G112" s="1">
        <f>'WSO-UV_WUVS_130nm'!K122</f>
        <v>13.03052326769142</v>
      </c>
      <c r="H112" s="1"/>
      <c r="I112" s="1"/>
      <c r="J112" s="1"/>
      <c r="K112" s="1"/>
      <c r="L112" s="1"/>
      <c r="M112" s="1"/>
      <c r="N112" s="1"/>
    </row>
    <row r="113" spans="1:14">
      <c r="A113" s="1">
        <v>3.5000000000000002E-16</v>
      </c>
      <c r="B113" s="1">
        <f t="shared" si="5"/>
        <v>2.2975715469330617E-5</v>
      </c>
      <c r="C113" s="1">
        <f t="shared" si="6"/>
        <v>1837.5156399736472</v>
      </c>
      <c r="D113" s="1">
        <f t="shared" si="7"/>
        <v>42.452413212933628</v>
      </c>
      <c r="E113" s="1">
        <f t="shared" si="8"/>
        <v>3123.7765879552007</v>
      </c>
      <c r="F113" s="1">
        <f t="shared" si="9"/>
        <v>55.57145619412438</v>
      </c>
      <c r="G113" s="1">
        <f>'WSO-UV_WUVS_130nm'!K123</f>
        <v>11.482817769257295</v>
      </c>
      <c r="H113" s="1"/>
      <c r="I113" s="1"/>
      <c r="J113" s="1"/>
      <c r="K113" s="1"/>
      <c r="L113" s="1"/>
      <c r="M113" s="1"/>
      <c r="N113" s="1"/>
    </row>
    <row r="114" spans="1:14">
      <c r="A114" s="1">
        <v>2.9999999999999999E-16</v>
      </c>
      <c r="B114" s="1">
        <f t="shared" si="5"/>
        <v>1.9693470402283389E-5</v>
      </c>
      <c r="C114" s="1">
        <f t="shared" si="6"/>
        <v>1575.0134056916975</v>
      </c>
      <c r="D114" s="1">
        <f t="shared" si="7"/>
        <v>39.240513098980088</v>
      </c>
      <c r="E114" s="1">
        <f t="shared" si="8"/>
        <v>2677.5227896758865</v>
      </c>
      <c r="F114" s="1">
        <f t="shared" si="9"/>
        <v>51.400392971308442</v>
      </c>
      <c r="G114" s="1">
        <f>'WSO-UV_WUVS_130nm'!K124</f>
        <v>9.913443159988093</v>
      </c>
      <c r="H114" s="1"/>
      <c r="I114" s="1"/>
      <c r="J114" s="1"/>
      <c r="K114" s="1"/>
      <c r="L114" s="1"/>
      <c r="M114" s="1"/>
      <c r="N114" s="1"/>
    </row>
    <row r="115" spans="1:14">
      <c r="A115" s="1">
        <v>2.5000000000000002E-16</v>
      </c>
      <c r="B115" s="1">
        <f t="shared" si="5"/>
        <v>1.6411225335236157E-5</v>
      </c>
      <c r="C115" s="1">
        <f t="shared" si="6"/>
        <v>1312.5111714097479</v>
      </c>
      <c r="D115" s="1">
        <f t="shared" si="7"/>
        <v>35.741743540308541</v>
      </c>
      <c r="E115" s="1">
        <f t="shared" si="8"/>
        <v>2231.2689913965719</v>
      </c>
      <c r="F115" s="1">
        <f t="shared" si="9"/>
        <v>46.85979731290913</v>
      </c>
      <c r="G115" s="1">
        <f>'WSO-UV_WUVS_130nm'!K125</f>
        <v>8.321692786923256</v>
      </c>
      <c r="H115" s="1"/>
      <c r="I115" s="1"/>
      <c r="J115" s="1"/>
      <c r="K115" s="1"/>
      <c r="L115" s="1"/>
      <c r="M115" s="1"/>
      <c r="N115" s="1"/>
    </row>
    <row r="116" spans="1:14">
      <c r="A116" s="1">
        <v>2E-16</v>
      </c>
      <c r="B116" s="1">
        <f t="shared" si="5"/>
        <v>1.3128980268188925E-5</v>
      </c>
      <c r="C116" s="1">
        <f t="shared" si="6"/>
        <v>1050.0089371277984</v>
      </c>
      <c r="D116" s="1">
        <f t="shared" si="7"/>
        <v>31.862239366888595</v>
      </c>
      <c r="E116" s="1">
        <f t="shared" si="8"/>
        <v>1785.0151931172575</v>
      </c>
      <c r="F116" s="1">
        <f t="shared" si="9"/>
        <v>41.829736839349955</v>
      </c>
      <c r="G116" s="1">
        <f>'WSO-UV_WUVS_130nm'!K126</f>
        <v>6.7068251708221185</v>
      </c>
      <c r="H116" s="1"/>
      <c r="I116" s="1"/>
      <c r="J116" s="1"/>
      <c r="K116" s="1"/>
      <c r="L116" s="1"/>
      <c r="M116" s="1"/>
      <c r="N116" s="1"/>
    </row>
    <row r="117" spans="1:14">
      <c r="A117" s="1">
        <v>1.5E-16</v>
      </c>
      <c r="B117" s="1">
        <f t="shared" si="5"/>
        <v>9.8467352011416944E-6</v>
      </c>
      <c r="C117" s="1">
        <f t="shared" si="6"/>
        <v>787.50670284584874</v>
      </c>
      <c r="D117" s="1">
        <f t="shared" si="7"/>
        <v>27.442311501185781</v>
      </c>
      <c r="E117" s="1">
        <f t="shared" si="8"/>
        <v>1338.7613948379433</v>
      </c>
      <c r="F117" s="1">
        <f t="shared" si="9"/>
        <v>36.106842895519918</v>
      </c>
      <c r="G117" s="1">
        <f>'WSO-UV_WUVS_130nm'!K127</f>
        <v>5.0680617146935134</v>
      </c>
      <c r="H117" s="1"/>
      <c r="I117" s="1"/>
      <c r="J117" s="1"/>
      <c r="K117" s="1"/>
      <c r="L117" s="1"/>
      <c r="M117" s="1"/>
      <c r="N117" s="1"/>
    </row>
    <row r="118" spans="1:14">
      <c r="A118" s="1">
        <v>9.9999999999999998E-17</v>
      </c>
      <c r="B118" s="1">
        <f t="shared" si="5"/>
        <v>6.5644901340944624E-6</v>
      </c>
      <c r="C118" s="1">
        <f t="shared" si="6"/>
        <v>525.0044685638992</v>
      </c>
      <c r="D118" s="1">
        <f t="shared" si="7"/>
        <v>22.16561775792875</v>
      </c>
      <c r="E118" s="1">
        <f t="shared" si="8"/>
        <v>892.50759655862873</v>
      </c>
      <c r="F118" s="1">
        <f t="shared" si="9"/>
        <v>29.289987791322677</v>
      </c>
      <c r="G118" s="1">
        <f>'WSO-UV_WUVS_130nm'!K128</f>
        <v>3.404584223180108</v>
      </c>
      <c r="H118" s="1"/>
      <c r="I118" s="1"/>
      <c r="J118" s="1"/>
      <c r="K118" s="1"/>
      <c r="L118" s="1"/>
      <c r="M118" s="1"/>
      <c r="N118" s="1"/>
    </row>
    <row r="119" spans="1:14">
      <c r="A119" s="1">
        <v>9.5000000000000003E-17</v>
      </c>
      <c r="B119" s="1">
        <f t="shared" si="5"/>
        <v>6.2362656273897392E-6</v>
      </c>
      <c r="C119" s="1">
        <f t="shared" si="6"/>
        <v>498.7542451357042</v>
      </c>
      <c r="D119" s="1">
        <f t="shared" si="7"/>
        <v>21.567980626582671</v>
      </c>
      <c r="E119" s="1">
        <f t="shared" si="8"/>
        <v>847.88221673069734</v>
      </c>
      <c r="F119" s="1">
        <f t="shared" si="9"/>
        <v>28.519264987757783</v>
      </c>
      <c r="G119" s="1">
        <f>'WSO-UV_WUVS_130nm'!K129</f>
        <v>3.2368444550816147</v>
      </c>
      <c r="H119" s="1"/>
      <c r="I119" s="1"/>
      <c r="J119" s="1"/>
      <c r="K119" s="1"/>
      <c r="L119" s="1"/>
      <c r="M119" s="1"/>
      <c r="N119" s="1"/>
    </row>
    <row r="120" spans="1:14">
      <c r="A120" s="1">
        <v>8.9999999999999996E-17</v>
      </c>
      <c r="B120" s="1">
        <f t="shared" si="5"/>
        <v>5.908041120685016E-6</v>
      </c>
      <c r="C120" s="1">
        <f t="shared" si="6"/>
        <v>472.50402170750925</v>
      </c>
      <c r="D120" s="1">
        <f t="shared" si="7"/>
        <v>20.953583801266173</v>
      </c>
      <c r="E120" s="1">
        <f t="shared" si="8"/>
        <v>803.25683690276594</v>
      </c>
      <c r="F120" s="1">
        <f t="shared" si="9"/>
        <v>27.727262040233445</v>
      </c>
      <c r="G120" s="14">
        <f>'WSO-UV_WUVS_130nm'!K130</f>
        <v>3.0688480944812162</v>
      </c>
      <c r="H120" s="1"/>
      <c r="I120" s="1"/>
      <c r="J120" s="1"/>
      <c r="K120" s="1"/>
      <c r="L120" s="1"/>
      <c r="M120" s="1"/>
      <c r="N120" s="1"/>
    </row>
    <row r="121" spans="1:14">
      <c r="A121" s="1">
        <v>8.5000000000000001E-17</v>
      </c>
      <c r="B121" s="1">
        <f t="shared" si="5"/>
        <v>5.5798166139802928E-6</v>
      </c>
      <c r="C121" s="1">
        <f t="shared" si="6"/>
        <v>446.25379827931425</v>
      </c>
      <c r="D121" s="1">
        <f t="shared" si="7"/>
        <v>20.320954207724547</v>
      </c>
      <c r="E121" s="1">
        <f t="shared" si="8"/>
        <v>758.63145707483454</v>
      </c>
      <c r="F121" s="1">
        <f t="shared" si="9"/>
        <v>26.912123695853733</v>
      </c>
      <c r="G121" s="1">
        <f>'WSO-UV_WUVS_130nm'!K131</f>
        <v>2.9005942522412611</v>
      </c>
      <c r="H121" s="1"/>
      <c r="I121" s="1"/>
      <c r="J121" s="1"/>
      <c r="K121" s="1"/>
      <c r="L121" s="1"/>
      <c r="M121" s="1"/>
      <c r="N121" s="1"/>
    </row>
    <row r="122" spans="1:14">
      <c r="A122" s="1">
        <v>8.0000000000000006E-17</v>
      </c>
      <c r="B122" s="1">
        <f t="shared" si="5"/>
        <v>5.2515921072755704E-6</v>
      </c>
      <c r="C122" s="1">
        <f t="shared" si="6"/>
        <v>420.00357485111937</v>
      </c>
      <c r="D122" s="1">
        <f t="shared" si="7"/>
        <v>19.668392355083927</v>
      </c>
      <c r="E122" s="1">
        <f t="shared" si="8"/>
        <v>714.00607724690315</v>
      </c>
      <c r="F122" s="1">
        <f t="shared" si="9"/>
        <v>26.071710017661669</v>
      </c>
      <c r="G122" s="1">
        <f>'WSO-UV_WUVS_130nm'!K132</f>
        <v>2.732082034646576</v>
      </c>
      <c r="H122" s="1"/>
      <c r="I122" s="1"/>
      <c r="J122" s="1"/>
      <c r="K122" s="1"/>
      <c r="L122" s="1"/>
      <c r="M122" s="1"/>
      <c r="N122" s="1"/>
    </row>
    <row r="123" spans="1:14">
      <c r="A123" s="1">
        <v>7.4999999999999998E-17</v>
      </c>
      <c r="B123" s="1">
        <f t="shared" si="5"/>
        <v>4.9233676005708472E-6</v>
      </c>
      <c r="C123" s="1">
        <f t="shared" si="6"/>
        <v>393.75335142292437</v>
      </c>
      <c r="D123" s="1">
        <f t="shared" si="7"/>
        <v>18.993920993604185</v>
      </c>
      <c r="E123" s="1">
        <f t="shared" si="8"/>
        <v>669.38069741897164</v>
      </c>
      <c r="F123" s="1">
        <f t="shared" si="9"/>
        <v>25.20353156113131</v>
      </c>
      <c r="G123" s="1">
        <f>'WSO-UV_WUVS_130nm'!K133</f>
        <v>2.5633105433734591</v>
      </c>
      <c r="H123" s="1"/>
      <c r="I123" s="1"/>
      <c r="J123" s="1"/>
      <c r="K123" s="1"/>
      <c r="L123" s="1"/>
      <c r="M123" s="1"/>
      <c r="N123" s="1"/>
    </row>
    <row r="124" spans="1:14">
      <c r="A124" s="1">
        <v>7.0000000000000003E-17</v>
      </c>
      <c r="B124" s="1">
        <f t="shared" si="5"/>
        <v>4.595143093866124E-6</v>
      </c>
      <c r="C124" s="1">
        <f t="shared" si="6"/>
        <v>367.50312799472943</v>
      </c>
      <c r="D124" s="1">
        <f t="shared" si="7"/>
        <v>18.29521792727779</v>
      </c>
      <c r="E124" s="1">
        <f t="shared" si="8"/>
        <v>624.75531759104024</v>
      </c>
      <c r="F124" s="1">
        <f t="shared" si="9"/>
        <v>24.304664352704354</v>
      </c>
      <c r="G124" s="1">
        <f>'WSO-UV_WUVS_130nm'!K134</f>
        <v>2.3942788754584399</v>
      </c>
      <c r="H124" s="1"/>
      <c r="I124" s="1"/>
      <c r="J124" s="1"/>
      <c r="K124" s="1"/>
      <c r="L124" s="1"/>
      <c r="M124" s="1"/>
      <c r="N124" s="1"/>
    </row>
    <row r="125" spans="1:14">
      <c r="A125" s="1">
        <v>6.4999999999999996E-17</v>
      </c>
      <c r="B125" s="1">
        <f t="shared" si="5"/>
        <v>4.2669185871614E-6</v>
      </c>
      <c r="C125" s="1">
        <f t="shared" si="6"/>
        <v>341.25290456653443</v>
      </c>
      <c r="D125" s="1">
        <f t="shared" si="7"/>
        <v>17.569526623974902</v>
      </c>
      <c r="E125" s="1">
        <f t="shared" si="8"/>
        <v>580.1299377631085</v>
      </c>
      <c r="F125" s="1">
        <f t="shared" si="9"/>
        <v>23.371636446109505</v>
      </c>
      <c r="G125" s="1">
        <f>'WSO-UV_WUVS_130nm'!K135</f>
        <v>2.2249861232667487</v>
      </c>
      <c r="H125" s="1"/>
      <c r="I125" s="1"/>
      <c r="J125" s="1"/>
      <c r="K125" s="1"/>
      <c r="L125" s="1"/>
      <c r="M125" s="1"/>
      <c r="N125" s="1"/>
    </row>
    <row r="126" spans="1:14">
      <c r="A126" s="1">
        <v>6.0000000000000001E-17</v>
      </c>
      <c r="B126" s="1">
        <f t="shared" si="5"/>
        <v>3.9386940804566776E-6</v>
      </c>
      <c r="C126" s="1">
        <f t="shared" si="6"/>
        <v>315.00268113833954</v>
      </c>
      <c r="D126" s="1">
        <f t="shared" si="7"/>
        <v>16.813535042545606</v>
      </c>
      <c r="E126" s="1">
        <f t="shared" si="8"/>
        <v>535.50455793517722</v>
      </c>
      <c r="F126" s="1">
        <f t="shared" si="9"/>
        <v>22.40027357834791</v>
      </c>
      <c r="G126" s="1">
        <f>'WSO-UV_WUVS_130nm'!K136</f>
        <v>2.055431374460543</v>
      </c>
      <c r="H126" s="1"/>
      <c r="I126" s="1"/>
      <c r="J126" s="1"/>
      <c r="K126" s="1"/>
      <c r="L126" s="1"/>
      <c r="M126" s="1"/>
      <c r="N126" s="1"/>
    </row>
    <row r="127" spans="1:14">
      <c r="A127" s="1">
        <v>5.5E-17</v>
      </c>
      <c r="B127" s="1">
        <f t="shared" si="5"/>
        <v>3.6104695737519544E-6</v>
      </c>
      <c r="C127" s="1">
        <f t="shared" si="6"/>
        <v>288.7524577101446</v>
      </c>
      <c r="D127" s="1">
        <f t="shared" si="7"/>
        <v>16.023207844653655</v>
      </c>
      <c r="E127" s="1">
        <f t="shared" si="8"/>
        <v>490.87917810724588</v>
      </c>
      <c r="F127" s="1">
        <f t="shared" si="9"/>
        <v>21.385484448059991</v>
      </c>
      <c r="G127" s="1">
        <f>'WSO-UV_WUVS_130nm'!K137</f>
        <v>1.8856137119668599</v>
      </c>
      <c r="H127" s="1"/>
      <c r="I127" s="1"/>
      <c r="J127" s="1"/>
      <c r="K127" s="1"/>
      <c r="L127" s="1"/>
      <c r="M127" s="1"/>
      <c r="N127" s="1"/>
    </row>
    <row r="128" spans="1:14">
      <c r="A128" s="1">
        <v>4.9999999999999999E-17</v>
      </c>
      <c r="B128" s="1">
        <f t="shared" si="5"/>
        <v>3.2822450670472312E-6</v>
      </c>
      <c r="C128" s="1">
        <f t="shared" si="6"/>
        <v>262.5022342819496</v>
      </c>
      <c r="D128" s="1">
        <f t="shared" si="7"/>
        <v>15.193548312592437</v>
      </c>
      <c r="E128" s="1">
        <f t="shared" si="8"/>
        <v>446.25379827931437</v>
      </c>
      <c r="F128" s="1">
        <f t="shared" si="9"/>
        <v>20.320954207724551</v>
      </c>
      <c r="G128" s="1">
        <f>'WSO-UV_WUVS_130nm'!K138</f>
        <v>1.7155322139452911</v>
      </c>
      <c r="H128" s="1"/>
      <c r="I128" s="1"/>
      <c r="J128" s="1"/>
      <c r="K128" s="1"/>
      <c r="L128" s="1"/>
      <c r="M128" s="1"/>
      <c r="N128" s="1"/>
    </row>
    <row r="129" spans="1:14">
      <c r="A129" s="1">
        <v>4.4999999999999998E-17</v>
      </c>
      <c r="B129" s="1">
        <f t="shared" si="5"/>
        <v>2.954020560342508E-6</v>
      </c>
      <c r="C129" s="1">
        <f t="shared" si="6"/>
        <v>236.25201085375463</v>
      </c>
      <c r="D129" s="1">
        <f t="shared" si="7"/>
        <v>14.318250810502597</v>
      </c>
      <c r="E129" s="1">
        <f t="shared" si="8"/>
        <v>401.62841845138297</v>
      </c>
      <c r="F129" s="1">
        <f t="shared" si="9"/>
        <v>19.198693572932203</v>
      </c>
      <c r="G129" s="1">
        <f>'WSO-UV_WUVS_130nm'!K139</f>
        <v>1.5451859537553945</v>
      </c>
      <c r="H129" s="1"/>
      <c r="I129" s="1"/>
      <c r="J129" s="1"/>
      <c r="K129" s="1"/>
      <c r="L129" s="1"/>
      <c r="M129" s="1"/>
      <c r="N129" s="1"/>
    </row>
    <row r="130" spans="1:14">
      <c r="A130" s="1">
        <v>4.0000000000000003E-17</v>
      </c>
      <c r="B130" s="1">
        <f t="shared" si="5"/>
        <v>2.6257960536377852E-6</v>
      </c>
      <c r="C130" s="1">
        <f t="shared" si="6"/>
        <v>210.00178742555968</v>
      </c>
      <c r="D130" s="1">
        <f t="shared" si="7"/>
        <v>13.389176293916426</v>
      </c>
      <c r="E130" s="1">
        <f t="shared" si="8"/>
        <v>357.00303862345157</v>
      </c>
      <c r="F130" s="1">
        <f t="shared" si="9"/>
        <v>18.008351480628665</v>
      </c>
      <c r="G130" s="1">
        <f>'WSO-UV_WUVS_130nm'!K140</f>
        <v>1.3745739999238298</v>
      </c>
      <c r="H130" s="1"/>
      <c r="I130" s="1"/>
      <c r="J130" s="1"/>
      <c r="K130" s="1"/>
      <c r="L130" s="1"/>
      <c r="M130" s="1"/>
      <c r="N130" s="1"/>
    </row>
    <row r="131" spans="1:14">
      <c r="A131" s="1">
        <v>3.5000000000000002E-17</v>
      </c>
      <c r="B131" s="1">
        <f t="shared" si="5"/>
        <v>2.297571546933062E-6</v>
      </c>
      <c r="C131" s="1">
        <f t="shared" si="6"/>
        <v>183.75156399736471</v>
      </c>
      <c r="D131" s="1">
        <f t="shared" si="7"/>
        <v>12.395528748096451</v>
      </c>
      <c r="E131" s="1">
        <f t="shared" si="8"/>
        <v>312.37765879552012</v>
      </c>
      <c r="F131" s="1">
        <f t="shared" si="9"/>
        <v>16.736121401773147</v>
      </c>
      <c r="G131" s="1">
        <f>'WSO-UV_WUVS_130nm'!K141</f>
        <v>1.2036954161112083</v>
      </c>
      <c r="H131" s="1"/>
      <c r="I131" s="1"/>
      <c r="J131" s="1"/>
      <c r="K131" s="1"/>
      <c r="L131" s="1"/>
      <c r="M131" s="1"/>
      <c r="N131" s="1"/>
    </row>
    <row r="132" spans="1:14">
      <c r="A132" s="1">
        <v>3.0000000000000001E-17</v>
      </c>
      <c r="B132" s="1">
        <f t="shared" si="5"/>
        <v>1.9693470402283388E-6</v>
      </c>
      <c r="C132" s="1">
        <f t="shared" si="6"/>
        <v>157.50134056916977</v>
      </c>
      <c r="D132" s="1">
        <f t="shared" si="7"/>
        <v>11.322498336788</v>
      </c>
      <c r="E132" s="1">
        <f t="shared" si="8"/>
        <v>267.75227896758861</v>
      </c>
      <c r="F132" s="1">
        <f t="shared" si="9"/>
        <v>15.362907069388264</v>
      </c>
      <c r="G132" s="1">
        <f>'WSO-UV_WUVS_130nm'!K142</f>
        <v>1.0325492610786706</v>
      </c>
      <c r="H132" s="1"/>
      <c r="I132" s="1"/>
      <c r="J132" s="1"/>
      <c r="K132" s="1"/>
      <c r="L132" s="1"/>
      <c r="M132" s="1"/>
      <c r="N132" s="1"/>
    </row>
    <row r="133" spans="1:14">
      <c r="A133" s="1">
        <v>2.4999999999999999E-17</v>
      </c>
      <c r="B133" s="1">
        <f t="shared" si="5"/>
        <v>1.6411225335236156E-6</v>
      </c>
      <c r="C133" s="1">
        <f t="shared" si="6"/>
        <v>131.2511171409748</v>
      </c>
      <c r="D133" s="14">
        <f t="shared" si="7"/>
        <v>10.148888821279932</v>
      </c>
      <c r="E133" s="1">
        <f t="shared" si="8"/>
        <v>223.12689913965718</v>
      </c>
      <c r="F133" s="1">
        <f t="shared" si="9"/>
        <v>13.861035663401218</v>
      </c>
      <c r="G133" s="1">
        <f>'WSO-UV_WUVS_130nm'!K143</f>
        <v>0.86113458865417536</v>
      </c>
      <c r="H133" s="1"/>
      <c r="I133" s="1"/>
      <c r="J133" s="1"/>
      <c r="K133" s="1"/>
      <c r="L133" s="1"/>
      <c r="M133" s="1"/>
      <c r="N133" s="1"/>
    </row>
    <row r="134" spans="1:14">
      <c r="A134" s="1">
        <v>2.0000000000000001E-17</v>
      </c>
      <c r="B134" s="1">
        <f t="shared" si="5"/>
        <v>1.3128980268188926E-6</v>
      </c>
      <c r="C134" s="1">
        <f t="shared" si="6"/>
        <v>105.00089371277984</v>
      </c>
      <c r="D134" s="1">
        <f t="shared" si="7"/>
        <v>8.8426424113847713</v>
      </c>
      <c r="E134" s="1">
        <f t="shared" si="8"/>
        <v>178.50151931172579</v>
      </c>
      <c r="F134" s="1">
        <f t="shared" si="9"/>
        <v>12.187839618183627</v>
      </c>
      <c r="G134" s="1">
        <f>'WSO-UV_WUVS_130nm'!K144</f>
        <v>0.68945044769849961</v>
      </c>
      <c r="H134" s="1"/>
      <c r="I134" s="1"/>
      <c r="J134" s="1"/>
      <c r="K134" s="1"/>
      <c r="L134" s="1"/>
      <c r="M134" s="1"/>
      <c r="N134" s="1"/>
    </row>
    <row r="135" spans="1:14">
      <c r="A135" s="1">
        <v>1.5E-17</v>
      </c>
      <c r="B135" s="1">
        <f t="shared" si="5"/>
        <v>9.846735201141694E-7</v>
      </c>
      <c r="C135" s="1">
        <f t="shared" si="6"/>
        <v>78.750670284584885</v>
      </c>
      <c r="D135" s="1">
        <f t="shared" si="7"/>
        <v>7.3515115425435758</v>
      </c>
      <c r="E135" s="1">
        <f t="shared" si="8"/>
        <v>133.8761394837943</v>
      </c>
      <c r="F135" s="14">
        <f t="shared" si="9"/>
        <v>10.271573753929518</v>
      </c>
      <c r="G135" s="1">
        <f>'WSO-UV_WUVS_130nm'!K145</f>
        <v>0.51749588207095487</v>
      </c>
      <c r="H135" s="1"/>
      <c r="I135" s="1"/>
      <c r="J135" s="1"/>
      <c r="K135" s="1"/>
      <c r="L135" s="1"/>
      <c r="M135" s="1"/>
      <c r="N135" s="1"/>
    </row>
    <row r="136" spans="1:14">
      <c r="A136" s="1">
        <v>1.0000000000000001E-17</v>
      </c>
      <c r="B136" s="1">
        <f t="shared" si="5"/>
        <v>6.564490134094463E-7</v>
      </c>
      <c r="C136" s="1">
        <f t="shared" si="6"/>
        <v>52.500446856389921</v>
      </c>
      <c r="D136" s="1">
        <f t="shared" si="7"/>
        <v>5.5807204474139311</v>
      </c>
      <c r="E136" s="1">
        <f t="shared" si="8"/>
        <v>89.250759655862893</v>
      </c>
      <c r="F136" s="1">
        <f t="shared" si="9"/>
        <v>7.974835564941178</v>
      </c>
      <c r="G136" s="1">
        <f>'WSO-UV_WUVS_130nm'!K146</f>
        <v>0.34526993059480887</v>
      </c>
      <c r="H136" s="1"/>
      <c r="I136" s="1"/>
      <c r="J136" s="1"/>
      <c r="K136" s="1"/>
      <c r="L136" s="1"/>
      <c r="M136" s="1"/>
      <c r="N136" s="1"/>
    </row>
    <row r="137" spans="1:14">
      <c r="A137" s="1">
        <v>9.5000000000000003E-18</v>
      </c>
      <c r="B137" s="1">
        <f t="shared" si="5"/>
        <v>6.2362656273897394E-7</v>
      </c>
      <c r="C137" s="1">
        <f t="shared" si="6"/>
        <v>49.875424513570415</v>
      </c>
      <c r="D137" s="1">
        <f t="shared" si="7"/>
        <v>5.3821048825289397</v>
      </c>
      <c r="E137" s="1">
        <f t="shared" si="8"/>
        <v>84.788221673069728</v>
      </c>
      <c r="F137" s="1">
        <f t="shared" si="9"/>
        <v>7.7147744394629152</v>
      </c>
      <c r="G137" s="1">
        <f>'WSO-UV_WUVS_130nm'!K147</f>
        <v>0.32803237206910152</v>
      </c>
      <c r="H137" s="1"/>
      <c r="I137" s="1"/>
      <c r="J137" s="1"/>
      <c r="K137" s="1"/>
      <c r="L137" s="1"/>
      <c r="M137" s="1"/>
      <c r="N137" s="1"/>
    </row>
    <row r="138" spans="1:14">
      <c r="A138" s="1">
        <v>8.9999999999999999E-18</v>
      </c>
      <c r="B138" s="1">
        <f t="shared" si="5"/>
        <v>5.9080411206850168E-7</v>
      </c>
      <c r="C138" s="1">
        <f t="shared" si="6"/>
        <v>47.250402170750924</v>
      </c>
      <c r="D138" s="1">
        <f t="shared" si="7"/>
        <v>5.1785996691801426</v>
      </c>
      <c r="E138" s="1">
        <f t="shared" si="8"/>
        <v>80.325683690276605</v>
      </c>
      <c r="F138" s="1">
        <f t="shared" si="9"/>
        <v>7.4476048119860563</v>
      </c>
      <c r="G138" s="1">
        <f>'WSO-UV_WUVS_130nm'!K148</f>
        <v>0.31079208905759714</v>
      </c>
      <c r="H138" s="1"/>
      <c r="I138" s="1"/>
      <c r="J138" s="1"/>
      <c r="K138" s="1"/>
      <c r="L138" s="1"/>
      <c r="M138" s="1"/>
      <c r="N138" s="1"/>
    </row>
    <row r="139" spans="1:14">
      <c r="A139" s="1">
        <v>8.4999999999999995E-18</v>
      </c>
      <c r="B139" s="1">
        <f t="shared" si="5"/>
        <v>5.5798166139802932E-7</v>
      </c>
      <c r="C139" s="1">
        <f t="shared" si="6"/>
        <v>44.625379827931425</v>
      </c>
      <c r="D139" s="1">
        <f t="shared" si="7"/>
        <v>4.969881558512661</v>
      </c>
      <c r="E139" s="1">
        <f t="shared" si="8"/>
        <v>75.86314570748344</v>
      </c>
      <c r="F139" s="1">
        <f t="shared" si="9"/>
        <v>7.1727770674822739</v>
      </c>
      <c r="G139" s="1">
        <f>'WSO-UV_WUVS_130nm'!K149</f>
        <v>0.29354908059073703</v>
      </c>
      <c r="H139" s="1"/>
      <c r="I139" s="1"/>
      <c r="J139" s="1"/>
      <c r="K139" s="1"/>
      <c r="L139" s="1"/>
      <c r="M139" s="1"/>
      <c r="N139" s="1"/>
    </row>
    <row r="140" spans="1:14">
      <c r="A140" s="1">
        <v>8.0000000000000006E-18</v>
      </c>
      <c r="B140" s="1">
        <f t="shared" si="5"/>
        <v>5.2515921072755706E-7</v>
      </c>
      <c r="C140" s="1">
        <f t="shared" si="6"/>
        <v>42.000357485111941</v>
      </c>
      <c r="D140" s="1">
        <f t="shared" si="7"/>
        <v>4.7555931228576345</v>
      </c>
      <c r="E140" s="1">
        <f t="shared" si="8"/>
        <v>71.400607724690317</v>
      </c>
      <c r="F140" s="1">
        <f t="shared" si="9"/>
        <v>6.8896718753275907</v>
      </c>
      <c r="G140" s="1">
        <f>'WSO-UV_WUVS_130nm'!K150</f>
        <v>0.27630334569845189</v>
      </c>
      <c r="H140" s="1"/>
      <c r="I140" s="1"/>
      <c r="J140" s="1"/>
      <c r="K140" s="1"/>
      <c r="L140" s="1"/>
      <c r="M140" s="1"/>
      <c r="N140" s="1"/>
    </row>
    <row r="141" spans="1:14">
      <c r="A141" s="1">
        <v>7.5000000000000002E-18</v>
      </c>
      <c r="B141" s="1">
        <f t="shared" si="5"/>
        <v>4.923367600570847E-7</v>
      </c>
      <c r="C141" s="1">
        <f t="shared" si="6"/>
        <v>39.375335142292442</v>
      </c>
      <c r="D141" s="1">
        <f t="shared" si="7"/>
        <v>4.5353377540167177</v>
      </c>
      <c r="E141" s="1">
        <f t="shared" si="8"/>
        <v>66.938069741897152</v>
      </c>
      <c r="F141" s="1">
        <f t="shared" si="9"/>
        <v>6.5975877403980903</v>
      </c>
      <c r="G141" s="1">
        <f>'WSO-UV_WUVS_130nm'!K151</f>
        <v>0.25905488341016042</v>
      </c>
      <c r="H141" s="1"/>
      <c r="I141" s="1"/>
      <c r="J141" s="1"/>
      <c r="K141" s="1"/>
      <c r="L141" s="1"/>
      <c r="M141" s="1"/>
      <c r="N141" s="1"/>
    </row>
    <row r="142" spans="1:14">
      <c r="A142" s="1">
        <v>6.9999999999999997E-18</v>
      </c>
      <c r="B142" s="1">
        <f t="shared" si="5"/>
        <v>4.5951430938661234E-7</v>
      </c>
      <c r="C142" s="1">
        <f t="shared" si="6"/>
        <v>36.750312799472937</v>
      </c>
      <c r="D142" s="1">
        <f t="shared" si="7"/>
        <v>4.3086737163171218</v>
      </c>
      <c r="E142" s="1">
        <f t="shared" si="8"/>
        <v>62.475531759104015</v>
      </c>
      <c r="F142" s="1">
        <f t="shared" si="9"/>
        <v>6.2957256434778976</v>
      </c>
      <c r="G142" s="1">
        <f>'WSO-UV_WUVS_130nm'!K152</f>
        <v>0.24180369275476962</v>
      </c>
      <c r="H142" s="1"/>
      <c r="I142" s="1"/>
      <c r="J142" s="1"/>
      <c r="K142" s="1"/>
      <c r="L142" s="1"/>
      <c r="M142" s="1"/>
      <c r="N142" s="1"/>
    </row>
    <row r="143" spans="1:14">
      <c r="A143" s="1">
        <v>6.5000000000000001E-18</v>
      </c>
      <c r="B143" s="1">
        <f t="shared" si="5"/>
        <v>4.2669185871614008E-7</v>
      </c>
      <c r="C143" s="1">
        <f t="shared" si="6"/>
        <v>34.125290456653445</v>
      </c>
      <c r="D143" s="1">
        <f t="shared" si="7"/>
        <v>4.0751070329800498</v>
      </c>
      <c r="E143" s="1">
        <f t="shared" si="8"/>
        <v>58.012993776310871</v>
      </c>
      <c r="F143" s="1">
        <f t="shared" si="9"/>
        <v>5.9831699165229937</v>
      </c>
      <c r="G143" s="1">
        <f>'WSO-UV_WUVS_130nm'!K153</f>
        <v>0.22454977276067364</v>
      </c>
      <c r="H143" s="1"/>
      <c r="I143" s="1"/>
      <c r="J143" s="1"/>
      <c r="K143" s="1"/>
      <c r="L143" s="1"/>
      <c r="M143" s="1"/>
      <c r="N143" s="1"/>
    </row>
    <row r="144" spans="1:14">
      <c r="A144" s="1">
        <v>5.9999999999999997E-18</v>
      </c>
      <c r="B144" s="1">
        <f t="shared" si="5"/>
        <v>3.9386940804566772E-7</v>
      </c>
      <c r="C144" s="1">
        <f t="shared" si="6"/>
        <v>31.500268113833943</v>
      </c>
      <c r="D144" s="1">
        <f t="shared" si="7"/>
        <v>3.8340829217227843</v>
      </c>
      <c r="E144" s="1">
        <f t="shared" si="8"/>
        <v>53.55045579351772</v>
      </c>
      <c r="F144" s="1">
        <f t="shared" si="9"/>
        <v>5.6588641917967237</v>
      </c>
      <c r="G144" s="1">
        <f>'WSO-UV_WUVS_130nm'!K154</f>
        <v>0.20729312245575426</v>
      </c>
      <c r="H144" s="1"/>
      <c r="I144" s="1"/>
      <c r="J144" s="1"/>
      <c r="K144" s="1"/>
      <c r="L144" s="1"/>
      <c r="M144" s="1"/>
      <c r="N144" s="1"/>
    </row>
    <row r="145" spans="1:14">
      <c r="A145" s="1">
        <v>5.5E-18</v>
      </c>
      <c r="B145" s="1">
        <f t="shared" si="5"/>
        <v>3.6104695737519546E-7</v>
      </c>
      <c r="C145" s="1">
        <f t="shared" si="6"/>
        <v>28.875245771014452</v>
      </c>
      <c r="D145" s="1">
        <f t="shared" si="7"/>
        <v>3.584975411917497</v>
      </c>
      <c r="E145" s="1">
        <f t="shared" si="8"/>
        <v>49.087917810724591</v>
      </c>
      <c r="F145" s="1">
        <f t="shared" si="9"/>
        <v>5.3215808254474339</v>
      </c>
      <c r="G145" s="1">
        <f>'WSO-UV_WUVS_130nm'!K155</f>
        <v>0.19003374086738015</v>
      </c>
      <c r="H145" s="1"/>
      <c r="I145" s="1"/>
      <c r="J145" s="1"/>
      <c r="K145" s="1"/>
      <c r="L145" s="1"/>
      <c r="M145" s="1"/>
      <c r="N145" s="1"/>
    </row>
    <row r="146" spans="1:14">
      <c r="A146" s="1">
        <v>5.0000000000000004E-18</v>
      </c>
      <c r="B146" s="1">
        <f t="shared" si="5"/>
        <v>3.2822450670472315E-7</v>
      </c>
      <c r="C146" s="1">
        <f t="shared" si="6"/>
        <v>26.25022342819496</v>
      </c>
      <c r="D146" s="1">
        <f t="shared" si="7"/>
        <v>3.3270746628505292</v>
      </c>
      <c r="E146" s="1">
        <f t="shared" si="8"/>
        <v>44.625379827931447</v>
      </c>
      <c r="F146" s="1">
        <f t="shared" si="9"/>
        <v>4.9698815585126628</v>
      </c>
      <c r="G146" s="1">
        <f>'WSO-UV_WUVS_130nm'!K156</f>
        <v>0.17277162702240642</v>
      </c>
      <c r="H146" s="1"/>
      <c r="I146" s="1"/>
      <c r="J146" s="1"/>
      <c r="K146" s="1"/>
      <c r="L146" s="1"/>
      <c r="M146" s="1"/>
      <c r="N146" s="1"/>
    </row>
    <row r="147" spans="1:14">
      <c r="A147" s="1">
        <v>4.4999999999999999E-18</v>
      </c>
      <c r="B147" s="1">
        <f t="shared" si="5"/>
        <v>2.9540205603425084E-7</v>
      </c>
      <c r="C147" s="1">
        <f t="shared" si="6"/>
        <v>23.625201085375462</v>
      </c>
      <c r="D147" s="1">
        <f t="shared" si="7"/>
        <v>3.0595713487435714</v>
      </c>
      <c r="E147" s="1">
        <f t="shared" si="8"/>
        <v>40.162841845138303</v>
      </c>
      <c r="F147" s="1">
        <f t="shared" si="9"/>
        <v>4.6020662341994436</v>
      </c>
      <c r="G147" s="1">
        <f>'WSO-UV_WUVS_130nm'!K157</f>
        <v>0.15550677994717432</v>
      </c>
      <c r="H147" s="1"/>
      <c r="I147" s="1"/>
      <c r="J147" s="1"/>
      <c r="K147" s="1"/>
      <c r="L147" s="1"/>
      <c r="M147" s="1"/>
      <c r="N147" s="1"/>
    </row>
    <row r="148" spans="1:14">
      <c r="A148" s="1">
        <v>4.0000000000000003E-18</v>
      </c>
      <c r="B148" s="1">
        <f t="shared" si="5"/>
        <v>2.6257960536377853E-7</v>
      </c>
      <c r="C148" s="1">
        <f t="shared" si="6"/>
        <v>21.000178742555971</v>
      </c>
      <c r="D148" s="1">
        <f t="shared" si="7"/>
        <v>2.7815372636499074</v>
      </c>
      <c r="E148" s="1">
        <f t="shared" si="8"/>
        <v>35.700303862345159</v>
      </c>
      <c r="F148" s="1">
        <f t="shared" si="9"/>
        <v>4.2161049640147361</v>
      </c>
      <c r="G148" s="1">
        <f>'WSO-UV_WUVS_130nm'!K158</f>
        <v>0.13823919866751117</v>
      </c>
      <c r="H148" s="1"/>
      <c r="I148" s="1"/>
      <c r="J148" s="1"/>
      <c r="K148" s="1"/>
      <c r="L148" s="1"/>
      <c r="M148" s="1"/>
      <c r="N148" s="1"/>
    </row>
    <row r="149" spans="1:14">
      <c r="A149" s="1">
        <v>3.4999999999999999E-18</v>
      </c>
      <c r="B149" s="1">
        <f t="shared" ref="B149:B190" si="10">A149*$C$4/($C$2*$C$3/1304*10000000000)</f>
        <v>2.2975715469330617E-7</v>
      </c>
      <c r="C149" s="1">
        <f t="shared" ref="C149:C190" si="11">B149*$C$11*$C$15*3600</f>
        <v>18.375156399736468</v>
      </c>
      <c r="D149" s="1">
        <f t="shared" ref="D149:D190" si="12">C149/SQRT(C149+($C$16)*2)</f>
        <v>2.4919010018511125</v>
      </c>
      <c r="E149" s="1">
        <f t="shared" ref="E149:E190" si="13">B149*$D$11*$C$15*3600</f>
        <v>31.237765879552008</v>
      </c>
      <c r="F149" s="1">
        <f t="shared" ref="F149:F190" si="14">E149/SQRT(E149+($C$16)*2)</f>
        <v>3.8095469324959117</v>
      </c>
      <c r="G149" s="1">
        <f>'WSO-UV_WUVS_130nm'!K159</f>
        <v>0.12096888220872966</v>
      </c>
      <c r="H149" s="1"/>
      <c r="I149" s="1"/>
      <c r="J149" s="1"/>
      <c r="K149" s="1"/>
      <c r="L149" s="1"/>
      <c r="M149" s="1"/>
      <c r="N149" s="1"/>
    </row>
    <row r="150" spans="1:14">
      <c r="A150" s="1">
        <v>2.9999999999999998E-18</v>
      </c>
      <c r="B150" s="1">
        <f t="shared" si="10"/>
        <v>1.9693470402283386E-7</v>
      </c>
      <c r="C150" s="1">
        <f t="shared" si="11"/>
        <v>15.750134056916972</v>
      </c>
      <c r="D150" s="1">
        <f t="shared" si="12"/>
        <v>2.1894171469890664</v>
      </c>
      <c r="E150" s="1">
        <f t="shared" si="13"/>
        <v>26.77522789675886</v>
      </c>
      <c r="F150" s="1">
        <f t="shared" si="14"/>
        <v>3.3793955432423948</v>
      </c>
      <c r="G150" s="1">
        <f>'WSO-UV_WUVS_130nm'!K160</f>
        <v>0.10369582959562759</v>
      </c>
      <c r="H150" s="1"/>
      <c r="I150" s="1"/>
      <c r="J150" s="1"/>
      <c r="K150" s="1"/>
      <c r="L150" s="1"/>
      <c r="M150" s="1"/>
      <c r="N150" s="1"/>
    </row>
    <row r="151" spans="1:14">
      <c r="A151" s="1">
        <v>2.5000000000000002E-18</v>
      </c>
      <c r="B151" s="1">
        <f t="shared" si="10"/>
        <v>1.6411225335236158E-7</v>
      </c>
      <c r="C151" s="1">
        <f t="shared" si="11"/>
        <v>13.12511171409748</v>
      </c>
      <c r="D151" s="1">
        <f t="shared" si="12"/>
        <v>1.87262679398265</v>
      </c>
      <c r="E151" s="1">
        <f t="shared" si="13"/>
        <v>22.312689913965723</v>
      </c>
      <c r="F151" s="1">
        <f t="shared" si="14"/>
        <v>2.9219339343523343</v>
      </c>
      <c r="G151" s="1">
        <f>'WSO-UV_WUVS_130nm'!K161</f>
        <v>8.6420039852487696E-2</v>
      </c>
      <c r="H151" s="1"/>
      <c r="I151" s="1"/>
      <c r="J151" s="1"/>
      <c r="K151" s="1"/>
      <c r="L151" s="1"/>
      <c r="M151" s="1"/>
      <c r="N151" s="1"/>
    </row>
    <row r="152" spans="1:14">
      <c r="A152" s="1">
        <v>2.0000000000000001E-18</v>
      </c>
      <c r="B152" s="1">
        <f t="shared" si="10"/>
        <v>1.3128980268188927E-7</v>
      </c>
      <c r="C152" s="1">
        <f t="shared" si="11"/>
        <v>10.500089371277985</v>
      </c>
      <c r="D152" s="1">
        <f t="shared" si="12"/>
        <v>1.5398063340396273</v>
      </c>
      <c r="E152" s="1">
        <f t="shared" si="13"/>
        <v>17.850151931172579</v>
      </c>
      <c r="F152" s="1">
        <f t="shared" si="14"/>
        <v>2.4324753641874777</v>
      </c>
      <c r="G152" s="1">
        <f>'WSO-UV_WUVS_130nm'!K162</f>
        <v>6.9141512003076819E-2</v>
      </c>
      <c r="H152" s="1"/>
      <c r="I152" s="1"/>
      <c r="J152" s="1"/>
      <c r="K152" s="1"/>
      <c r="L152" s="1"/>
      <c r="M152" s="1"/>
      <c r="N152" s="1"/>
    </row>
    <row r="153" spans="1:14">
      <c r="A153" s="1">
        <v>1.4999999999999999E-18</v>
      </c>
      <c r="B153" s="1">
        <f t="shared" si="10"/>
        <v>9.8467352011416929E-8</v>
      </c>
      <c r="C153" s="1">
        <f t="shared" si="11"/>
        <v>7.8750670284584858</v>
      </c>
      <c r="D153" s="1">
        <f t="shared" si="12"/>
        <v>1.1889000970069767</v>
      </c>
      <c r="E153" s="1">
        <f t="shared" si="13"/>
        <v>13.38761394837943</v>
      </c>
      <c r="F153" s="1">
        <f t="shared" si="14"/>
        <v>1.9049963942694284</v>
      </c>
      <c r="G153" s="1">
        <f>'WSO-UV_WUVS_130nm'!K163</f>
        <v>5.1860245070646183E-2</v>
      </c>
      <c r="H153" s="1"/>
      <c r="I153" s="1"/>
      <c r="J153" s="1"/>
      <c r="K153" s="1"/>
      <c r="L153" s="1"/>
      <c r="M153" s="1"/>
      <c r="N153" s="1"/>
    </row>
    <row r="154" spans="1:14">
      <c r="A154" s="1">
        <v>9.9999999999999892E-19</v>
      </c>
      <c r="B154" s="1">
        <f t="shared" si="10"/>
        <v>6.5644901340944553E-8</v>
      </c>
      <c r="C154" s="1">
        <f t="shared" si="11"/>
        <v>5.2500446856389864</v>
      </c>
      <c r="D154" s="1">
        <f t="shared" si="12"/>
        <v>0.81743040615790918</v>
      </c>
      <c r="E154" s="1">
        <f t="shared" si="13"/>
        <v>8.925075965586279</v>
      </c>
      <c r="F154" s="1">
        <f t="shared" si="14"/>
        <v>1.3315807593921978</v>
      </c>
      <c r="G154" s="1">
        <f>'WSO-UV_WUVS_130nm'!K164</f>
        <v>3.4576238077930539E-2</v>
      </c>
      <c r="H154" s="1"/>
      <c r="I154" s="1"/>
      <c r="J154" s="1"/>
      <c r="K154" s="1"/>
      <c r="L154" s="1"/>
      <c r="M154" s="1"/>
      <c r="N154" s="1"/>
    </row>
    <row r="155" spans="1:14">
      <c r="A155" s="1">
        <v>9.4999999999999995E-19</v>
      </c>
      <c r="B155" s="1">
        <f t="shared" si="10"/>
        <v>6.2362656273897391E-8</v>
      </c>
      <c r="C155" s="1">
        <f t="shared" si="11"/>
        <v>4.9875424513570419</v>
      </c>
      <c r="D155" s="1">
        <f t="shared" si="12"/>
        <v>0.77904162923556708</v>
      </c>
      <c r="E155" s="1">
        <f t="shared" si="13"/>
        <v>8.4788221673069746</v>
      </c>
      <c r="F155" s="1">
        <f t="shared" si="14"/>
        <v>1.2713317333766088</v>
      </c>
      <c r="G155" s="1">
        <f>'WSO-UV_WUVS_130nm'!K165</f>
        <v>3.2847686637703218E-2</v>
      </c>
      <c r="H155" s="1"/>
      <c r="I155" s="1"/>
      <c r="J155" s="1"/>
      <c r="K155" s="1"/>
      <c r="L155" s="1"/>
      <c r="M155" s="1"/>
      <c r="N155" s="1"/>
    </row>
    <row r="156" spans="1:14">
      <c r="A156" s="1">
        <v>9.0000000000000003E-19</v>
      </c>
      <c r="B156" s="1">
        <f t="shared" si="10"/>
        <v>5.9080411206850163E-8</v>
      </c>
      <c r="C156" s="1">
        <f t="shared" si="11"/>
        <v>4.7250402170750929</v>
      </c>
      <c r="D156" s="1">
        <f t="shared" si="12"/>
        <v>0.74041421562010212</v>
      </c>
      <c r="E156" s="1">
        <f t="shared" si="13"/>
        <v>8.0325683690276595</v>
      </c>
      <c r="F156" s="1">
        <f t="shared" si="14"/>
        <v>1.2105073247178078</v>
      </c>
      <c r="G156" s="1">
        <f>'WSO-UV_WUVS_130nm'!K166</f>
        <v>3.111910778611756E-2</v>
      </c>
      <c r="H156" s="1"/>
      <c r="I156" s="1"/>
      <c r="J156" s="1"/>
      <c r="K156" s="1"/>
      <c r="L156" s="1"/>
      <c r="M156" s="1"/>
      <c r="N156" s="1"/>
    </row>
    <row r="157" spans="1:14">
      <c r="A157" s="1">
        <v>8.5E-19</v>
      </c>
      <c r="B157" s="1">
        <f t="shared" si="10"/>
        <v>5.5798166139802928E-8</v>
      </c>
      <c r="C157" s="1">
        <f t="shared" si="11"/>
        <v>4.4625379827931431</v>
      </c>
      <c r="D157" s="1">
        <f t="shared" si="12"/>
        <v>0.70154472841738069</v>
      </c>
      <c r="E157" s="1">
        <f t="shared" si="13"/>
        <v>7.5863145707483435</v>
      </c>
      <c r="F157" s="1">
        <f t="shared" si="14"/>
        <v>1.1490945703490627</v>
      </c>
      <c r="G157" s="1">
        <f>'WSO-UV_WUVS_130nm'!K167</f>
        <v>2.9390501522195467E-2</v>
      </c>
      <c r="H157" s="1"/>
      <c r="I157" s="1"/>
      <c r="J157" s="1"/>
      <c r="K157" s="1"/>
      <c r="L157" s="1"/>
      <c r="M157" s="1"/>
      <c r="N157" s="1"/>
    </row>
    <row r="158" spans="1:14">
      <c r="A158" s="1">
        <v>7.9999999999999998E-19</v>
      </c>
      <c r="B158" s="1">
        <f t="shared" si="10"/>
        <v>5.2515921072755693E-8</v>
      </c>
      <c r="C158" s="1">
        <f t="shared" si="11"/>
        <v>4.2000357485111932</v>
      </c>
      <c r="D158" s="1">
        <f t="shared" si="12"/>
        <v>0.66242965649001673</v>
      </c>
      <c r="E158" s="1">
        <f t="shared" si="13"/>
        <v>7.1400607724690293</v>
      </c>
      <c r="F158" s="1">
        <f t="shared" si="14"/>
        <v>1.0870800658065474</v>
      </c>
      <c r="G158" s="1">
        <f>'WSO-UV_WUVS_130nm'!K168</f>
        <v>2.7661867844958776E-2</v>
      </c>
      <c r="H158" s="1"/>
      <c r="I158" s="1"/>
      <c r="J158" s="1"/>
      <c r="K158" s="1"/>
      <c r="L158" s="1"/>
      <c r="M158" s="1"/>
      <c r="N158" s="1"/>
    </row>
    <row r="159" spans="1:14">
      <c r="A159" s="1">
        <v>7.4999999999999996E-19</v>
      </c>
      <c r="B159" s="1">
        <f t="shared" si="10"/>
        <v>4.9233676005708465E-8</v>
      </c>
      <c r="C159" s="1">
        <f t="shared" si="11"/>
        <v>3.9375335142292429</v>
      </c>
      <c r="D159" s="1">
        <f t="shared" si="12"/>
        <v>0.62306541233355728</v>
      </c>
      <c r="E159" s="1">
        <f t="shared" si="13"/>
        <v>6.693806974189715</v>
      </c>
      <c r="F159" s="1">
        <f t="shared" si="14"/>
        <v>1.0244499452181555</v>
      </c>
      <c r="G159" s="1">
        <f>'WSO-UV_WUVS_130nm'!K169</f>
        <v>2.5933206753429271E-2</v>
      </c>
      <c r="H159" s="1"/>
      <c r="I159" s="1"/>
      <c r="J159" s="1"/>
      <c r="K159" s="1"/>
      <c r="L159" s="1"/>
      <c r="M159" s="1"/>
      <c r="N159" s="1"/>
    </row>
    <row r="160" spans="1:14">
      <c r="A160" s="1">
        <v>7.0000000000000003E-19</v>
      </c>
      <c r="B160" s="1">
        <f t="shared" si="10"/>
        <v>4.5951430938661236E-8</v>
      </c>
      <c r="C160" s="1">
        <f t="shared" si="11"/>
        <v>3.6750312799472935</v>
      </c>
      <c r="D160" s="1">
        <f t="shared" si="12"/>
        <v>0.58344832987709572</v>
      </c>
      <c r="E160" s="1">
        <f t="shared" si="13"/>
        <v>6.2475531759104008</v>
      </c>
      <c r="F160" s="1">
        <f t="shared" si="14"/>
        <v>0.96118986015848007</v>
      </c>
      <c r="G160" s="1">
        <f>'WSO-UV_WUVS_130nm'!K170</f>
        <v>2.4204518246628677E-2</v>
      </c>
      <c r="H160" s="1"/>
      <c r="I160" s="1"/>
      <c r="J160" s="1"/>
      <c r="K160" s="1"/>
      <c r="L160" s="1"/>
      <c r="M160" s="1"/>
      <c r="N160" s="1"/>
    </row>
    <row r="161" spans="1:14">
      <c r="A161" s="1">
        <v>6.5000000000000001E-19</v>
      </c>
      <c r="B161" s="1">
        <f t="shared" si="10"/>
        <v>4.2669185871614008E-8</v>
      </c>
      <c r="C161" s="1">
        <f t="shared" si="11"/>
        <v>3.4125290456653445</v>
      </c>
      <c r="D161" s="1">
        <f t="shared" si="12"/>
        <v>0.54357466220509165</v>
      </c>
      <c r="E161" s="1">
        <f t="shared" si="13"/>
        <v>5.8012993776310884</v>
      </c>
      <c r="F161" s="1">
        <f t="shared" si="14"/>
        <v>0.89728495729270619</v>
      </c>
      <c r="G161" s="1">
        <f>'WSO-UV_WUVS_130nm'!K171</f>
        <v>2.2475802323578674E-2</v>
      </c>
      <c r="H161" s="1"/>
      <c r="I161" s="1"/>
      <c r="J161" s="1"/>
      <c r="K161" s="1"/>
      <c r="L161" s="1"/>
      <c r="M161" s="1"/>
      <c r="N161" s="1"/>
    </row>
    <row r="162" spans="1:14">
      <c r="A162" s="1">
        <v>6.0000000000000104E-19</v>
      </c>
      <c r="B162" s="1">
        <f t="shared" si="10"/>
        <v>3.9386940804566846E-8</v>
      </c>
      <c r="C162" s="1">
        <f t="shared" si="11"/>
        <v>3.1500268113834005</v>
      </c>
      <c r="D162" s="1">
        <f t="shared" si="12"/>
        <v>0.50344057919702023</v>
      </c>
      <c r="E162" s="1">
        <f t="shared" si="13"/>
        <v>5.3550455793517822</v>
      </c>
      <c r="F162" s="1">
        <f t="shared" si="14"/>
        <v>0.8327198547260225</v>
      </c>
      <c r="G162" s="1">
        <f>'WSO-UV_WUVS_130nm'!K172</f>
        <v>2.0747058983300908E-2</v>
      </c>
      <c r="H162" s="1"/>
      <c r="I162" s="1"/>
      <c r="J162" s="1"/>
      <c r="K162" s="1"/>
      <c r="L162" s="1"/>
      <c r="M162" s="1"/>
      <c r="N162" s="1"/>
    </row>
    <row r="163" spans="1:14">
      <c r="A163" s="1">
        <v>5.5000000000000102E-19</v>
      </c>
      <c r="B163" s="1">
        <f t="shared" si="10"/>
        <v>3.6104695737519604E-8</v>
      </c>
      <c r="C163" s="1">
        <f t="shared" si="11"/>
        <v>2.8875245771014502</v>
      </c>
      <c r="D163" s="1">
        <f t="shared" si="12"/>
        <v>0.46304216508130042</v>
      </c>
      <c r="E163" s="1">
        <f t="shared" si="13"/>
        <v>4.9087917810724662</v>
      </c>
      <c r="F163" s="1">
        <f t="shared" si="14"/>
        <v>0.76747861696841524</v>
      </c>
      <c r="G163" s="1">
        <f>'WSO-UV_WUVS_130nm'!K173</f>
        <v>1.9018288224816892E-2</v>
      </c>
      <c r="H163" s="1"/>
      <c r="I163" s="1"/>
      <c r="J163" s="1"/>
      <c r="K163" s="1"/>
      <c r="L163" s="1"/>
      <c r="M163" s="1"/>
      <c r="N163" s="1"/>
    </row>
    <row r="164" spans="1:14">
      <c r="A164" s="1">
        <v>5.00000000000001E-19</v>
      </c>
      <c r="B164" s="1">
        <f t="shared" si="10"/>
        <v>3.2822450670472376E-8</v>
      </c>
      <c r="C164" s="1">
        <f t="shared" si="11"/>
        <v>2.6250223428195008</v>
      </c>
      <c r="D164" s="1">
        <f t="shared" si="12"/>
        <v>0.42237541589978422</v>
      </c>
      <c r="E164" s="1">
        <f t="shared" si="13"/>
        <v>4.4625379827931528</v>
      </c>
      <c r="F164" s="1">
        <f t="shared" si="14"/>
        <v>0.70154472841738214</v>
      </c>
      <c r="G164" s="1">
        <f>'WSO-UV_WUVS_130nm'!K174</f>
        <v>1.7289490047148172E-2</v>
      </c>
      <c r="H164" s="1"/>
      <c r="I164" s="1"/>
      <c r="J164" s="1"/>
      <c r="K164" s="1"/>
      <c r="L164" s="1"/>
      <c r="M164" s="1"/>
      <c r="N164" s="1"/>
    </row>
    <row r="165" spans="1:14">
      <c r="A165" s="1">
        <v>4.5000000000000098E-19</v>
      </c>
      <c r="B165" s="1">
        <f t="shared" si="10"/>
        <v>2.9540205603425144E-8</v>
      </c>
      <c r="C165" s="1">
        <f t="shared" si="11"/>
        <v>2.3625201085375513</v>
      </c>
      <c r="D165" s="1">
        <f t="shared" si="12"/>
        <v>0.38143623687887801</v>
      </c>
      <c r="E165" s="1">
        <f t="shared" si="13"/>
        <v>4.0162841845138377</v>
      </c>
      <c r="F165" s="1">
        <f t="shared" si="14"/>
        <v>0.63490106525302481</v>
      </c>
      <c r="G165" s="1">
        <f>'WSO-UV_WUVS_130nm'!K175</f>
        <v>1.556066444931623E-2</v>
      </c>
      <c r="H165" s="1"/>
      <c r="I165" s="1"/>
      <c r="J165" s="1"/>
      <c r="K165" s="1"/>
      <c r="L165" s="1"/>
      <c r="M165" s="1"/>
      <c r="N165" s="1"/>
    </row>
    <row r="166" spans="1:14">
      <c r="A166" s="1">
        <v>4.00000000000001E-19</v>
      </c>
      <c r="B166" s="1">
        <f t="shared" si="10"/>
        <v>2.6257960536377916E-8</v>
      </c>
      <c r="C166" s="1">
        <f t="shared" si="11"/>
        <v>2.1000178742556019</v>
      </c>
      <c r="D166" s="1">
        <f t="shared" si="12"/>
        <v>0.34022043970319277</v>
      </c>
      <c r="E166" s="1">
        <f t="shared" si="13"/>
        <v>3.570030386234524</v>
      </c>
      <c r="F166" s="1">
        <f t="shared" si="14"/>
        <v>0.56752986563122609</v>
      </c>
      <c r="G166" s="1">
        <f>'WSO-UV_WUVS_130nm'!K176</f>
        <v>1.3831811430342464E-2</v>
      </c>
      <c r="H166" s="1"/>
      <c r="I166" s="1"/>
      <c r="J166" s="1"/>
      <c r="K166" s="1"/>
      <c r="L166" s="1"/>
      <c r="M166" s="1"/>
      <c r="N166" s="1"/>
    </row>
    <row r="167" spans="1:14">
      <c r="A167" s="1">
        <v>3.5000000000000098E-19</v>
      </c>
      <c r="B167" s="1">
        <f t="shared" si="10"/>
        <v>2.2975715469330681E-8</v>
      </c>
      <c r="C167" s="1">
        <f t="shared" si="11"/>
        <v>1.8375156399736523</v>
      </c>
      <c r="D167" s="1">
        <f t="shared" si="12"/>
        <v>0.29872373968739108</v>
      </c>
      <c r="E167" s="1">
        <f t="shared" si="13"/>
        <v>3.1237765879552093</v>
      </c>
      <c r="F167" s="1">
        <f t="shared" si="14"/>
        <v>0.49941269805093802</v>
      </c>
      <c r="G167" s="1">
        <f>'WSO-UV_WUVS_130nm'!K177</f>
        <v>1.2102930989248259E-2</v>
      </c>
      <c r="H167" s="1"/>
      <c r="I167" s="1"/>
      <c r="J167" s="1"/>
      <c r="K167" s="1"/>
      <c r="L167" s="1"/>
      <c r="M167" s="1"/>
      <c r="N167" s="1"/>
    </row>
    <row r="168" spans="1:14">
      <c r="A168" s="1">
        <v>3.00000000000001E-19</v>
      </c>
      <c r="B168" s="1">
        <f t="shared" si="10"/>
        <v>1.9693470402283453E-8</v>
      </c>
      <c r="C168" s="1">
        <f t="shared" si="11"/>
        <v>1.5750134056917029</v>
      </c>
      <c r="D168" s="1">
        <f t="shared" si="12"/>
        <v>0.25694175284168208</v>
      </c>
      <c r="E168" s="1">
        <f t="shared" si="13"/>
        <v>2.6775227896758951</v>
      </c>
      <c r="F168" s="1">
        <f t="shared" si="14"/>
        <v>0.43053042776105166</v>
      </c>
      <c r="G168" s="1">
        <f>'WSO-UV_WUVS_130nm'!K178</f>
        <v>1.0374023125054917E-2</v>
      </c>
      <c r="H168" s="1"/>
      <c r="I168" s="1"/>
      <c r="J168" s="1"/>
      <c r="K168" s="1"/>
      <c r="L168" s="1"/>
      <c r="M168" s="1"/>
      <c r="N168" s="1"/>
    </row>
    <row r="169" spans="1:14">
      <c r="A169" s="1">
        <v>2.5000000000000098E-19</v>
      </c>
      <c r="B169" s="1">
        <f t="shared" si="10"/>
        <v>1.6411225335236218E-8</v>
      </c>
      <c r="C169" s="1">
        <f t="shared" si="11"/>
        <v>1.3125111714097528</v>
      </c>
      <c r="D169" s="1">
        <f t="shared" si="12"/>
        <v>0.2148699928261753</v>
      </c>
      <c r="E169" s="1">
        <f t="shared" si="13"/>
        <v>2.23126899139658</v>
      </c>
      <c r="F169" s="1">
        <f t="shared" si="14"/>
        <v>0.36086318106068815</v>
      </c>
      <c r="G169" s="1">
        <f>'WSO-UV_WUVS_130nm'!K179</f>
        <v>8.6450878367837006E-3</v>
      </c>
      <c r="H169" s="1"/>
      <c r="I169" s="1"/>
      <c r="J169" s="1"/>
      <c r="K169" s="1"/>
      <c r="L169" s="1"/>
      <c r="M169" s="1"/>
      <c r="N169" s="1"/>
    </row>
    <row r="170" spans="1:14">
      <c r="A170" s="1">
        <v>2.0000000000000101E-19</v>
      </c>
      <c r="B170" s="1">
        <f t="shared" si="10"/>
        <v>1.3128980268188989E-8</v>
      </c>
      <c r="C170" s="1">
        <f t="shared" si="11"/>
        <v>1.0500089371278036</v>
      </c>
      <c r="D170" s="1">
        <f t="shared" si="12"/>
        <v>0.17250386778905627</v>
      </c>
      <c r="E170" s="1">
        <f t="shared" si="13"/>
        <v>1.7850151931172664</v>
      </c>
      <c r="F170" s="1">
        <f t="shared" si="14"/>
        <v>0.29039030733399473</v>
      </c>
      <c r="G170" s="1">
        <f>'WSO-UV_WUVS_130nm'!K180</f>
        <v>6.9161251234558189E-3</v>
      </c>
      <c r="H170" s="1"/>
      <c r="I170" s="1"/>
      <c r="J170" s="1"/>
      <c r="K170" s="1"/>
      <c r="L170" s="1"/>
      <c r="M170" s="1"/>
      <c r="N170" s="1"/>
    </row>
    <row r="171" spans="1:14">
      <c r="A171" s="1">
        <v>1.5000000000000101E-19</v>
      </c>
      <c r="B171" s="1">
        <f t="shared" si="10"/>
        <v>9.8467352011417594E-9</v>
      </c>
      <c r="C171" s="1">
        <f t="shared" si="11"/>
        <v>0.787506702845854</v>
      </c>
      <c r="D171" s="1">
        <f t="shared" si="12"/>
        <v>0.12983867708327609</v>
      </c>
      <c r="E171" s="1">
        <f t="shared" si="13"/>
        <v>1.3387613948379522</v>
      </c>
      <c r="F171" s="1">
        <f t="shared" si="14"/>
        <v>0.2190903386464676</v>
      </c>
      <c r="G171" s="1">
        <f>'WSO-UV_WUVS_130nm'!K181</f>
        <v>5.1871349840924329E-3</v>
      </c>
      <c r="H171" s="1"/>
      <c r="I171" s="1"/>
      <c r="J171" s="1"/>
      <c r="K171" s="1"/>
      <c r="L171" s="1"/>
      <c r="M171" s="1"/>
      <c r="N171" s="1"/>
    </row>
    <row r="172" spans="1:14">
      <c r="A172" s="1">
        <v>1.00000000000001E-19</v>
      </c>
      <c r="B172" s="1">
        <f t="shared" si="10"/>
        <v>6.5644901340945278E-9</v>
      </c>
      <c r="C172" s="1">
        <f t="shared" si="11"/>
        <v>0.52500446856390437</v>
      </c>
      <c r="D172" s="1">
        <f t="shared" si="12"/>
        <v>8.6869607856169165E-2</v>
      </c>
      <c r="E172" s="1">
        <f t="shared" si="13"/>
        <v>0.89250759655863765</v>
      </c>
      <c r="F172" s="1">
        <f t="shared" si="14"/>
        <v>0.14694094671435406</v>
      </c>
      <c r="G172" s="1">
        <f>'WSO-UV_WUVS_130nm'!K182</f>
        <v>3.458117417714643E-3</v>
      </c>
      <c r="H172" s="1"/>
      <c r="I172" s="1"/>
      <c r="J172" s="1"/>
      <c r="K172" s="1"/>
      <c r="L172" s="1"/>
      <c r="M172" s="1"/>
      <c r="N172" s="1"/>
    </row>
    <row r="173" spans="1:14">
      <c r="A173" s="1">
        <v>9.5E-20</v>
      </c>
      <c r="B173" s="1">
        <f t="shared" si="10"/>
        <v>6.2362656273897383E-9</v>
      </c>
      <c r="C173" s="1">
        <f t="shared" si="11"/>
        <v>0.4987542451357041</v>
      </c>
      <c r="D173" s="1">
        <f t="shared" si="12"/>
        <v>8.2555798885832171E-2</v>
      </c>
      <c r="E173" s="1">
        <f t="shared" si="13"/>
        <v>0.84788221673069719</v>
      </c>
      <c r="F173" s="1">
        <f t="shared" si="14"/>
        <v>0.13967840282195634</v>
      </c>
      <c r="G173" s="1">
        <f>'WSO-UV_WUVS_130nm'!K183</f>
        <v>3.28521415255335E-3</v>
      </c>
      <c r="H173" s="1"/>
      <c r="I173" s="1"/>
      <c r="J173" s="1"/>
      <c r="K173" s="1"/>
      <c r="L173" s="1"/>
      <c r="M173" s="1"/>
      <c r="N173" s="1"/>
    </row>
    <row r="174" spans="1:14">
      <c r="A174" s="1">
        <v>9.0000000000000003E-20</v>
      </c>
      <c r="B174" s="1">
        <f t="shared" si="10"/>
        <v>5.9080411206850166E-9</v>
      </c>
      <c r="C174" s="1">
        <f t="shared" si="11"/>
        <v>0.47250402170750927</v>
      </c>
      <c r="D174" s="1">
        <f t="shared" si="12"/>
        <v>7.8238896949422848E-2</v>
      </c>
      <c r="E174" s="1">
        <f t="shared" si="13"/>
        <v>0.80325683690276584</v>
      </c>
      <c r="F174" s="1">
        <f t="shared" si="14"/>
        <v>0.1324071093924859</v>
      </c>
      <c r="G174" s="1">
        <f>'WSO-UV_WUVS_130nm'!K184</f>
        <v>3.1123106131111774E-3</v>
      </c>
      <c r="H174" s="1"/>
      <c r="I174" s="1"/>
      <c r="J174" s="1"/>
      <c r="K174" s="1"/>
      <c r="L174" s="1"/>
      <c r="M174" s="1"/>
      <c r="N174" s="1"/>
    </row>
    <row r="175" spans="1:14">
      <c r="A175" s="1">
        <v>8.5000000000000005E-20</v>
      </c>
      <c r="B175" s="1">
        <f t="shared" si="10"/>
        <v>5.5798166139802933E-9</v>
      </c>
      <c r="C175" s="1">
        <f t="shared" si="11"/>
        <v>0.44625379827931433</v>
      </c>
      <c r="D175" s="1">
        <f t="shared" si="12"/>
        <v>7.3918897041603288E-2</v>
      </c>
      <c r="E175" s="1">
        <f t="shared" si="13"/>
        <v>0.75863145707483448</v>
      </c>
      <c r="F175" s="1">
        <f t="shared" si="14"/>
        <v>0.12512704258268598</v>
      </c>
      <c r="G175" s="1">
        <f>'WSO-UV_WUVS_130nm'!K185</f>
        <v>2.9394067993871141E-3</v>
      </c>
      <c r="H175" s="1"/>
      <c r="I175" s="1"/>
      <c r="J175" s="1"/>
      <c r="K175" s="1"/>
      <c r="L175" s="1"/>
      <c r="M175" s="1"/>
      <c r="N175" s="1"/>
    </row>
    <row r="176" spans="1:14">
      <c r="A176" s="1">
        <v>7.9999999999999996E-20</v>
      </c>
      <c r="B176" s="1">
        <f t="shared" si="10"/>
        <v>5.2515921072755691E-9</v>
      </c>
      <c r="C176" s="1">
        <f t="shared" si="11"/>
        <v>0.42000357485111928</v>
      </c>
      <c r="D176" s="1">
        <f t="shared" si="12"/>
        <v>6.9595794145020373E-2</v>
      </c>
      <c r="E176" s="1">
        <f t="shared" si="13"/>
        <v>0.7140060772469029</v>
      </c>
      <c r="F176" s="1">
        <f t="shared" si="14"/>
        <v>0.11783817845282613</v>
      </c>
      <c r="G176" s="1">
        <f>'WSO-UV_WUVS_130nm'!K186</f>
        <v>2.766502711380181E-3</v>
      </c>
      <c r="H176" s="1"/>
      <c r="I176" s="1"/>
      <c r="J176" s="1"/>
      <c r="K176" s="1"/>
      <c r="L176" s="1"/>
      <c r="M176" s="1"/>
      <c r="N176" s="1"/>
    </row>
    <row r="177" spans="1:14">
      <c r="A177" s="1">
        <v>7.4999999999999998E-20</v>
      </c>
      <c r="B177" s="1">
        <f t="shared" si="10"/>
        <v>4.9233676005708458E-9</v>
      </c>
      <c r="C177" s="1">
        <f t="shared" si="11"/>
        <v>0.39375335142292428</v>
      </c>
      <c r="D177" s="1">
        <f t="shared" si="12"/>
        <v>6.526958323026702E-2</v>
      </c>
      <c r="E177" s="1">
        <f t="shared" si="13"/>
        <v>0.66938069741897144</v>
      </c>
      <c r="F177" s="1">
        <f t="shared" si="14"/>
        <v>0.11054049296618762</v>
      </c>
      <c r="G177" s="1">
        <f>'WSO-UV_WUVS_130nm'!K187</f>
        <v>2.5935983490893975E-3</v>
      </c>
      <c r="H177" s="1"/>
      <c r="I177" s="1"/>
      <c r="J177" s="1"/>
      <c r="K177" s="1"/>
      <c r="L177" s="1"/>
      <c r="M177" s="1"/>
      <c r="N177" s="1"/>
    </row>
    <row r="178" spans="1:14">
      <c r="A178" s="1">
        <v>7.0000000000000001E-20</v>
      </c>
      <c r="B178" s="1">
        <f t="shared" si="10"/>
        <v>4.5951430938661241E-9</v>
      </c>
      <c r="C178" s="1">
        <f t="shared" si="11"/>
        <v>0.36750312799472939</v>
      </c>
      <c r="D178" s="1">
        <f t="shared" si="12"/>
        <v>6.0940259255844072E-2</v>
      </c>
      <c r="E178" s="1">
        <f t="shared" si="13"/>
        <v>0.62475531759104019</v>
      </c>
      <c r="F178" s="1">
        <f t="shared" si="14"/>
        <v>0.10323396198854687</v>
      </c>
      <c r="G178" s="1">
        <f>'WSO-UV_WUVS_130nm'!K188</f>
        <v>2.4206937125137856E-3</v>
      </c>
      <c r="H178" s="1"/>
      <c r="I178" s="1"/>
      <c r="J178" s="1"/>
      <c r="K178" s="1"/>
      <c r="L178" s="1"/>
      <c r="M178" s="1"/>
      <c r="N178" s="1"/>
    </row>
    <row r="179" spans="1:14">
      <c r="A179" s="1">
        <v>6.5000000000000003E-20</v>
      </c>
      <c r="B179" s="1">
        <f t="shared" si="10"/>
        <v>4.2669185871614008E-9</v>
      </c>
      <c r="C179" s="1">
        <f t="shared" si="11"/>
        <v>0.34125290456653445</v>
      </c>
      <c r="D179" s="1">
        <f t="shared" si="12"/>
        <v>5.6607817168122139E-2</v>
      </c>
      <c r="E179" s="1">
        <f t="shared" si="13"/>
        <v>0.58012993776310873</v>
      </c>
      <c r="F179" s="1">
        <f t="shared" si="14"/>
        <v>9.5918561287655288E-2</v>
      </c>
      <c r="G179" s="1">
        <f>'WSO-UV_WUVS_130nm'!K189</f>
        <v>2.2477888016523674E-3</v>
      </c>
      <c r="H179" s="1"/>
      <c r="I179" s="1"/>
      <c r="J179" s="1"/>
      <c r="K179" s="1"/>
      <c r="L179" s="1"/>
      <c r="M179" s="1"/>
      <c r="N179" s="1"/>
    </row>
    <row r="180" spans="1:14">
      <c r="A180" s="1">
        <v>6.0000000000000006E-20</v>
      </c>
      <c r="B180" s="1">
        <f t="shared" si="10"/>
        <v>3.9386940804566775E-9</v>
      </c>
      <c r="C180" s="1">
        <f t="shared" si="11"/>
        <v>0.31500268113833946</v>
      </c>
      <c r="D180" s="1">
        <f t="shared" si="12"/>
        <v>5.2272251901303239E-2</v>
      </c>
      <c r="E180" s="1">
        <f t="shared" si="13"/>
        <v>0.53550455793517726</v>
      </c>
      <c r="F180" s="1">
        <f t="shared" si="14"/>
        <v>8.8594266532716237E-2</v>
      </c>
      <c r="G180" s="1">
        <f>'WSO-UV_WUVS_130nm'!K190</f>
        <v>2.074883616504162E-3</v>
      </c>
      <c r="H180" s="1"/>
      <c r="I180" s="1"/>
      <c r="J180" s="1"/>
      <c r="K180" s="1"/>
      <c r="L180" s="1"/>
      <c r="M180" s="1"/>
      <c r="N180" s="1"/>
    </row>
    <row r="181" spans="1:14">
      <c r="A181" s="1">
        <v>5.4999999999999996E-20</v>
      </c>
      <c r="B181" s="1">
        <f t="shared" si="10"/>
        <v>3.6104695737519541E-9</v>
      </c>
      <c r="C181" s="1">
        <f t="shared" si="11"/>
        <v>0.28875245771014452</v>
      </c>
      <c r="D181" s="1">
        <f t="shared" si="12"/>
        <v>4.7933558377382363E-2</v>
      </c>
      <c r="E181" s="1">
        <f t="shared" si="13"/>
        <v>0.49087917810724574</v>
      </c>
      <c r="F181" s="1">
        <f t="shared" si="14"/>
        <v>8.1261053293857952E-2</v>
      </c>
      <c r="G181" s="1">
        <f>'WSO-UV_WUVS_130nm'!K191</f>
        <v>1.9019781570681917E-3</v>
      </c>
      <c r="H181" s="1"/>
      <c r="I181" s="1"/>
      <c r="J181" s="1"/>
      <c r="K181" s="1"/>
      <c r="L181" s="1"/>
      <c r="M181" s="1"/>
      <c r="N181" s="1"/>
    </row>
    <row r="182" spans="1:14">
      <c r="A182" s="1">
        <v>4.9999999999999999E-20</v>
      </c>
      <c r="B182" s="1">
        <f t="shared" si="10"/>
        <v>3.2822450670472308E-9</v>
      </c>
      <c r="C182" s="1">
        <f t="shared" si="11"/>
        <v>0.26250223428194958</v>
      </c>
      <c r="D182" s="1">
        <f t="shared" si="12"/>
        <v>4.3591731506108761E-2</v>
      </c>
      <c r="E182" s="1">
        <f t="shared" si="13"/>
        <v>0.44625379827931433</v>
      </c>
      <c r="F182" s="1">
        <f t="shared" si="14"/>
        <v>7.3918897041603288E-2</v>
      </c>
      <c r="G182" s="1">
        <f>'WSO-UV_WUVS_130nm'!K192</f>
        <v>1.7290724233434765E-3</v>
      </c>
      <c r="H182" s="1"/>
      <c r="I182" s="1"/>
      <c r="J182" s="1"/>
      <c r="K182" s="1"/>
      <c r="L182" s="1"/>
      <c r="M182" s="1"/>
      <c r="N182" s="1"/>
    </row>
    <row r="183" spans="1:14">
      <c r="A183" s="1">
        <v>4.5000000000000001E-20</v>
      </c>
      <c r="B183" s="1">
        <f t="shared" si="10"/>
        <v>2.9540205603425083E-9</v>
      </c>
      <c r="C183" s="1">
        <f t="shared" si="11"/>
        <v>0.23625201085375463</v>
      </c>
      <c r="D183" s="1">
        <f t="shared" si="12"/>
        <v>3.9246766184947171E-2</v>
      </c>
      <c r="E183" s="1">
        <f t="shared" si="13"/>
        <v>0.40162841845138292</v>
      </c>
      <c r="F183" s="1">
        <f t="shared" si="14"/>
        <v>6.6567773146335912E-2</v>
      </c>
      <c r="G183" s="1">
        <f>'WSO-UV_WUVS_130nm'!K193</f>
        <v>1.556166415329038E-3</v>
      </c>
      <c r="H183" s="1"/>
      <c r="I183" s="1"/>
      <c r="J183" s="1"/>
      <c r="K183" s="1"/>
      <c r="L183" s="1"/>
      <c r="M183" s="1"/>
      <c r="N183" s="1"/>
    </row>
    <row r="184" spans="1:14">
      <c r="A184" s="1">
        <v>3.9999999999999998E-20</v>
      </c>
      <c r="B184" s="1">
        <f t="shared" si="10"/>
        <v>2.6257960536377846E-9</v>
      </c>
      <c r="C184" s="1">
        <f t="shared" si="11"/>
        <v>0.21000178742555964</v>
      </c>
      <c r="D184" s="1">
        <f t="shared" si="12"/>
        <v>3.4898657299038877E-2</v>
      </c>
      <c r="E184" s="1">
        <f t="shared" si="13"/>
        <v>0.35700303862345145</v>
      </c>
      <c r="F184" s="1">
        <f t="shared" si="14"/>
        <v>5.9207656877762874E-2</v>
      </c>
      <c r="G184" s="1">
        <f>'WSO-UV_WUVS_130nm'!K194</f>
        <v>1.3832601330238973E-3</v>
      </c>
      <c r="H184" s="1"/>
      <c r="I184" s="1"/>
      <c r="J184" s="1"/>
      <c r="K184" s="1"/>
      <c r="L184" s="1"/>
      <c r="M184" s="1"/>
      <c r="N184" s="1"/>
    </row>
    <row r="185" spans="1:14">
      <c r="A185" s="1">
        <v>3.5E-20</v>
      </c>
      <c r="B185" s="1">
        <f t="shared" si="10"/>
        <v>2.2975715469330621E-9</v>
      </c>
      <c r="C185" s="1">
        <f t="shared" si="11"/>
        <v>0.1837515639973647</v>
      </c>
      <c r="D185" s="1">
        <f t="shared" si="12"/>
        <v>3.0547399721162646E-2</v>
      </c>
      <c r="E185" s="1">
        <f t="shared" si="13"/>
        <v>0.3123776587955201</v>
      </c>
      <c r="F185" s="1">
        <f t="shared" si="14"/>
        <v>5.1838523404373796E-2</v>
      </c>
      <c r="G185" s="1">
        <f>'WSO-UV_WUVS_130nm'!K195</f>
        <v>1.2103535764270751E-3</v>
      </c>
      <c r="H185" s="1"/>
      <c r="I185" s="1"/>
      <c r="J185" s="1"/>
      <c r="K185" s="1"/>
      <c r="L185" s="1"/>
      <c r="M185" s="1"/>
      <c r="N185" s="1"/>
    </row>
    <row r="186" spans="1:14">
      <c r="A186" s="1">
        <v>3.0000000000000003E-20</v>
      </c>
      <c r="B186" s="1">
        <f t="shared" si="10"/>
        <v>1.9693470402283387E-9</v>
      </c>
      <c r="C186" s="1">
        <f t="shared" si="11"/>
        <v>0.15750134056916973</v>
      </c>
      <c r="D186" s="1">
        <f t="shared" si="12"/>
        <v>2.6192988311695413E-2</v>
      </c>
      <c r="E186" s="1">
        <f t="shared" si="13"/>
        <v>0.26775227896758863</v>
      </c>
      <c r="F186" s="1">
        <f t="shared" si="14"/>
        <v>4.4460347792896183E-2</v>
      </c>
      <c r="G186" s="1">
        <f>'WSO-UV_WUVS_130nm'!K196</f>
        <v>1.0374467455375926E-3</v>
      </c>
      <c r="H186" s="1"/>
      <c r="I186" s="1"/>
      <c r="J186" s="1"/>
      <c r="K186" s="1"/>
      <c r="L186" s="1"/>
      <c r="M186" s="1"/>
      <c r="N186" s="1"/>
    </row>
    <row r="187" spans="1:14">
      <c r="A187" s="1">
        <v>2.4999999999999999E-20</v>
      </c>
      <c r="B187" s="1">
        <f t="shared" si="10"/>
        <v>1.6411225335236154E-9</v>
      </c>
      <c r="C187" s="1">
        <f t="shared" si="11"/>
        <v>0.13125111714097479</v>
      </c>
      <c r="D187" s="1">
        <f t="shared" si="12"/>
        <v>2.1835417918572912E-2</v>
      </c>
      <c r="E187" s="1">
        <f t="shared" si="13"/>
        <v>0.22312689913965716</v>
      </c>
      <c r="F187" s="1">
        <f t="shared" si="14"/>
        <v>3.7073105007747485E-2</v>
      </c>
      <c r="G187" s="1">
        <f>'WSO-UV_WUVS_130nm'!K197</f>
        <v>8.6453964035447051E-4</v>
      </c>
      <c r="H187" s="1"/>
      <c r="I187" s="1"/>
      <c r="J187" s="1"/>
      <c r="K187" s="1"/>
      <c r="L187" s="1"/>
      <c r="M187" s="1"/>
      <c r="N187" s="1"/>
    </row>
    <row r="188" spans="1:14">
      <c r="A188" s="1">
        <v>1.9999999999999999E-20</v>
      </c>
      <c r="B188" s="1">
        <f t="shared" si="10"/>
        <v>1.3128980268188923E-9</v>
      </c>
      <c r="C188" s="1">
        <f t="shared" si="11"/>
        <v>0.10500089371277982</v>
      </c>
      <c r="D188" s="1">
        <f t="shared" si="12"/>
        <v>1.7474683377250111E-2</v>
      </c>
      <c r="E188" s="1">
        <f t="shared" si="13"/>
        <v>0.17850151931172573</v>
      </c>
      <c r="F188" s="1">
        <f t="shared" si="14"/>
        <v>2.9676769910483139E-2</v>
      </c>
      <c r="G188" s="1">
        <f>'WSO-UV_WUVS_130nm'!K198</f>
        <v>6.916322608767298E-4</v>
      </c>
      <c r="H188" s="1"/>
      <c r="I188" s="1"/>
      <c r="J188" s="1"/>
      <c r="K188" s="1"/>
      <c r="L188" s="1"/>
      <c r="M188" s="1"/>
      <c r="N188" s="1"/>
    </row>
    <row r="189" spans="1:14">
      <c r="A189" s="1">
        <v>1.5000000000000001E-20</v>
      </c>
      <c r="B189" s="1">
        <f t="shared" si="10"/>
        <v>9.8467352011416937E-10</v>
      </c>
      <c r="C189" s="1">
        <f t="shared" si="11"/>
        <v>7.8750670284584864E-2</v>
      </c>
      <c r="D189" s="1">
        <f t="shared" si="12"/>
        <v>1.3110779510661493E-2</v>
      </c>
      <c r="E189" s="1">
        <f t="shared" si="13"/>
        <v>0.13387613948379432</v>
      </c>
      <c r="F189" s="1">
        <f t="shared" si="14"/>
        <v>2.227131725924119E-2</v>
      </c>
      <c r="G189" s="1">
        <f>'WSO-UV_WUVS_130nm'!K199</f>
        <v>5.1872460710339135E-4</v>
      </c>
      <c r="H189" s="1"/>
      <c r="I189" s="1"/>
      <c r="J189" s="1"/>
      <c r="K189" s="1"/>
      <c r="L189" s="1"/>
      <c r="M189" s="1"/>
      <c r="N189" s="1"/>
    </row>
    <row r="190" spans="1:14">
      <c r="A190" s="1">
        <v>9.9999999999999904E-21</v>
      </c>
      <c r="B190" s="1">
        <f t="shared" si="10"/>
        <v>6.5644901340944552E-10</v>
      </c>
      <c r="C190" s="1">
        <f t="shared" si="11"/>
        <v>5.2500446856389854E-2</v>
      </c>
      <c r="D190" s="1">
        <f t="shared" si="12"/>
        <v>8.7437011291811896E-3</v>
      </c>
      <c r="E190" s="1">
        <f t="shared" si="13"/>
        <v>8.925075965586278E-2</v>
      </c>
      <c r="F190" s="1">
        <f t="shared" si="14"/>
        <v>1.4856721708183066E-2</v>
      </c>
      <c r="G190" s="1">
        <f>'WSO-UV_WUVS_130nm'!K200</f>
        <v>3.4581667903347586E-4</v>
      </c>
      <c r="H190" s="1"/>
      <c r="I190" s="1"/>
      <c r="J190" s="1"/>
      <c r="K190" s="1"/>
      <c r="L190" s="1"/>
      <c r="M190" s="1"/>
      <c r="N190" s="1"/>
    </row>
    <row r="192" spans="1:14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4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4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</sheetData>
  <mergeCells count="13">
    <mergeCell ref="M18:N18"/>
    <mergeCell ref="C15:D15"/>
    <mergeCell ref="C16:D16"/>
    <mergeCell ref="C18:D18"/>
    <mergeCell ref="E18:F18"/>
    <mergeCell ref="I18:J18"/>
    <mergeCell ref="K18:L18"/>
    <mergeCell ref="C14:D14"/>
    <mergeCell ref="C6:D6"/>
    <mergeCell ref="C7:D7"/>
    <mergeCell ref="C8:D8"/>
    <mergeCell ref="C12:D12"/>
    <mergeCell ref="C13:D1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D5" sqref="D5"/>
    </sheetView>
  </sheetViews>
  <sheetFormatPr baseColWidth="10" defaultColWidth="8.83203125" defaultRowHeight="18"/>
  <cols>
    <col min="1" max="1" width="15.5" bestFit="1" customWidth="1"/>
    <col min="4" max="4" width="9.1640625" bestFit="1" customWidth="1"/>
  </cols>
  <sheetData>
    <row r="1" spans="1:7">
      <c r="A1" t="s">
        <v>69</v>
      </c>
      <c r="C1" t="s">
        <v>73</v>
      </c>
      <c r="D1" s="1">
        <v>2.9000000000000002E-15</v>
      </c>
      <c r="E1" t="s">
        <v>74</v>
      </c>
      <c r="F1">
        <v>1.3</v>
      </c>
      <c r="G1" t="s">
        <v>75</v>
      </c>
    </row>
    <row r="2" spans="1:7">
      <c r="B2" t="s">
        <v>70</v>
      </c>
      <c r="C2" t="s">
        <v>71</v>
      </c>
      <c r="D2" t="s">
        <v>72</v>
      </c>
    </row>
    <row r="3" spans="1:7">
      <c r="A3" t="s">
        <v>66</v>
      </c>
      <c r="B3">
        <v>10</v>
      </c>
      <c r="C3" s="1">
        <v>2.4999999999999999E-17</v>
      </c>
      <c r="D3" s="15">
        <f>$F$1*SQRT($D$1/C3)</f>
        <v>14.001428498549712</v>
      </c>
    </row>
    <row r="4" spans="1:7">
      <c r="A4" t="s">
        <v>67</v>
      </c>
      <c r="B4">
        <v>10</v>
      </c>
      <c r="C4" s="1">
        <v>1.5E-17</v>
      </c>
      <c r="D4" s="15">
        <f>$F$1*SQRT($D$1/C4)</f>
        <v>18.075766465998985</v>
      </c>
    </row>
    <row r="5" spans="1:7">
      <c r="A5" t="s">
        <v>68</v>
      </c>
      <c r="B5">
        <v>3</v>
      </c>
      <c r="C5" s="1">
        <v>8.9999999999999996E-17</v>
      </c>
      <c r="D5" s="15">
        <f>$F$1*SQRT($D$1/C5)</f>
        <v>7.3794007585681083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2"/>
  <sheetViews>
    <sheetView topLeftCell="A3" workbookViewId="0">
      <selection activeCell="F25" sqref="F25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76</v>
      </c>
    </row>
    <row r="2" spans="1:8">
      <c r="A2" s="16"/>
      <c r="B2" s="16" t="s">
        <v>77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78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79</v>
      </c>
      <c r="C4" s="17">
        <v>9.9999999999999995E-8</v>
      </c>
      <c r="D4" s="16" t="s">
        <v>80</v>
      </c>
      <c r="E4" s="16"/>
      <c r="F4" s="16"/>
      <c r="G4" s="16"/>
      <c r="H4" s="16"/>
    </row>
    <row r="5" spans="1:8">
      <c r="A5" s="16"/>
      <c r="B5" s="18" t="s">
        <v>81</v>
      </c>
      <c r="C5" s="203">
        <v>170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05">
        <v>25.5</v>
      </c>
      <c r="D6" s="205"/>
      <c r="E6" s="206"/>
      <c r="F6" s="16"/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0.75</v>
      </c>
      <c r="D9" s="193"/>
      <c r="E9" s="194"/>
      <c r="F9" s="207"/>
      <c r="G9" s="16"/>
      <c r="H9" s="16"/>
    </row>
    <row r="10" spans="1:8">
      <c r="A10" s="16"/>
      <c r="B10" s="20" t="s">
        <v>87</v>
      </c>
      <c r="C10" s="193">
        <v>0.28999999999999998</v>
      </c>
      <c r="D10" s="193"/>
      <c r="E10" s="194"/>
      <c r="F10" s="16" t="s">
        <v>88</v>
      </c>
      <c r="G10" s="16" t="s">
        <v>89</v>
      </c>
      <c r="H10" s="16"/>
    </row>
    <row r="11" spans="1:8">
      <c r="A11" s="16"/>
      <c r="B11" s="20" t="s">
        <v>90</v>
      </c>
      <c r="C11" s="193">
        <v>0.14000000000000001</v>
      </c>
      <c r="D11" s="193"/>
      <c r="E11" s="194"/>
      <c r="F11" t="s">
        <v>91</v>
      </c>
      <c r="G11" s="16">
        <f>C7*C8*C10*C11</f>
        <v>2.28375E-2</v>
      </c>
      <c r="H11" s="16"/>
    </row>
    <row r="12" spans="1:8">
      <c r="A12" s="16"/>
      <c r="B12" s="21" t="s">
        <v>92</v>
      </c>
      <c r="C12" s="195">
        <f>((C5/2)^2*PI()-(C6/2)^2*PI())*C7*C8*C9*C10*C11</f>
        <v>380.0268780682548</v>
      </c>
      <c r="D12" s="195"/>
      <c r="E12" s="196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2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2">
        <f>TAN(RADIANS(C20))*$C$13</f>
        <v>0.20604581448164239</v>
      </c>
      <c r="D15" s="22">
        <f>TAN(RADIANS(D20))*$C$13</f>
        <v>0.41209162902382213</v>
      </c>
      <c r="E15" s="23">
        <f>TAN(RADIANS(E20))*$C$13</f>
        <v>1.6483665209382781</v>
      </c>
      <c r="F15" s="16"/>
      <c r="G15" s="16"/>
      <c r="H15" s="16"/>
    </row>
    <row r="16" spans="1:8">
      <c r="A16" s="16"/>
      <c r="B16" s="20" t="s">
        <v>96</v>
      </c>
      <c r="C16" s="22">
        <f>$C$14/10*C15/10</f>
        <v>4.1209162896328477E-3</v>
      </c>
      <c r="D16" s="22">
        <f>$C$14/10*D15/10</f>
        <v>8.241832580476444E-3</v>
      </c>
      <c r="E16" s="23">
        <f>$C$14/10*E15/10</f>
        <v>3.296733041876556E-2</v>
      </c>
      <c r="F16" s="16"/>
      <c r="G16" s="16"/>
      <c r="H16" s="16"/>
    </row>
    <row r="17" spans="1:11">
      <c r="A17" s="16"/>
      <c r="B17" s="21" t="s">
        <v>97</v>
      </c>
      <c r="C17" s="197">
        <f>DEGREES(ATAN(C14/C13))*3600</f>
        <v>24.266447681820118</v>
      </c>
      <c r="D17" s="197"/>
      <c r="E17" s="198"/>
      <c r="F17" s="16"/>
      <c r="G17" s="16"/>
      <c r="H17" s="16"/>
    </row>
    <row r="18" spans="1:11" ht="19" thickBot="1">
      <c r="A18" s="16"/>
      <c r="B18" s="24" t="s">
        <v>98</v>
      </c>
      <c r="C18" s="34">
        <v>2.5</v>
      </c>
      <c r="D18" s="34">
        <v>5</v>
      </c>
      <c r="E18" s="35">
        <v>20</v>
      </c>
      <c r="F18" s="16"/>
      <c r="G18" s="16"/>
      <c r="H18" s="16"/>
    </row>
    <row r="19" spans="1:11">
      <c r="A19" s="16"/>
      <c r="B19" s="25" t="s">
        <v>99</v>
      </c>
      <c r="C19" s="201">
        <f>DEGREES(ATAN(C14/C13))</f>
        <v>6.7406799116166991E-3</v>
      </c>
      <c r="D19" s="201"/>
      <c r="E19" s="201"/>
      <c r="F19" s="16" t="s">
        <v>100</v>
      </c>
      <c r="G19" s="16"/>
      <c r="H19" s="16"/>
    </row>
    <row r="20" spans="1:11">
      <c r="A20" s="16"/>
      <c r="B20" s="26" t="s">
        <v>101</v>
      </c>
      <c r="C20" s="36">
        <f>C18/3600</f>
        <v>6.9444444444444447E-4</v>
      </c>
      <c r="D20" s="36">
        <f>D18/3600</f>
        <v>1.3888888888888889E-3</v>
      </c>
      <c r="E20" s="36">
        <f>E18/3600</f>
        <v>5.5555555555555558E-3</v>
      </c>
      <c r="F20" s="16" t="s">
        <v>102</v>
      </c>
      <c r="G20" s="16" t="s">
        <v>103</v>
      </c>
      <c r="H20" s="16" t="s">
        <v>104</v>
      </c>
    </row>
    <row r="21" spans="1:11">
      <c r="A21" s="16"/>
      <c r="B21" s="13" t="s">
        <v>105</v>
      </c>
      <c r="C21" s="202">
        <v>500</v>
      </c>
      <c r="D21" s="202"/>
      <c r="E21" s="202"/>
      <c r="F21" s="16"/>
      <c r="G21" s="16"/>
      <c r="H21" s="16"/>
    </row>
    <row r="22" spans="1:11">
      <c r="A22" s="16"/>
      <c r="B22" s="13" t="s">
        <v>106</v>
      </c>
      <c r="C22" s="202">
        <v>0</v>
      </c>
      <c r="D22" s="202"/>
      <c r="E22" s="202"/>
      <c r="F22" s="16"/>
      <c r="G22" s="16"/>
      <c r="H22" s="16"/>
    </row>
    <row r="23" spans="1:11">
      <c r="A23" s="16"/>
      <c r="B23" s="13" t="s">
        <v>107</v>
      </c>
      <c r="C23" s="29">
        <f>($C$21+$C$22)*1000000/(4*PI())*$C$12*RADIANS($C$19)*RADIANS(C$20)</f>
        <v>21.561074591217267</v>
      </c>
      <c r="D23" s="29">
        <f>($C$21+$C$22)*1000000/(4*PI())*$C$12*RADIANS($C$19)*RADIANS(D$20)</f>
        <v>43.122149182434534</v>
      </c>
      <c r="E23" s="29">
        <f>($C$21+$C$22)*1000000/(4*PI())*$C$12*RADIANS($C$19)*RADIANS(E$20)</f>
        <v>172.48859672973813</v>
      </c>
      <c r="F23" s="16"/>
      <c r="G23" s="16"/>
      <c r="H23" s="16"/>
    </row>
    <row r="24" spans="1:11">
      <c r="A24" s="16"/>
      <c r="B24" s="37" t="s">
        <v>108</v>
      </c>
      <c r="C24" s="30">
        <f>C23/($C14/10*C15/10)</f>
        <v>5232.1069091986446</v>
      </c>
      <c r="D24" s="30">
        <f>D23/($C14/10*D15/10)</f>
        <v>5232.1069084300334</v>
      </c>
      <c r="E24" s="30">
        <f>E23/($C14/10*E15/10)</f>
        <v>5232.1068930578231</v>
      </c>
      <c r="F24" s="16"/>
      <c r="G24" s="16"/>
      <c r="H24" s="16"/>
      <c r="I24" s="190"/>
      <c r="J24" s="190"/>
      <c r="K24" s="190"/>
    </row>
    <row r="25" spans="1:11">
      <c r="A25" s="16"/>
      <c r="B25" s="27" t="s">
        <v>71</v>
      </c>
      <c r="C25" s="28">
        <v>9.9999999999999994E-12</v>
      </c>
      <c r="D25" s="28">
        <v>9.9999999999999998E-13</v>
      </c>
      <c r="E25" s="28">
        <v>5.0000000000000002E-14</v>
      </c>
      <c r="F25" s="16"/>
      <c r="G25" s="16"/>
      <c r="H25" s="16"/>
      <c r="I25" s="190"/>
      <c r="J25" s="190"/>
      <c r="K25" s="190"/>
    </row>
    <row r="26" spans="1:11">
      <c r="A26" s="16"/>
      <c r="B26" s="13" t="s">
        <v>109</v>
      </c>
      <c r="C26" s="29">
        <f>$C$25*$C$4/($C$2*$C$3/1216*10000000000)</f>
        <v>0.61214877324071049</v>
      </c>
      <c r="D26" s="29">
        <f>$D$25*$C$4/($C$2*$C$3/1216*10000000000)</f>
        <v>6.1214877324071056E-2</v>
      </c>
      <c r="E26" s="29">
        <f>$E$25*$C$4/($C$2*$C$3/1216*10000000000)</f>
        <v>3.0607438662035528E-3</v>
      </c>
      <c r="F26" s="16"/>
      <c r="G26" s="16"/>
      <c r="H26" s="16"/>
      <c r="I26" s="16"/>
      <c r="J26" s="16"/>
      <c r="K26" s="16"/>
    </row>
    <row r="27" spans="1:11">
      <c r="A27" s="16"/>
      <c r="B27" s="13" t="s">
        <v>110</v>
      </c>
      <c r="C27" s="29">
        <f>$C$12*C26</f>
        <v>232.63298720797926</v>
      </c>
      <c r="D27" s="29">
        <f>$C$12*D26</f>
        <v>23.263298720797927</v>
      </c>
      <c r="E27" s="29">
        <f>$C$12*E26</f>
        <v>1.1631649360398963</v>
      </c>
      <c r="F27" s="16"/>
      <c r="G27" s="16"/>
      <c r="H27" s="16"/>
      <c r="I27" s="17"/>
      <c r="J27" s="17"/>
      <c r="K27" s="31"/>
    </row>
    <row r="28" spans="1:11">
      <c r="A28" s="16"/>
      <c r="B28" s="13" t="s">
        <v>111</v>
      </c>
      <c r="C28" s="191">
        <f>(0.08/10)^2</f>
        <v>6.3999999999999997E-5</v>
      </c>
      <c r="D28" s="191"/>
      <c r="E28" s="191"/>
      <c r="F28" s="16"/>
      <c r="G28" s="16"/>
      <c r="H28" s="16"/>
      <c r="I28" s="17"/>
      <c r="J28" s="17"/>
      <c r="K28" s="31"/>
    </row>
    <row r="29" spans="1:11">
      <c r="A29" s="16"/>
      <c r="B29" s="37" t="s">
        <v>112</v>
      </c>
      <c r="C29" s="30">
        <f>C27/$C$28</f>
        <v>3634890.425124676</v>
      </c>
      <c r="D29" s="30">
        <f>D27/$C$28</f>
        <v>363489.0425124676</v>
      </c>
      <c r="E29" s="30">
        <f>E27/$C$28</f>
        <v>18174.452125623382</v>
      </c>
      <c r="F29" s="190"/>
      <c r="G29" s="190"/>
      <c r="H29" s="190"/>
      <c r="I29" s="17"/>
      <c r="J29" s="17"/>
      <c r="K29" s="31"/>
    </row>
    <row r="30" spans="1:11">
      <c r="A30" s="16" t="s">
        <v>113</v>
      </c>
      <c r="B30" s="192" t="s">
        <v>120</v>
      </c>
      <c r="C30" s="192"/>
      <c r="D30" s="192"/>
      <c r="E30" s="192"/>
      <c r="F30" s="192"/>
      <c r="G30" s="192"/>
      <c r="H30" s="16"/>
      <c r="I30" s="17"/>
      <c r="J30" s="17"/>
      <c r="K30" s="31"/>
    </row>
    <row r="31" spans="1:11">
      <c r="A31" s="16" t="s">
        <v>113</v>
      </c>
      <c r="B31" s="190" t="s">
        <v>114</v>
      </c>
      <c r="C31" s="190"/>
      <c r="D31" s="190" t="s">
        <v>121</v>
      </c>
      <c r="E31" s="190"/>
      <c r="F31" s="190" t="s">
        <v>122</v>
      </c>
      <c r="G31" s="190"/>
      <c r="H31" s="16"/>
      <c r="I31" s="17"/>
      <c r="J31" s="17"/>
      <c r="K31" s="31"/>
    </row>
    <row r="32" spans="1:11">
      <c r="A32" s="16" t="s">
        <v>123</v>
      </c>
      <c r="B32" s="16" t="s">
        <v>124</v>
      </c>
      <c r="C32" s="16" t="s">
        <v>125</v>
      </c>
      <c r="D32" s="16" t="s">
        <v>124</v>
      </c>
      <c r="E32" s="16" t="s">
        <v>125</v>
      </c>
      <c r="F32" s="16" t="s">
        <v>124</v>
      </c>
      <c r="G32" s="16" t="s">
        <v>125</v>
      </c>
      <c r="H32" s="31"/>
      <c r="I32" s="17"/>
      <c r="J32" s="17"/>
      <c r="K32" s="31"/>
    </row>
    <row r="33" spans="1:11">
      <c r="A33" s="16">
        <v>100</v>
      </c>
      <c r="B33" s="17">
        <f t="shared" ref="B33:B96" si="0">(A33)*1000000/(4*PI())*$C$12*RADIANS($C$19)*RADIANS($C$20)</f>
        <v>4.3122149182434537</v>
      </c>
      <c r="C33" s="17">
        <f>B33/$C$16</f>
        <v>1046.4213818397291</v>
      </c>
      <c r="D33" s="17">
        <f t="shared" ref="D33:D96" si="1">($A33)*1000000/(4*PI())*$C$12*RADIANS($C$19)*RADIANS($D$20)</f>
        <v>8.6244298364869074</v>
      </c>
      <c r="E33" s="17">
        <f>D33/$D$16</f>
        <v>1046.4213816860067</v>
      </c>
      <c r="F33" s="17">
        <f t="shared" ref="F33:F96" si="2">($A33)*1000000/(4*PI())*$C$12*RADIANS($C$19)*RADIANS($E$20)</f>
        <v>34.49771934594763</v>
      </c>
      <c r="G33" s="17">
        <f>F33/$E$16</f>
        <v>1046.4213786115647</v>
      </c>
      <c r="H33" s="31"/>
      <c r="I33" s="17"/>
      <c r="J33" s="17"/>
      <c r="K33" s="31"/>
    </row>
    <row r="34" spans="1:11">
      <c r="A34" s="16">
        <v>200</v>
      </c>
      <c r="B34" s="17">
        <f t="shared" si="0"/>
        <v>8.6244298364869074</v>
      </c>
      <c r="C34" s="17">
        <f t="shared" ref="C34:C97" si="3">B34/$C$16</f>
        <v>2092.8427636794581</v>
      </c>
      <c r="D34" s="17">
        <f t="shared" si="1"/>
        <v>17.248859672973815</v>
      </c>
      <c r="E34" s="17">
        <f t="shared" ref="E34:E97" si="4">D34/$D$16</f>
        <v>2092.8427633720135</v>
      </c>
      <c r="F34" s="17">
        <f t="shared" si="2"/>
        <v>68.995438691895259</v>
      </c>
      <c r="G34" s="17">
        <f t="shared" ref="G34:G97" si="5">F34/$E$16</f>
        <v>2092.8427572231294</v>
      </c>
      <c r="H34" s="31"/>
      <c r="I34" s="17"/>
      <c r="J34" s="17"/>
      <c r="K34" s="31"/>
    </row>
    <row r="35" spans="1:11">
      <c r="A35" s="16">
        <v>300</v>
      </c>
      <c r="B35" s="17">
        <f t="shared" si="0"/>
        <v>12.936644754730359</v>
      </c>
      <c r="C35" s="17">
        <f t="shared" si="3"/>
        <v>3139.264145519187</v>
      </c>
      <c r="D35" s="17">
        <f t="shared" si="1"/>
        <v>25.873289509460719</v>
      </c>
      <c r="E35" s="17">
        <f t="shared" si="4"/>
        <v>3139.2641450580199</v>
      </c>
      <c r="F35" s="17">
        <f t="shared" si="2"/>
        <v>103.49315803784287</v>
      </c>
      <c r="G35" s="17">
        <f t="shared" si="5"/>
        <v>3139.2641358346937</v>
      </c>
      <c r="H35" s="31"/>
      <c r="I35" s="17"/>
      <c r="J35" s="17"/>
      <c r="K35" s="31"/>
    </row>
    <row r="36" spans="1:11">
      <c r="A36" s="16">
        <v>400</v>
      </c>
      <c r="B36" s="17">
        <f t="shared" si="0"/>
        <v>17.248859672973815</v>
      </c>
      <c r="C36" s="17">
        <f t="shared" si="3"/>
        <v>4185.6855273589163</v>
      </c>
      <c r="D36" s="17">
        <f t="shared" si="1"/>
        <v>34.49771934594763</v>
      </c>
      <c r="E36" s="17">
        <f t="shared" si="4"/>
        <v>4185.6855267440269</v>
      </c>
      <c r="F36" s="17">
        <f t="shared" si="2"/>
        <v>137.99087738379052</v>
      </c>
      <c r="G36" s="17">
        <f t="shared" si="5"/>
        <v>4185.6855144462588</v>
      </c>
      <c r="H36" s="31"/>
      <c r="I36" s="17"/>
      <c r="J36" s="17"/>
      <c r="K36" s="31"/>
    </row>
    <row r="37" spans="1:11">
      <c r="A37" s="16">
        <v>500</v>
      </c>
      <c r="B37" s="17">
        <f t="shared" si="0"/>
        <v>21.561074591217267</v>
      </c>
      <c r="C37" s="17">
        <f t="shared" si="3"/>
        <v>5232.1069091986446</v>
      </c>
      <c r="D37" s="17">
        <f t="shared" si="1"/>
        <v>43.122149182434534</v>
      </c>
      <c r="E37" s="17">
        <f t="shared" si="4"/>
        <v>5232.1069084300334</v>
      </c>
      <c r="F37" s="17">
        <f t="shared" si="2"/>
        <v>172.48859672973813</v>
      </c>
      <c r="G37" s="17">
        <f t="shared" si="5"/>
        <v>5232.1068930578231</v>
      </c>
      <c r="H37" s="31"/>
      <c r="I37" s="17"/>
      <c r="J37" s="17"/>
      <c r="K37" s="31"/>
    </row>
    <row r="38" spans="1:11">
      <c r="A38" s="16">
        <v>600</v>
      </c>
      <c r="B38" s="17">
        <f t="shared" si="0"/>
        <v>25.873289509460719</v>
      </c>
      <c r="C38" s="17">
        <f t="shared" si="3"/>
        <v>6278.5282910383739</v>
      </c>
      <c r="D38" s="17">
        <f t="shared" si="1"/>
        <v>51.746579018921437</v>
      </c>
      <c r="E38" s="17">
        <f t="shared" si="4"/>
        <v>6278.5282901160399</v>
      </c>
      <c r="F38" s="17">
        <f t="shared" si="2"/>
        <v>206.98631607568575</v>
      </c>
      <c r="G38" s="17">
        <f t="shared" si="5"/>
        <v>6278.5282716693873</v>
      </c>
      <c r="H38" s="31"/>
      <c r="I38" s="17"/>
      <c r="J38" s="17"/>
      <c r="K38" s="31"/>
    </row>
    <row r="39" spans="1:11">
      <c r="A39" s="16">
        <v>700</v>
      </c>
      <c r="B39" s="17">
        <f t="shared" si="0"/>
        <v>30.185504427704174</v>
      </c>
      <c r="C39" s="17">
        <f t="shared" si="3"/>
        <v>7324.9496728781032</v>
      </c>
      <c r="D39" s="17">
        <f t="shared" si="1"/>
        <v>60.371008855408348</v>
      </c>
      <c r="E39" s="17">
        <f t="shared" si="4"/>
        <v>7324.9496718020473</v>
      </c>
      <c r="F39" s="17">
        <f t="shared" si="2"/>
        <v>241.48403542163339</v>
      </c>
      <c r="G39" s="17">
        <f t="shared" si="5"/>
        <v>7324.9496502809525</v>
      </c>
      <c r="H39" s="31"/>
      <c r="I39" s="17"/>
      <c r="J39" s="17"/>
      <c r="K39" s="31"/>
    </row>
    <row r="40" spans="1:11">
      <c r="A40" s="16">
        <v>800</v>
      </c>
      <c r="B40" s="17">
        <f t="shared" si="0"/>
        <v>34.49771934594763</v>
      </c>
      <c r="C40" s="17">
        <f t="shared" si="3"/>
        <v>8371.3710547178325</v>
      </c>
      <c r="D40" s="17">
        <f t="shared" si="1"/>
        <v>68.995438691895259</v>
      </c>
      <c r="E40" s="17">
        <f t="shared" si="4"/>
        <v>8371.3710534880538</v>
      </c>
      <c r="F40" s="17">
        <f t="shared" si="2"/>
        <v>275.98175476758104</v>
      </c>
      <c r="G40" s="17">
        <f t="shared" si="5"/>
        <v>8371.3710288925176</v>
      </c>
      <c r="H40" s="31"/>
      <c r="I40" s="17"/>
      <c r="J40" s="17"/>
      <c r="K40" s="31"/>
    </row>
    <row r="41" spans="1:11">
      <c r="A41" s="16">
        <v>900</v>
      </c>
      <c r="B41" s="17">
        <f t="shared" si="0"/>
        <v>38.809934264191078</v>
      </c>
      <c r="C41" s="17">
        <f t="shared" si="3"/>
        <v>9417.79243655756</v>
      </c>
      <c r="D41" s="17">
        <f t="shared" si="1"/>
        <v>77.619868528382156</v>
      </c>
      <c r="E41" s="17">
        <f t="shared" si="4"/>
        <v>9417.7924351740603</v>
      </c>
      <c r="F41" s="17">
        <f t="shared" si="2"/>
        <v>310.47947411352862</v>
      </c>
      <c r="G41" s="17">
        <f t="shared" si="5"/>
        <v>9417.792407504081</v>
      </c>
      <c r="H41" s="31"/>
      <c r="I41" s="17"/>
      <c r="J41" s="17"/>
      <c r="K41" s="31"/>
    </row>
    <row r="42" spans="1:11">
      <c r="A42" s="16">
        <v>1000</v>
      </c>
      <c r="B42" s="17">
        <f t="shared" si="0"/>
        <v>43.122149182434534</v>
      </c>
      <c r="C42" s="17">
        <f t="shared" si="3"/>
        <v>10464.213818397289</v>
      </c>
      <c r="D42" s="17">
        <f t="shared" si="1"/>
        <v>86.244298364869067</v>
      </c>
      <c r="E42" s="17">
        <f t="shared" si="4"/>
        <v>10464.213816860067</v>
      </c>
      <c r="F42" s="17">
        <f t="shared" si="2"/>
        <v>344.97719345947627</v>
      </c>
      <c r="G42" s="17">
        <f t="shared" si="5"/>
        <v>10464.213786115646</v>
      </c>
      <c r="H42" s="31"/>
      <c r="I42" s="17"/>
      <c r="J42" s="17"/>
      <c r="K42" s="31"/>
    </row>
    <row r="43" spans="1:11">
      <c r="A43" s="16">
        <v>1100</v>
      </c>
      <c r="B43" s="17">
        <f t="shared" si="0"/>
        <v>47.434364100677989</v>
      </c>
      <c r="C43" s="17">
        <f t="shared" si="3"/>
        <v>11510.635200237019</v>
      </c>
      <c r="D43" s="17">
        <f t="shared" si="1"/>
        <v>94.868728201355978</v>
      </c>
      <c r="E43" s="17">
        <f t="shared" si="4"/>
        <v>11510.635198546075</v>
      </c>
      <c r="F43" s="17">
        <f t="shared" si="2"/>
        <v>379.47491280542391</v>
      </c>
      <c r="G43" s="17">
        <f t="shared" si="5"/>
        <v>11510.635164727211</v>
      </c>
      <c r="H43" s="31"/>
      <c r="I43" s="17"/>
      <c r="J43" s="17"/>
      <c r="K43" s="31"/>
    </row>
    <row r="44" spans="1:11">
      <c r="A44" s="16">
        <v>1200</v>
      </c>
      <c r="B44" s="17">
        <f t="shared" si="0"/>
        <v>51.746579018921437</v>
      </c>
      <c r="C44" s="17">
        <f t="shared" si="3"/>
        <v>12557.056582076748</v>
      </c>
      <c r="D44" s="17">
        <f t="shared" si="1"/>
        <v>103.49315803784287</v>
      </c>
      <c r="E44" s="17">
        <f t="shared" si="4"/>
        <v>12557.05658023208</v>
      </c>
      <c r="F44" s="17">
        <f t="shared" si="2"/>
        <v>413.9726321513715</v>
      </c>
      <c r="G44" s="17">
        <f t="shared" si="5"/>
        <v>12557.056543338775</v>
      </c>
      <c r="H44" s="31"/>
      <c r="I44" s="17"/>
      <c r="J44" s="17"/>
      <c r="K44" s="31"/>
    </row>
    <row r="45" spans="1:11">
      <c r="A45" s="16">
        <v>1300</v>
      </c>
      <c r="B45" s="17">
        <f t="shared" si="0"/>
        <v>56.058793937164907</v>
      </c>
      <c r="C45" s="17">
        <f t="shared" si="3"/>
        <v>13603.477963916481</v>
      </c>
      <c r="D45" s="17">
        <f t="shared" si="1"/>
        <v>112.11758787432981</v>
      </c>
      <c r="E45" s="17">
        <f t="shared" si="4"/>
        <v>13603.47796191809</v>
      </c>
      <c r="F45" s="17">
        <f t="shared" si="2"/>
        <v>448.47035149731926</v>
      </c>
      <c r="G45" s="17">
        <f t="shared" si="5"/>
        <v>13603.477921950343</v>
      </c>
      <c r="H45" s="31"/>
      <c r="I45" s="17"/>
      <c r="J45" s="17"/>
      <c r="K45" s="31"/>
    </row>
    <row r="46" spans="1:11">
      <c r="A46" s="16">
        <v>1400</v>
      </c>
      <c r="B46" s="17">
        <f t="shared" si="0"/>
        <v>60.371008855408348</v>
      </c>
      <c r="C46" s="17">
        <f t="shared" si="3"/>
        <v>14649.899345756206</v>
      </c>
      <c r="D46" s="17">
        <f t="shared" si="1"/>
        <v>120.7420177108167</v>
      </c>
      <c r="E46" s="17">
        <f t="shared" si="4"/>
        <v>14649.899343604095</v>
      </c>
      <c r="F46" s="17">
        <f t="shared" si="2"/>
        <v>482.96807084326679</v>
      </c>
      <c r="G46" s="17">
        <f t="shared" si="5"/>
        <v>14649.899300561905</v>
      </c>
      <c r="H46" s="31"/>
      <c r="I46" s="17"/>
      <c r="J46" s="17"/>
      <c r="K46" s="31"/>
    </row>
    <row r="47" spans="1:11">
      <c r="A47" s="16">
        <v>1500</v>
      </c>
      <c r="B47" s="17">
        <f t="shared" si="0"/>
        <v>64.683223773651804</v>
      </c>
      <c r="C47" s="17">
        <f t="shared" si="3"/>
        <v>15696.320727595936</v>
      </c>
      <c r="D47" s="17">
        <f t="shared" si="1"/>
        <v>129.36644754730361</v>
      </c>
      <c r="E47" s="17">
        <f t="shared" si="4"/>
        <v>15696.320725290101</v>
      </c>
      <c r="F47" s="17">
        <f t="shared" si="2"/>
        <v>517.46579018921443</v>
      </c>
      <c r="G47" s="17">
        <f t="shared" si="5"/>
        <v>15696.32067917347</v>
      </c>
      <c r="H47" s="31"/>
      <c r="I47" s="17"/>
      <c r="J47" s="17"/>
      <c r="K47" s="31"/>
    </row>
    <row r="48" spans="1:11">
      <c r="A48" s="16">
        <v>1600</v>
      </c>
      <c r="B48" s="17">
        <f t="shared" si="0"/>
        <v>68.995438691895259</v>
      </c>
      <c r="C48" s="17">
        <f t="shared" si="3"/>
        <v>16742.742109435665</v>
      </c>
      <c r="D48" s="17">
        <f t="shared" si="1"/>
        <v>137.99087738379052</v>
      </c>
      <c r="E48" s="17">
        <f t="shared" si="4"/>
        <v>16742.742106976108</v>
      </c>
      <c r="F48" s="17">
        <f t="shared" si="2"/>
        <v>551.96350953516207</v>
      </c>
      <c r="G48" s="17">
        <f t="shared" si="5"/>
        <v>16742.742057785035</v>
      </c>
      <c r="H48" s="31"/>
      <c r="I48" s="17"/>
      <c r="J48" s="17"/>
      <c r="K48" s="31"/>
    </row>
    <row r="49" spans="1:11">
      <c r="A49" s="16">
        <v>1700</v>
      </c>
      <c r="B49" s="17">
        <f t="shared" si="0"/>
        <v>73.307653610138701</v>
      </c>
      <c r="C49" s="17">
        <f t="shared" si="3"/>
        <v>17789.163491275391</v>
      </c>
      <c r="D49" s="17">
        <f t="shared" si="1"/>
        <v>146.6153072202774</v>
      </c>
      <c r="E49" s="17">
        <f t="shared" si="4"/>
        <v>17789.163488662114</v>
      </c>
      <c r="F49" s="17">
        <f t="shared" si="2"/>
        <v>586.46122888110961</v>
      </c>
      <c r="G49" s="17">
        <f t="shared" si="5"/>
        <v>17789.163436396597</v>
      </c>
      <c r="H49" s="31"/>
      <c r="I49" s="17"/>
      <c r="J49" s="17"/>
      <c r="K49" s="31"/>
    </row>
    <row r="50" spans="1:11">
      <c r="A50" s="16">
        <v>1800</v>
      </c>
      <c r="B50" s="17">
        <f t="shared" si="0"/>
        <v>77.619868528382156</v>
      </c>
      <c r="C50" s="17">
        <f t="shared" si="3"/>
        <v>18835.58487311512</v>
      </c>
      <c r="D50" s="17">
        <f t="shared" si="1"/>
        <v>155.23973705676431</v>
      </c>
      <c r="E50" s="17">
        <f t="shared" si="4"/>
        <v>18835.584870348121</v>
      </c>
      <c r="F50" s="17">
        <f t="shared" si="2"/>
        <v>620.95894822705725</v>
      </c>
      <c r="G50" s="17">
        <f t="shared" si="5"/>
        <v>18835.584815008162</v>
      </c>
      <c r="H50" s="31"/>
      <c r="I50" s="17"/>
      <c r="J50" s="17"/>
      <c r="K50" s="31"/>
    </row>
    <row r="51" spans="1:11">
      <c r="A51" s="16">
        <v>1900</v>
      </c>
      <c r="B51" s="17">
        <f t="shared" si="0"/>
        <v>81.932083446625612</v>
      </c>
      <c r="C51" s="17">
        <f t="shared" si="3"/>
        <v>19882.006254954849</v>
      </c>
      <c r="D51" s="17">
        <f t="shared" si="1"/>
        <v>163.86416689325122</v>
      </c>
      <c r="E51" s="17">
        <f t="shared" si="4"/>
        <v>19882.006252034127</v>
      </c>
      <c r="F51" s="17">
        <f t="shared" si="2"/>
        <v>655.45666757300489</v>
      </c>
      <c r="G51" s="17">
        <f t="shared" si="5"/>
        <v>19882.006193619727</v>
      </c>
      <c r="H51" s="31"/>
      <c r="I51" s="17"/>
      <c r="J51" s="17"/>
      <c r="K51" s="31"/>
    </row>
    <row r="52" spans="1:11">
      <c r="A52" s="16">
        <v>2000</v>
      </c>
      <c r="B52" s="17">
        <f t="shared" si="0"/>
        <v>86.244298364869067</v>
      </c>
      <c r="C52" s="17">
        <f t="shared" si="3"/>
        <v>20928.427636794579</v>
      </c>
      <c r="D52" s="17">
        <f t="shared" si="1"/>
        <v>172.48859672973813</v>
      </c>
      <c r="E52" s="17">
        <f t="shared" si="4"/>
        <v>20928.427633720134</v>
      </c>
      <c r="F52" s="17">
        <f t="shared" si="2"/>
        <v>689.95438691895254</v>
      </c>
      <c r="G52" s="17">
        <f t="shared" si="5"/>
        <v>20928.427572231292</v>
      </c>
      <c r="H52" s="31"/>
      <c r="I52" s="17"/>
      <c r="J52" s="17"/>
      <c r="K52" s="31"/>
    </row>
    <row r="53" spans="1:11">
      <c r="A53" s="16">
        <v>2100</v>
      </c>
      <c r="B53" s="17">
        <f t="shared" si="0"/>
        <v>90.556513283112537</v>
      </c>
      <c r="C53" s="17">
        <f t="shared" si="3"/>
        <v>21974.849018634312</v>
      </c>
      <c r="D53" s="17">
        <f t="shared" si="1"/>
        <v>181.11302656622507</v>
      </c>
      <c r="E53" s="17">
        <f t="shared" si="4"/>
        <v>21974.849015406144</v>
      </c>
      <c r="F53" s="17">
        <f t="shared" si="2"/>
        <v>724.45210626490029</v>
      </c>
      <c r="G53" s="17">
        <f t="shared" si="5"/>
        <v>21974.848950842861</v>
      </c>
      <c r="H53" s="31"/>
      <c r="I53" s="17"/>
      <c r="J53" s="17"/>
      <c r="K53" s="31"/>
    </row>
    <row r="54" spans="1:11">
      <c r="A54" s="16">
        <v>2200</v>
      </c>
      <c r="B54" s="17">
        <f t="shared" si="0"/>
        <v>94.868728201355978</v>
      </c>
      <c r="C54" s="17">
        <f t="shared" si="3"/>
        <v>23021.270400474037</v>
      </c>
      <c r="D54" s="17">
        <f t="shared" si="1"/>
        <v>189.73745640271196</v>
      </c>
      <c r="E54" s="17">
        <f t="shared" si="4"/>
        <v>23021.27039709215</v>
      </c>
      <c r="F54" s="17">
        <f t="shared" si="2"/>
        <v>758.94982561084782</v>
      </c>
      <c r="G54" s="17">
        <f t="shared" si="5"/>
        <v>23021.270329454423</v>
      </c>
      <c r="H54" s="31"/>
      <c r="I54" s="17"/>
      <c r="J54" s="17"/>
      <c r="K54" s="31"/>
    </row>
    <row r="55" spans="1:11">
      <c r="A55" s="16">
        <v>2300</v>
      </c>
      <c r="B55" s="17">
        <f t="shared" si="0"/>
        <v>99.180943119599448</v>
      </c>
      <c r="C55" s="17">
        <f t="shared" si="3"/>
        <v>24067.69178231377</v>
      </c>
      <c r="D55" s="17">
        <f t="shared" si="1"/>
        <v>198.3618862391989</v>
      </c>
      <c r="E55" s="17">
        <f t="shared" si="4"/>
        <v>24067.69177877816</v>
      </c>
      <c r="F55" s="17">
        <f t="shared" si="2"/>
        <v>793.44754495679558</v>
      </c>
      <c r="G55" s="17">
        <f t="shared" si="5"/>
        <v>24067.691708065991</v>
      </c>
      <c r="H55" s="31"/>
      <c r="I55" s="17"/>
      <c r="J55" s="17"/>
      <c r="K55" s="31"/>
    </row>
    <row r="56" spans="1:11">
      <c r="A56" s="16">
        <v>2400</v>
      </c>
      <c r="B56" s="17">
        <f t="shared" si="0"/>
        <v>103.49315803784287</v>
      </c>
      <c r="C56" s="17">
        <f t="shared" si="3"/>
        <v>25114.113164153496</v>
      </c>
      <c r="D56" s="17">
        <f t="shared" si="1"/>
        <v>206.98631607568575</v>
      </c>
      <c r="E56" s="17">
        <f t="shared" si="4"/>
        <v>25114.11316046416</v>
      </c>
      <c r="F56" s="17">
        <f t="shared" si="2"/>
        <v>827.945264302743</v>
      </c>
      <c r="G56" s="17">
        <f t="shared" si="5"/>
        <v>25114.113086677549</v>
      </c>
      <c r="H56" s="31"/>
      <c r="I56" s="17"/>
      <c r="J56" s="17"/>
      <c r="K56" s="31"/>
    </row>
    <row r="57" spans="1:11">
      <c r="A57" s="16">
        <v>2500</v>
      </c>
      <c r="B57" s="17">
        <f t="shared" si="0"/>
        <v>107.80537295608633</v>
      </c>
      <c r="C57" s="17">
        <f t="shared" si="3"/>
        <v>26160.534545993225</v>
      </c>
      <c r="D57" s="17">
        <f t="shared" si="1"/>
        <v>215.61074591217266</v>
      </c>
      <c r="E57" s="17">
        <f t="shared" si="4"/>
        <v>26160.534542150166</v>
      </c>
      <c r="F57" s="17">
        <f t="shared" si="2"/>
        <v>862.44298364869064</v>
      </c>
      <c r="G57" s="17">
        <f t="shared" si="5"/>
        <v>26160.534465289114</v>
      </c>
      <c r="H57" s="31"/>
      <c r="I57" s="17"/>
      <c r="J57" s="17"/>
      <c r="K57" s="31"/>
    </row>
    <row r="58" spans="1:11">
      <c r="A58" s="16">
        <v>2600</v>
      </c>
      <c r="B58" s="17">
        <f t="shared" si="0"/>
        <v>112.11758787432981</v>
      </c>
      <c r="C58" s="17">
        <f t="shared" si="3"/>
        <v>27206.955927832962</v>
      </c>
      <c r="D58" s="17">
        <f t="shared" si="1"/>
        <v>224.23517574865963</v>
      </c>
      <c r="E58" s="17">
        <f t="shared" si="4"/>
        <v>27206.95592383618</v>
      </c>
      <c r="F58" s="17">
        <f t="shared" si="2"/>
        <v>896.94070299463851</v>
      </c>
      <c r="G58" s="17">
        <f t="shared" si="5"/>
        <v>27206.955843900687</v>
      </c>
      <c r="H58" s="31"/>
      <c r="I58" s="17"/>
      <c r="J58" s="17"/>
      <c r="K58" s="31"/>
    </row>
    <row r="59" spans="1:11">
      <c r="A59" s="16">
        <v>2700</v>
      </c>
      <c r="B59" s="17">
        <f t="shared" si="0"/>
        <v>116.42980279257324</v>
      </c>
      <c r="C59" s="17">
        <f t="shared" si="3"/>
        <v>28253.377309672684</v>
      </c>
      <c r="D59" s="17">
        <f t="shared" si="1"/>
        <v>232.85960558514648</v>
      </c>
      <c r="E59" s="17">
        <f t="shared" si="4"/>
        <v>28253.377305522183</v>
      </c>
      <c r="F59" s="17">
        <f t="shared" si="2"/>
        <v>931.43842234058593</v>
      </c>
      <c r="G59" s="17">
        <f t="shared" si="5"/>
        <v>28253.377222512245</v>
      </c>
      <c r="H59" s="31"/>
      <c r="I59" s="17"/>
      <c r="J59" s="17"/>
      <c r="K59" s="31"/>
    </row>
    <row r="60" spans="1:11">
      <c r="A60" s="16">
        <v>2800</v>
      </c>
      <c r="B60" s="17">
        <f t="shared" si="0"/>
        <v>120.7420177108167</v>
      </c>
      <c r="C60" s="17">
        <f t="shared" si="3"/>
        <v>29299.798691512413</v>
      </c>
      <c r="D60" s="17">
        <f t="shared" si="1"/>
        <v>241.48403542163339</v>
      </c>
      <c r="E60" s="17">
        <f t="shared" si="4"/>
        <v>29299.798687208189</v>
      </c>
      <c r="F60" s="17">
        <f t="shared" si="2"/>
        <v>965.93614168653357</v>
      </c>
      <c r="G60" s="17">
        <f t="shared" si="5"/>
        <v>29299.79860112381</v>
      </c>
      <c r="H60" s="31"/>
      <c r="I60" s="17"/>
      <c r="J60" s="17"/>
      <c r="K60" s="31"/>
    </row>
    <row r="61" spans="1:11">
      <c r="A61" s="16">
        <v>2900</v>
      </c>
      <c r="B61" s="17">
        <f t="shared" si="0"/>
        <v>125.05423262906014</v>
      </c>
      <c r="C61" s="17">
        <f t="shared" si="3"/>
        <v>30346.220073352139</v>
      </c>
      <c r="D61" s="17">
        <f t="shared" si="1"/>
        <v>250.10846525812028</v>
      </c>
      <c r="E61" s="17">
        <f t="shared" si="4"/>
        <v>30346.220068894192</v>
      </c>
      <c r="F61" s="17">
        <f t="shared" si="2"/>
        <v>1000.4338610324811</v>
      </c>
      <c r="G61" s="17">
        <f t="shared" si="5"/>
        <v>30346.219979735371</v>
      </c>
      <c r="H61" s="31"/>
      <c r="I61" s="17"/>
      <c r="J61" s="17"/>
      <c r="K61" s="31"/>
    </row>
    <row r="62" spans="1:11">
      <c r="A62" s="16">
        <v>3000</v>
      </c>
      <c r="B62" s="17">
        <f t="shared" si="0"/>
        <v>129.36644754730361</v>
      </c>
      <c r="C62" s="17">
        <f t="shared" si="3"/>
        <v>31392.641455191872</v>
      </c>
      <c r="D62" s="17">
        <f t="shared" si="1"/>
        <v>258.73289509460722</v>
      </c>
      <c r="E62" s="17">
        <f t="shared" si="4"/>
        <v>31392.641450580202</v>
      </c>
      <c r="F62" s="17">
        <f t="shared" si="2"/>
        <v>1034.9315803784289</v>
      </c>
      <c r="G62" s="17">
        <f t="shared" si="5"/>
        <v>31392.64135834694</v>
      </c>
      <c r="H62" s="31"/>
      <c r="I62" s="17"/>
      <c r="J62" s="17"/>
      <c r="K62" s="31"/>
    </row>
    <row r="63" spans="1:11">
      <c r="A63" s="16">
        <v>3100</v>
      </c>
      <c r="B63" s="17">
        <f t="shared" si="0"/>
        <v>133.67866246554709</v>
      </c>
      <c r="C63" s="17">
        <f t="shared" si="3"/>
        <v>32439.062837031608</v>
      </c>
      <c r="D63" s="17">
        <f t="shared" si="1"/>
        <v>267.35732493109418</v>
      </c>
      <c r="E63" s="17">
        <f t="shared" si="4"/>
        <v>32439.062832266216</v>
      </c>
      <c r="F63" s="17">
        <f t="shared" si="2"/>
        <v>1069.4292997243767</v>
      </c>
      <c r="G63" s="17">
        <f t="shared" si="5"/>
        <v>32439.062736958513</v>
      </c>
      <c r="H63" s="31"/>
      <c r="I63" s="17"/>
      <c r="J63" s="17"/>
      <c r="K63" s="31"/>
    </row>
    <row r="64" spans="1:11">
      <c r="A64" s="16">
        <v>3200</v>
      </c>
      <c r="B64" s="17">
        <f t="shared" si="0"/>
        <v>137.99087738379052</v>
      </c>
      <c r="C64" s="17">
        <f t="shared" si="3"/>
        <v>33485.48421887133</v>
      </c>
      <c r="D64" s="17">
        <f t="shared" si="1"/>
        <v>275.98175476758104</v>
      </c>
      <c r="E64" s="17">
        <f t="shared" si="4"/>
        <v>33485.484213952215</v>
      </c>
      <c r="F64" s="17">
        <f t="shared" si="2"/>
        <v>1103.9270190703241</v>
      </c>
      <c r="G64" s="17">
        <f t="shared" si="5"/>
        <v>33485.484115570071</v>
      </c>
      <c r="H64" s="31"/>
      <c r="I64" s="17"/>
      <c r="J64" s="17"/>
      <c r="K64" s="31"/>
    </row>
    <row r="65" spans="1:11">
      <c r="A65" s="16">
        <v>3300</v>
      </c>
      <c r="B65" s="17">
        <f t="shared" si="0"/>
        <v>142.30309230203395</v>
      </c>
      <c r="C65" s="17">
        <f t="shared" si="3"/>
        <v>34531.905600711056</v>
      </c>
      <c r="D65" s="17">
        <f t="shared" si="1"/>
        <v>284.60618460406789</v>
      </c>
      <c r="E65" s="17">
        <f t="shared" si="4"/>
        <v>34531.905595638222</v>
      </c>
      <c r="F65" s="17">
        <f t="shared" si="2"/>
        <v>1138.4247384162716</v>
      </c>
      <c r="G65" s="17">
        <f t="shared" si="5"/>
        <v>34531.905494181628</v>
      </c>
      <c r="H65" s="31"/>
      <c r="I65" s="17"/>
      <c r="J65" s="17"/>
      <c r="K65" s="31"/>
    </row>
    <row r="66" spans="1:11">
      <c r="A66" s="16">
        <v>3400</v>
      </c>
      <c r="B66" s="17">
        <f t="shared" si="0"/>
        <v>146.6153072202774</v>
      </c>
      <c r="C66" s="17">
        <f t="shared" si="3"/>
        <v>35578.326982550781</v>
      </c>
      <c r="D66" s="17">
        <f t="shared" si="1"/>
        <v>293.2306144405548</v>
      </c>
      <c r="E66" s="17">
        <f t="shared" si="4"/>
        <v>35578.326977324228</v>
      </c>
      <c r="F66" s="17">
        <f t="shared" si="2"/>
        <v>1172.9224577622192</v>
      </c>
      <c r="G66" s="17">
        <f t="shared" si="5"/>
        <v>35578.326872793194</v>
      </c>
      <c r="H66" s="31"/>
      <c r="I66" s="17"/>
      <c r="J66" s="17"/>
      <c r="K66" s="31"/>
    </row>
    <row r="67" spans="1:11">
      <c r="A67" s="16">
        <v>3500</v>
      </c>
      <c r="B67" s="17">
        <f t="shared" si="0"/>
        <v>150.92752213852086</v>
      </c>
      <c r="C67" s="17">
        <f t="shared" si="3"/>
        <v>36624.748364390514</v>
      </c>
      <c r="D67" s="17">
        <f t="shared" si="1"/>
        <v>301.85504427704171</v>
      </c>
      <c r="E67" s="17">
        <f t="shared" si="4"/>
        <v>36624.748359010235</v>
      </c>
      <c r="F67" s="17">
        <f t="shared" si="2"/>
        <v>1207.4201771081669</v>
      </c>
      <c r="G67" s="17">
        <f t="shared" si="5"/>
        <v>36624.748251404759</v>
      </c>
      <c r="H67" s="31"/>
      <c r="I67" s="17"/>
      <c r="J67" s="17"/>
      <c r="K67" s="31"/>
    </row>
    <row r="68" spans="1:11">
      <c r="A68" s="16">
        <v>3600</v>
      </c>
      <c r="B68" s="17">
        <f t="shared" si="0"/>
        <v>155.23973705676431</v>
      </c>
      <c r="C68" s="17">
        <f t="shared" si="3"/>
        <v>37671.16974623024</v>
      </c>
      <c r="D68" s="17">
        <f t="shared" si="1"/>
        <v>310.47947411352862</v>
      </c>
      <c r="E68" s="17">
        <f t="shared" si="4"/>
        <v>37671.169740696241</v>
      </c>
      <c r="F68" s="17">
        <f t="shared" si="2"/>
        <v>1241.9178964541145</v>
      </c>
      <c r="G68" s="17">
        <f t="shared" si="5"/>
        <v>37671.169630016324</v>
      </c>
      <c r="H68" s="31"/>
      <c r="I68" s="17"/>
      <c r="J68" s="17"/>
      <c r="K68" s="31"/>
    </row>
    <row r="69" spans="1:11">
      <c r="A69" s="16">
        <v>3700</v>
      </c>
      <c r="B69" s="17">
        <f t="shared" si="0"/>
        <v>159.5519519750078</v>
      </c>
      <c r="C69" s="17">
        <f t="shared" si="3"/>
        <v>38717.59112806998</v>
      </c>
      <c r="D69" s="17">
        <f t="shared" si="1"/>
        <v>319.10390395001559</v>
      </c>
      <c r="E69" s="17">
        <f t="shared" si="4"/>
        <v>38717.591122382255</v>
      </c>
      <c r="F69" s="17">
        <f t="shared" si="2"/>
        <v>1276.4156158000624</v>
      </c>
      <c r="G69" s="17">
        <f t="shared" si="5"/>
        <v>38717.591008627896</v>
      </c>
      <c r="H69" s="31"/>
      <c r="I69" s="17"/>
      <c r="J69" s="17"/>
      <c r="K69" s="31"/>
    </row>
    <row r="70" spans="1:11">
      <c r="A70" s="16">
        <v>3800</v>
      </c>
      <c r="B70" s="17">
        <f t="shared" si="0"/>
        <v>163.86416689325122</v>
      </c>
      <c r="C70" s="17">
        <f t="shared" si="3"/>
        <v>39764.012509909699</v>
      </c>
      <c r="D70" s="17">
        <f t="shared" si="1"/>
        <v>327.72833378650245</v>
      </c>
      <c r="E70" s="17">
        <f t="shared" si="4"/>
        <v>39764.012504068254</v>
      </c>
      <c r="F70" s="17">
        <f t="shared" si="2"/>
        <v>1310.9133351460098</v>
      </c>
      <c r="G70" s="17">
        <f t="shared" si="5"/>
        <v>39764.012387239454</v>
      </c>
      <c r="H70" s="31"/>
      <c r="I70" s="17"/>
      <c r="J70" s="17"/>
      <c r="K70" s="31"/>
    </row>
    <row r="71" spans="1:11">
      <c r="A71" s="16">
        <v>3900</v>
      </c>
      <c r="B71" s="17">
        <f t="shared" si="0"/>
        <v>168.17638181149468</v>
      </c>
      <c r="C71" s="17">
        <f t="shared" si="3"/>
        <v>40810.433891749431</v>
      </c>
      <c r="D71" s="17">
        <f t="shared" si="1"/>
        <v>336.35276362298936</v>
      </c>
      <c r="E71" s="17">
        <f t="shared" si="4"/>
        <v>40810.433885754261</v>
      </c>
      <c r="F71" s="17">
        <f t="shared" si="2"/>
        <v>1345.4110544919574</v>
      </c>
      <c r="G71" s="17">
        <f t="shared" si="5"/>
        <v>40810.433765851019</v>
      </c>
      <c r="H71" s="31"/>
      <c r="I71" s="17"/>
      <c r="J71" s="17"/>
      <c r="K71" s="31"/>
    </row>
    <row r="72" spans="1:11">
      <c r="A72" s="16">
        <v>4000</v>
      </c>
      <c r="B72" s="17">
        <f t="shared" si="0"/>
        <v>172.48859672973813</v>
      </c>
      <c r="C72" s="17">
        <f t="shared" si="3"/>
        <v>41856.855273589157</v>
      </c>
      <c r="D72" s="17">
        <f t="shared" si="1"/>
        <v>344.97719345947627</v>
      </c>
      <c r="E72" s="17">
        <f t="shared" si="4"/>
        <v>41856.855267440267</v>
      </c>
      <c r="F72" s="17">
        <f t="shared" si="2"/>
        <v>1379.9087738379051</v>
      </c>
      <c r="G72" s="17">
        <f t="shared" si="5"/>
        <v>41856.855144462585</v>
      </c>
      <c r="H72" s="31"/>
      <c r="I72" s="17"/>
      <c r="J72" s="17"/>
      <c r="K72" s="31"/>
    </row>
    <row r="73" spans="1:11">
      <c r="A73" s="16">
        <v>4100</v>
      </c>
      <c r="B73" s="17">
        <f t="shared" si="0"/>
        <v>176.80081164798159</v>
      </c>
      <c r="C73" s="17">
        <f t="shared" si="3"/>
        <v>42903.27665542889</v>
      </c>
      <c r="D73" s="17">
        <f t="shared" si="1"/>
        <v>353.60162329596318</v>
      </c>
      <c r="E73" s="17">
        <f t="shared" si="4"/>
        <v>42903.276649126274</v>
      </c>
      <c r="F73" s="17">
        <f t="shared" si="2"/>
        <v>1414.4064931838527</v>
      </c>
      <c r="G73" s="17">
        <f t="shared" si="5"/>
        <v>42903.27652307415</v>
      </c>
      <c r="H73" s="31"/>
      <c r="I73" s="17"/>
      <c r="J73" s="17"/>
      <c r="K73" s="31"/>
    </row>
    <row r="74" spans="1:11">
      <c r="A74" s="16">
        <v>4200</v>
      </c>
      <c r="B74" s="17">
        <f t="shared" si="0"/>
        <v>181.11302656622507</v>
      </c>
      <c r="C74" s="17">
        <f t="shared" si="3"/>
        <v>43949.698037268623</v>
      </c>
      <c r="D74" s="17">
        <f t="shared" si="1"/>
        <v>362.22605313245015</v>
      </c>
      <c r="E74" s="17">
        <f t="shared" si="4"/>
        <v>43949.698030812287</v>
      </c>
      <c r="F74" s="17">
        <f t="shared" si="2"/>
        <v>1448.9042125298006</v>
      </c>
      <c r="G74" s="17">
        <f t="shared" si="5"/>
        <v>43949.697901685722</v>
      </c>
      <c r="H74" s="31"/>
      <c r="I74" s="17"/>
      <c r="J74" s="17"/>
      <c r="K74" s="31"/>
    </row>
    <row r="75" spans="1:11">
      <c r="A75" s="16">
        <v>4300</v>
      </c>
      <c r="B75" s="17">
        <f t="shared" si="0"/>
        <v>185.42524148446847</v>
      </c>
      <c r="C75" s="17">
        <f t="shared" si="3"/>
        <v>44996.119419108341</v>
      </c>
      <c r="D75" s="17">
        <f t="shared" si="1"/>
        <v>370.85048296893694</v>
      </c>
      <c r="E75" s="17">
        <f t="shared" si="4"/>
        <v>44996.119412498287</v>
      </c>
      <c r="F75" s="17">
        <f t="shared" si="2"/>
        <v>1483.4019318757478</v>
      </c>
      <c r="G75" s="17">
        <f t="shared" si="5"/>
        <v>44996.119280297273</v>
      </c>
      <c r="H75" s="31"/>
      <c r="I75" s="17"/>
      <c r="J75" s="17"/>
      <c r="K75" s="31"/>
    </row>
    <row r="76" spans="1:11">
      <c r="A76" s="16">
        <v>4400</v>
      </c>
      <c r="B76" s="17">
        <f t="shared" si="0"/>
        <v>189.73745640271196</v>
      </c>
      <c r="C76" s="17">
        <f t="shared" si="3"/>
        <v>46042.540800948074</v>
      </c>
      <c r="D76" s="17">
        <f t="shared" si="1"/>
        <v>379.47491280542391</v>
      </c>
      <c r="E76" s="17">
        <f t="shared" si="4"/>
        <v>46042.5407941843</v>
      </c>
      <c r="F76" s="17">
        <f t="shared" si="2"/>
        <v>1517.8996512216956</v>
      </c>
      <c r="G76" s="17">
        <f t="shared" si="5"/>
        <v>46042.540658908845</v>
      </c>
      <c r="H76" s="31"/>
      <c r="I76" s="17"/>
      <c r="J76" s="17"/>
      <c r="K76" s="31"/>
    </row>
    <row r="77" spans="1:11">
      <c r="A77" s="16">
        <v>4500</v>
      </c>
      <c r="B77" s="17">
        <f t="shared" si="0"/>
        <v>194.04967132095541</v>
      </c>
      <c r="C77" s="17">
        <f t="shared" si="3"/>
        <v>47088.962182787807</v>
      </c>
      <c r="D77" s="17">
        <f t="shared" si="1"/>
        <v>388.09934264191082</v>
      </c>
      <c r="E77" s="17">
        <f t="shared" si="4"/>
        <v>47088.962175870307</v>
      </c>
      <c r="F77" s="17">
        <f t="shared" si="2"/>
        <v>1552.3973705676433</v>
      </c>
      <c r="G77" s="17">
        <f t="shared" si="5"/>
        <v>47088.96203752041</v>
      </c>
      <c r="H77" s="31"/>
      <c r="I77" s="17"/>
      <c r="J77" s="17"/>
      <c r="K77" s="31"/>
    </row>
    <row r="78" spans="1:11">
      <c r="A78" s="16">
        <v>4600</v>
      </c>
      <c r="B78" s="17">
        <f t="shared" si="0"/>
        <v>198.3618862391989</v>
      </c>
      <c r="C78" s="17">
        <f t="shared" si="3"/>
        <v>48135.38356462754</v>
      </c>
      <c r="D78" s="17">
        <f t="shared" si="1"/>
        <v>396.72377247839779</v>
      </c>
      <c r="E78" s="17">
        <f t="shared" si="4"/>
        <v>48135.383557556321</v>
      </c>
      <c r="F78" s="17">
        <f t="shared" si="2"/>
        <v>1586.8950899135912</v>
      </c>
      <c r="G78" s="17">
        <f t="shared" si="5"/>
        <v>48135.383416131983</v>
      </c>
      <c r="H78" s="31"/>
      <c r="I78" s="17"/>
      <c r="J78" s="17"/>
      <c r="K78" s="31"/>
    </row>
    <row r="79" spans="1:11">
      <c r="A79" s="16">
        <v>4700</v>
      </c>
      <c r="B79" s="17">
        <f t="shared" si="0"/>
        <v>202.67410115744235</v>
      </c>
      <c r="C79" s="17">
        <f t="shared" si="3"/>
        <v>49181.804946467273</v>
      </c>
      <c r="D79" s="17">
        <f t="shared" si="1"/>
        <v>405.3482023148847</v>
      </c>
      <c r="E79" s="17">
        <f t="shared" si="4"/>
        <v>49181.804939242327</v>
      </c>
      <c r="F79" s="17">
        <f t="shared" si="2"/>
        <v>1621.3928092595388</v>
      </c>
      <c r="G79" s="17">
        <f t="shared" si="5"/>
        <v>49181.804794743548</v>
      </c>
      <c r="H79" s="31"/>
      <c r="I79" s="17"/>
      <c r="J79" s="17"/>
      <c r="K79" s="31"/>
    </row>
    <row r="80" spans="1:11">
      <c r="A80" s="16">
        <v>4800</v>
      </c>
      <c r="B80" s="17">
        <f t="shared" si="0"/>
        <v>206.98631607568575</v>
      </c>
      <c r="C80" s="17">
        <f t="shared" si="3"/>
        <v>50228.226328306991</v>
      </c>
      <c r="D80" s="17">
        <f t="shared" si="1"/>
        <v>413.9726321513715</v>
      </c>
      <c r="E80" s="17">
        <f t="shared" si="4"/>
        <v>50228.226320928319</v>
      </c>
      <c r="F80" s="17">
        <f t="shared" si="2"/>
        <v>1655.890528605486</v>
      </c>
      <c r="G80" s="17">
        <f t="shared" si="5"/>
        <v>50228.226173355099</v>
      </c>
      <c r="H80" s="31"/>
      <c r="I80" s="17"/>
      <c r="J80" s="17"/>
      <c r="K80" s="31"/>
    </row>
    <row r="81" spans="1:11">
      <c r="A81" s="16">
        <v>4900</v>
      </c>
      <c r="B81" s="17">
        <f t="shared" si="0"/>
        <v>211.29853099392921</v>
      </c>
      <c r="C81" s="17">
        <f t="shared" si="3"/>
        <v>51274.647710146717</v>
      </c>
      <c r="D81" s="17">
        <f t="shared" si="1"/>
        <v>422.59706198785841</v>
      </c>
      <c r="E81" s="17">
        <f t="shared" si="4"/>
        <v>51274.647702614326</v>
      </c>
      <c r="F81" s="17">
        <f t="shared" si="2"/>
        <v>1690.3882479514336</v>
      </c>
      <c r="G81" s="17">
        <f t="shared" si="5"/>
        <v>51274.647551966664</v>
      </c>
      <c r="H81" s="31"/>
      <c r="I81" s="17"/>
      <c r="J81" s="17"/>
      <c r="K81" s="31"/>
    </row>
    <row r="82" spans="1:11">
      <c r="A82" s="16">
        <v>5000</v>
      </c>
      <c r="B82" s="17">
        <f t="shared" si="0"/>
        <v>215.61074591217266</v>
      </c>
      <c r="C82" s="17">
        <f t="shared" si="3"/>
        <v>52321.06909198645</v>
      </c>
      <c r="D82" s="17">
        <f t="shared" si="1"/>
        <v>431.22149182434532</v>
      </c>
      <c r="E82" s="17">
        <f t="shared" si="4"/>
        <v>52321.069084300332</v>
      </c>
      <c r="F82" s="17">
        <f t="shared" si="2"/>
        <v>1724.8859672973813</v>
      </c>
      <c r="G82" s="17">
        <f t="shared" si="5"/>
        <v>52321.068930578229</v>
      </c>
      <c r="H82" s="31"/>
      <c r="I82" s="17"/>
      <c r="J82" s="17"/>
      <c r="K82" s="31"/>
    </row>
    <row r="83" spans="1:11">
      <c r="A83" s="16">
        <v>5100</v>
      </c>
      <c r="B83" s="17">
        <f t="shared" si="0"/>
        <v>219.92296083041617</v>
      </c>
      <c r="C83" s="17">
        <f t="shared" si="3"/>
        <v>53367.49047382619</v>
      </c>
      <c r="D83" s="17">
        <f t="shared" si="1"/>
        <v>439.84592166083235</v>
      </c>
      <c r="E83" s="17">
        <f t="shared" si="4"/>
        <v>53367.490465986353</v>
      </c>
      <c r="F83" s="17">
        <f t="shared" si="2"/>
        <v>1759.3836866433294</v>
      </c>
      <c r="G83" s="17">
        <f t="shared" si="5"/>
        <v>53367.490309189809</v>
      </c>
      <c r="H83" s="31"/>
      <c r="I83" s="17"/>
      <c r="J83" s="17"/>
      <c r="K83" s="31"/>
    </row>
    <row r="84" spans="1:11">
      <c r="A84" s="16">
        <v>5200</v>
      </c>
      <c r="B84" s="17">
        <f t="shared" si="0"/>
        <v>224.23517574865963</v>
      </c>
      <c r="C84" s="17">
        <f t="shared" si="3"/>
        <v>54413.911855665923</v>
      </c>
      <c r="D84" s="17">
        <f t="shared" si="1"/>
        <v>448.47035149731926</v>
      </c>
      <c r="E84" s="17">
        <f t="shared" si="4"/>
        <v>54413.91184767236</v>
      </c>
      <c r="F84" s="17">
        <f t="shared" si="2"/>
        <v>1793.881405989277</v>
      </c>
      <c r="G84" s="17">
        <f t="shared" si="5"/>
        <v>54413.911687801374</v>
      </c>
      <c r="H84" s="31"/>
      <c r="I84" s="17"/>
      <c r="J84" s="17"/>
      <c r="K84" s="31"/>
    </row>
    <row r="85" spans="1:11">
      <c r="A85" s="16">
        <v>5300</v>
      </c>
      <c r="B85" s="17">
        <f t="shared" si="0"/>
        <v>228.54739066690303</v>
      </c>
      <c r="C85" s="17">
        <f t="shared" si="3"/>
        <v>55460.333237505634</v>
      </c>
      <c r="D85" s="17">
        <f t="shared" si="1"/>
        <v>457.09478133380605</v>
      </c>
      <c r="E85" s="17">
        <f t="shared" si="4"/>
        <v>55460.333229358359</v>
      </c>
      <c r="F85" s="17">
        <f t="shared" si="2"/>
        <v>1828.3791253352242</v>
      </c>
      <c r="G85" s="17">
        <f t="shared" si="5"/>
        <v>55460.333066412924</v>
      </c>
      <c r="H85" s="31"/>
      <c r="I85" s="17"/>
      <c r="J85" s="17"/>
      <c r="K85" s="31"/>
    </row>
    <row r="86" spans="1:11">
      <c r="A86" s="16">
        <v>5400</v>
      </c>
      <c r="B86" s="17">
        <f t="shared" si="0"/>
        <v>232.85960558514648</v>
      </c>
      <c r="C86" s="17">
        <f t="shared" si="3"/>
        <v>56506.754619345367</v>
      </c>
      <c r="D86" s="17">
        <f t="shared" si="1"/>
        <v>465.71921117029297</v>
      </c>
      <c r="E86" s="17">
        <f t="shared" si="4"/>
        <v>56506.754611044365</v>
      </c>
      <c r="F86" s="17">
        <f t="shared" si="2"/>
        <v>1862.8768446811719</v>
      </c>
      <c r="G86" s="17">
        <f t="shared" si="5"/>
        <v>56506.75444502449</v>
      </c>
      <c r="H86" s="31"/>
      <c r="I86" s="17"/>
      <c r="J86" s="17"/>
      <c r="K86" s="31"/>
    </row>
    <row r="87" spans="1:11">
      <c r="A87" s="16">
        <v>5500</v>
      </c>
      <c r="B87" s="17">
        <f t="shared" si="0"/>
        <v>237.17182050338994</v>
      </c>
      <c r="C87" s="17">
        <f t="shared" si="3"/>
        <v>57553.176001185093</v>
      </c>
      <c r="D87" s="17">
        <f t="shared" si="1"/>
        <v>474.34364100677988</v>
      </c>
      <c r="E87" s="17">
        <f t="shared" si="4"/>
        <v>57553.175992730372</v>
      </c>
      <c r="F87" s="17">
        <f t="shared" si="2"/>
        <v>1897.3745640271195</v>
      </c>
      <c r="G87" s="17">
        <f t="shared" si="5"/>
        <v>57553.175823636055</v>
      </c>
      <c r="H87" s="31"/>
      <c r="I87" s="17"/>
      <c r="J87" s="17"/>
      <c r="K87" s="31"/>
    </row>
    <row r="88" spans="1:11">
      <c r="A88" s="16">
        <v>5600</v>
      </c>
      <c r="B88" s="17">
        <f t="shared" si="0"/>
        <v>241.48403542163339</v>
      </c>
      <c r="C88" s="17">
        <f t="shared" si="3"/>
        <v>58599.597383024826</v>
      </c>
      <c r="D88" s="17">
        <f t="shared" si="1"/>
        <v>482.96807084326679</v>
      </c>
      <c r="E88" s="17">
        <f t="shared" si="4"/>
        <v>58599.597374416378</v>
      </c>
      <c r="F88" s="17">
        <f t="shared" si="2"/>
        <v>1931.8722833730671</v>
      </c>
      <c r="G88" s="17">
        <f t="shared" si="5"/>
        <v>58599.59720224762</v>
      </c>
      <c r="H88" s="31"/>
      <c r="I88" s="17"/>
      <c r="J88" s="17"/>
      <c r="K88" s="31"/>
    </row>
    <row r="89" spans="1:11">
      <c r="A89" s="16">
        <v>5700</v>
      </c>
      <c r="B89" s="17">
        <f t="shared" si="0"/>
        <v>245.79625033987688</v>
      </c>
      <c r="C89" s="17">
        <f t="shared" si="3"/>
        <v>59646.018764864559</v>
      </c>
      <c r="D89" s="17">
        <f t="shared" si="1"/>
        <v>491.59250067975375</v>
      </c>
      <c r="E89" s="17">
        <f t="shared" si="4"/>
        <v>59646.018756102392</v>
      </c>
      <c r="F89" s="17">
        <f t="shared" si="2"/>
        <v>1966.370002719015</v>
      </c>
      <c r="G89" s="17">
        <f t="shared" si="5"/>
        <v>59646.018580859192</v>
      </c>
      <c r="H89" s="31"/>
      <c r="I89" s="17"/>
      <c r="J89" s="17"/>
      <c r="K89" s="31"/>
    </row>
    <row r="90" spans="1:11">
      <c r="A90" s="16">
        <v>5800</v>
      </c>
      <c r="B90" s="17">
        <f t="shared" si="0"/>
        <v>250.10846525812028</v>
      </c>
      <c r="C90" s="17">
        <f t="shared" si="3"/>
        <v>60692.440146704277</v>
      </c>
      <c r="D90" s="17">
        <f t="shared" si="1"/>
        <v>500.21693051624055</v>
      </c>
      <c r="E90" s="17">
        <f t="shared" si="4"/>
        <v>60692.440137788384</v>
      </c>
      <c r="F90" s="17">
        <f t="shared" si="2"/>
        <v>2000.8677220649622</v>
      </c>
      <c r="G90" s="17">
        <f t="shared" si="5"/>
        <v>60692.439959470743</v>
      </c>
      <c r="H90" s="31"/>
      <c r="I90" s="17"/>
      <c r="J90" s="17"/>
      <c r="K90" s="31"/>
    </row>
    <row r="91" spans="1:11">
      <c r="A91" s="16">
        <v>5900</v>
      </c>
      <c r="B91" s="17">
        <f t="shared" si="0"/>
        <v>254.42068017636373</v>
      </c>
      <c r="C91" s="17">
        <f t="shared" si="3"/>
        <v>61738.861528544003</v>
      </c>
      <c r="D91" s="17">
        <f t="shared" si="1"/>
        <v>508.84136035272746</v>
      </c>
      <c r="E91" s="17">
        <f t="shared" si="4"/>
        <v>61738.861519474391</v>
      </c>
      <c r="F91" s="17">
        <f t="shared" si="2"/>
        <v>2035.3654414109099</v>
      </c>
      <c r="G91" s="17">
        <f t="shared" si="5"/>
        <v>61738.861338082308</v>
      </c>
      <c r="H91" s="31"/>
      <c r="I91" s="17"/>
      <c r="J91" s="17"/>
      <c r="K91" s="31"/>
    </row>
    <row r="92" spans="1:11">
      <c r="A92" s="16">
        <v>6000</v>
      </c>
      <c r="B92" s="17">
        <f t="shared" si="0"/>
        <v>258.73289509460722</v>
      </c>
      <c r="C92" s="17">
        <f t="shared" si="3"/>
        <v>62785.282910383743</v>
      </c>
      <c r="D92" s="17">
        <f t="shared" si="1"/>
        <v>517.46579018921443</v>
      </c>
      <c r="E92" s="17">
        <f t="shared" si="4"/>
        <v>62785.282901160404</v>
      </c>
      <c r="F92" s="17">
        <f t="shared" si="2"/>
        <v>2069.8631607568577</v>
      </c>
      <c r="G92" s="17">
        <f t="shared" si="5"/>
        <v>62785.282716693881</v>
      </c>
      <c r="H92" s="31"/>
      <c r="I92" s="17"/>
      <c r="J92" s="17"/>
      <c r="K92" s="31"/>
    </row>
    <row r="93" spans="1:11">
      <c r="A93" s="16">
        <v>6100</v>
      </c>
      <c r="B93" s="17">
        <f t="shared" si="0"/>
        <v>263.04511001285067</v>
      </c>
      <c r="C93" s="17">
        <f t="shared" si="3"/>
        <v>63831.704292223469</v>
      </c>
      <c r="D93" s="17">
        <f t="shared" si="1"/>
        <v>526.09022002570134</v>
      </c>
      <c r="E93" s="17">
        <f t="shared" si="4"/>
        <v>63831.704282846411</v>
      </c>
      <c r="F93" s="17">
        <f t="shared" si="2"/>
        <v>2104.3608801028054</v>
      </c>
      <c r="G93" s="17">
        <f t="shared" si="5"/>
        <v>63831.704095305446</v>
      </c>
      <c r="H93" s="31"/>
      <c r="I93" s="17"/>
      <c r="J93" s="17"/>
      <c r="K93" s="31"/>
    </row>
    <row r="94" spans="1:11">
      <c r="A94" s="16">
        <v>6200</v>
      </c>
      <c r="B94" s="17">
        <f t="shared" si="0"/>
        <v>267.35732493109418</v>
      </c>
      <c r="C94" s="17">
        <f t="shared" si="3"/>
        <v>64878.125674063216</v>
      </c>
      <c r="D94" s="17">
        <f t="shared" si="1"/>
        <v>534.71464986218837</v>
      </c>
      <c r="E94" s="17">
        <f t="shared" si="4"/>
        <v>64878.125664532432</v>
      </c>
      <c r="F94" s="17">
        <f t="shared" si="2"/>
        <v>2138.8585994487535</v>
      </c>
      <c r="G94" s="17">
        <f t="shared" si="5"/>
        <v>64878.125473917025</v>
      </c>
      <c r="H94" s="31"/>
      <c r="I94" s="17"/>
      <c r="J94" s="17"/>
      <c r="K94" s="31"/>
    </row>
    <row r="95" spans="1:11">
      <c r="A95" s="16">
        <v>6300</v>
      </c>
      <c r="B95" s="17">
        <f t="shared" si="0"/>
        <v>271.66953984933758</v>
      </c>
      <c r="C95" s="17">
        <f t="shared" si="3"/>
        <v>65924.547055902935</v>
      </c>
      <c r="D95" s="17">
        <f t="shared" si="1"/>
        <v>543.33907969867516</v>
      </c>
      <c r="E95" s="17">
        <f t="shared" si="4"/>
        <v>65924.547046218431</v>
      </c>
      <c r="F95" s="17">
        <f t="shared" si="2"/>
        <v>2173.3563187947007</v>
      </c>
      <c r="G95" s="17">
        <f t="shared" si="5"/>
        <v>65924.546852528569</v>
      </c>
      <c r="H95" s="31"/>
      <c r="I95" s="17"/>
      <c r="J95" s="17"/>
      <c r="K95" s="31"/>
    </row>
    <row r="96" spans="1:11">
      <c r="A96" s="16">
        <v>6400</v>
      </c>
      <c r="B96" s="17">
        <f t="shared" si="0"/>
        <v>275.98175476758104</v>
      </c>
      <c r="C96" s="17">
        <f t="shared" si="3"/>
        <v>66970.96843774266</v>
      </c>
      <c r="D96" s="17">
        <f t="shared" si="1"/>
        <v>551.96350953516207</v>
      </c>
      <c r="E96" s="17">
        <f t="shared" si="4"/>
        <v>66970.96842790443</v>
      </c>
      <c r="F96" s="17">
        <f t="shared" si="2"/>
        <v>2207.8540381406483</v>
      </c>
      <c r="G96" s="17">
        <f t="shared" si="5"/>
        <v>66970.968231140141</v>
      </c>
      <c r="H96" s="31"/>
      <c r="I96" s="17"/>
      <c r="J96" s="17"/>
      <c r="K96" s="31"/>
    </row>
    <row r="97" spans="1:11">
      <c r="A97" s="16">
        <v>6500</v>
      </c>
      <c r="B97" s="17">
        <f t="shared" ref="B97:B132" si="6">(A97)*1000000/(4*PI())*$C$12*RADIANS($C$19)*RADIANS($C$20)</f>
        <v>280.29396968582449</v>
      </c>
      <c r="C97" s="17">
        <f t="shared" si="3"/>
        <v>68017.389819582386</v>
      </c>
      <c r="D97" s="17">
        <f t="shared" ref="D97:D132" si="7">($A97)*1000000/(4*PI())*$C$12*RADIANS($C$19)*RADIANS($D$20)</f>
        <v>560.58793937164899</v>
      </c>
      <c r="E97" s="17">
        <f t="shared" si="4"/>
        <v>68017.389809590444</v>
      </c>
      <c r="F97" s="17">
        <f t="shared" ref="F97:F132" si="8">($A97)*1000000/(4*PI())*$C$12*RADIANS($C$19)*RADIANS($E$20)</f>
        <v>2242.3517574865959</v>
      </c>
      <c r="G97" s="17">
        <f t="shared" si="5"/>
        <v>68017.389609751699</v>
      </c>
      <c r="H97" s="31"/>
      <c r="I97" s="17"/>
      <c r="J97" s="17"/>
      <c r="K97" s="31"/>
    </row>
    <row r="98" spans="1:11">
      <c r="A98" s="16">
        <v>6600</v>
      </c>
      <c r="B98" s="17">
        <f t="shared" si="6"/>
        <v>284.60618460406789</v>
      </c>
      <c r="C98" s="17">
        <f t="shared" ref="C98:C132" si="9">B98/$C$16</f>
        <v>69063.811201422111</v>
      </c>
      <c r="D98" s="17">
        <f t="shared" si="7"/>
        <v>569.21236920813578</v>
      </c>
      <c r="E98" s="17">
        <f t="shared" ref="E98:E132" si="10">D98/$D$16</f>
        <v>69063.811191276443</v>
      </c>
      <c r="F98" s="17">
        <f t="shared" si="8"/>
        <v>2276.8494768325431</v>
      </c>
      <c r="G98" s="17">
        <f t="shared" ref="G98:G132" si="11">F98/$E$16</f>
        <v>69063.810988363257</v>
      </c>
      <c r="H98" s="31"/>
      <c r="I98" s="17"/>
      <c r="J98" s="17"/>
      <c r="K98" s="31"/>
    </row>
    <row r="99" spans="1:11">
      <c r="A99" s="16">
        <v>6700</v>
      </c>
      <c r="B99" s="17">
        <f t="shared" si="6"/>
        <v>288.9183995223114</v>
      </c>
      <c r="C99" s="17">
        <f t="shared" si="9"/>
        <v>70110.232583261852</v>
      </c>
      <c r="D99" s="17">
        <f t="shared" si="7"/>
        <v>577.83679904462281</v>
      </c>
      <c r="E99" s="17">
        <f t="shared" si="10"/>
        <v>70110.232572962457</v>
      </c>
      <c r="F99" s="17">
        <f t="shared" si="8"/>
        <v>2311.3471961784912</v>
      </c>
      <c r="G99" s="17">
        <f t="shared" si="11"/>
        <v>70110.232366974829</v>
      </c>
      <c r="H99" s="31"/>
      <c r="I99" s="17"/>
      <c r="J99" s="17"/>
      <c r="K99" s="31"/>
    </row>
    <row r="100" spans="1:11">
      <c r="A100" s="16">
        <v>6800</v>
      </c>
      <c r="B100" s="17">
        <f t="shared" si="6"/>
        <v>293.2306144405548</v>
      </c>
      <c r="C100" s="17">
        <f t="shared" si="9"/>
        <v>71156.653965101563</v>
      </c>
      <c r="D100" s="17">
        <f t="shared" si="7"/>
        <v>586.46122888110961</v>
      </c>
      <c r="E100" s="17">
        <f t="shared" si="10"/>
        <v>71156.653954648456</v>
      </c>
      <c r="F100" s="17">
        <f t="shared" si="8"/>
        <v>2345.8449155244384</v>
      </c>
      <c r="G100" s="17">
        <f t="shared" si="11"/>
        <v>71156.653745586387</v>
      </c>
      <c r="H100" s="31"/>
      <c r="I100" s="17"/>
      <c r="J100" s="17"/>
      <c r="K100" s="31"/>
    </row>
    <row r="101" spans="1:11">
      <c r="A101" s="16">
        <v>6900</v>
      </c>
      <c r="B101" s="17">
        <f t="shared" si="6"/>
        <v>297.54282935879826</v>
      </c>
      <c r="C101" s="17">
        <f t="shared" si="9"/>
        <v>72203.075346941288</v>
      </c>
      <c r="D101" s="17">
        <f t="shared" si="7"/>
        <v>595.08565871759652</v>
      </c>
      <c r="E101" s="17">
        <f t="shared" si="10"/>
        <v>72203.075336334456</v>
      </c>
      <c r="F101" s="17">
        <f t="shared" si="8"/>
        <v>2380.3426348703861</v>
      </c>
      <c r="G101" s="17">
        <f t="shared" si="11"/>
        <v>72203.075124197945</v>
      </c>
      <c r="H101" s="31"/>
      <c r="I101" s="17"/>
      <c r="J101" s="17"/>
      <c r="K101" s="31"/>
    </row>
    <row r="102" spans="1:11">
      <c r="A102" s="16">
        <v>7000</v>
      </c>
      <c r="B102" s="17">
        <f t="shared" si="6"/>
        <v>301.85504427704171</v>
      </c>
      <c r="C102" s="17">
        <f t="shared" si="9"/>
        <v>73249.496728781029</v>
      </c>
      <c r="D102" s="17">
        <f t="shared" si="7"/>
        <v>603.71008855408343</v>
      </c>
      <c r="E102" s="17">
        <f t="shared" si="10"/>
        <v>73249.496718020469</v>
      </c>
      <c r="F102" s="17">
        <f t="shared" si="8"/>
        <v>2414.8403542163337</v>
      </c>
      <c r="G102" s="17">
        <f t="shared" si="11"/>
        <v>73249.496502809518</v>
      </c>
      <c r="H102" s="31"/>
      <c r="I102" s="17"/>
      <c r="J102" s="17"/>
      <c r="K102" s="31"/>
    </row>
    <row r="103" spans="1:11">
      <c r="A103" s="16">
        <v>7100</v>
      </c>
      <c r="B103" s="17">
        <f t="shared" si="6"/>
        <v>306.16725919528517</v>
      </c>
      <c r="C103" s="17">
        <f t="shared" si="9"/>
        <v>74295.918110620754</v>
      </c>
      <c r="D103" s="17">
        <f t="shared" si="7"/>
        <v>612.33451839057034</v>
      </c>
      <c r="E103" s="17">
        <f t="shared" si="10"/>
        <v>74295.918099706469</v>
      </c>
      <c r="F103" s="17">
        <f t="shared" si="8"/>
        <v>2449.3380735622814</v>
      </c>
      <c r="G103" s="17">
        <f t="shared" si="11"/>
        <v>74295.917881421075</v>
      </c>
      <c r="H103" s="31"/>
      <c r="I103" s="17"/>
      <c r="J103" s="17"/>
      <c r="K103" s="31"/>
    </row>
    <row r="104" spans="1:11">
      <c r="A104" s="16">
        <v>7200</v>
      </c>
      <c r="B104" s="17">
        <f t="shared" si="6"/>
        <v>310.47947411352862</v>
      </c>
      <c r="C104" s="17">
        <f t="shared" si="9"/>
        <v>75342.33949246048</v>
      </c>
      <c r="D104" s="17">
        <f t="shared" si="7"/>
        <v>620.95894822705725</v>
      </c>
      <c r="E104" s="17">
        <f t="shared" si="10"/>
        <v>75342.339481392482</v>
      </c>
      <c r="F104" s="17">
        <f t="shared" si="8"/>
        <v>2483.835792908229</v>
      </c>
      <c r="G104" s="17">
        <f t="shared" si="11"/>
        <v>75342.339260032648</v>
      </c>
      <c r="H104" s="31"/>
      <c r="I104" s="17"/>
      <c r="J104" s="17"/>
      <c r="K104" s="31"/>
    </row>
    <row r="105" spans="1:11">
      <c r="A105" s="16">
        <v>7300</v>
      </c>
      <c r="B105" s="17">
        <f t="shared" si="6"/>
        <v>314.79168903177214</v>
      </c>
      <c r="C105" s="17">
        <f t="shared" si="9"/>
        <v>76388.76087430022</v>
      </c>
      <c r="D105" s="17">
        <f t="shared" si="7"/>
        <v>629.58337806354427</v>
      </c>
      <c r="E105" s="17">
        <f t="shared" si="10"/>
        <v>76388.760863078496</v>
      </c>
      <c r="F105" s="17">
        <f t="shared" si="8"/>
        <v>2518.3335122541771</v>
      </c>
      <c r="G105" s="17">
        <f t="shared" si="11"/>
        <v>76388.76063864422</v>
      </c>
      <c r="H105" s="31"/>
      <c r="I105" s="17"/>
      <c r="J105" s="17"/>
      <c r="K105" s="31"/>
    </row>
    <row r="106" spans="1:11">
      <c r="A106" s="16">
        <v>7400</v>
      </c>
      <c r="B106" s="17">
        <f t="shared" si="6"/>
        <v>319.10390395001559</v>
      </c>
      <c r="C106" s="17">
        <f t="shared" si="9"/>
        <v>77435.18225613996</v>
      </c>
      <c r="D106" s="17">
        <f t="shared" si="7"/>
        <v>638.20780790003118</v>
      </c>
      <c r="E106" s="17">
        <f t="shared" si="10"/>
        <v>77435.18224476451</v>
      </c>
      <c r="F106" s="17">
        <f t="shared" si="8"/>
        <v>2552.8312316001247</v>
      </c>
      <c r="G106" s="17">
        <f t="shared" si="11"/>
        <v>77435.182017255793</v>
      </c>
      <c r="H106" s="31"/>
      <c r="I106" s="17"/>
      <c r="J106" s="17"/>
      <c r="K106" s="31"/>
    </row>
    <row r="107" spans="1:11">
      <c r="A107" s="16">
        <v>7500</v>
      </c>
      <c r="B107" s="17">
        <f t="shared" si="6"/>
        <v>323.41611886825905</v>
      </c>
      <c r="C107" s="17">
        <f t="shared" si="9"/>
        <v>78481.603637979686</v>
      </c>
      <c r="D107" s="17">
        <f t="shared" si="7"/>
        <v>646.8322377365181</v>
      </c>
      <c r="E107" s="17">
        <f t="shared" si="10"/>
        <v>78481.603626450509</v>
      </c>
      <c r="F107" s="17">
        <f t="shared" si="8"/>
        <v>2587.3289509460724</v>
      </c>
      <c r="G107" s="17">
        <f t="shared" si="11"/>
        <v>78481.603395867351</v>
      </c>
      <c r="H107" s="31"/>
      <c r="I107" s="17"/>
      <c r="J107" s="17"/>
      <c r="K107" s="31"/>
    </row>
    <row r="108" spans="1:11">
      <c r="A108" s="16">
        <v>7600</v>
      </c>
      <c r="B108" s="17">
        <f t="shared" si="6"/>
        <v>327.72833378650245</v>
      </c>
      <c r="C108" s="17">
        <f t="shared" si="9"/>
        <v>79528.025019819397</v>
      </c>
      <c r="D108" s="17">
        <f t="shared" si="7"/>
        <v>655.45666757300489</v>
      </c>
      <c r="E108" s="17">
        <f t="shared" si="10"/>
        <v>79528.025008136508</v>
      </c>
      <c r="F108" s="17">
        <f t="shared" si="8"/>
        <v>2621.8266702920196</v>
      </c>
      <c r="G108" s="17">
        <f t="shared" si="11"/>
        <v>79528.024774478909</v>
      </c>
      <c r="H108" s="31"/>
      <c r="I108" s="17"/>
      <c r="J108" s="17"/>
      <c r="K108" s="31"/>
    </row>
    <row r="109" spans="1:11">
      <c r="A109" s="16">
        <v>7700</v>
      </c>
      <c r="B109" s="17">
        <f t="shared" si="6"/>
        <v>332.0405487047459</v>
      </c>
      <c r="C109" s="17">
        <f t="shared" si="9"/>
        <v>80574.446401659137</v>
      </c>
      <c r="D109" s="17">
        <f t="shared" si="7"/>
        <v>664.0810974094918</v>
      </c>
      <c r="E109" s="17">
        <f t="shared" si="10"/>
        <v>80574.446389822522</v>
      </c>
      <c r="F109" s="17">
        <f t="shared" si="8"/>
        <v>2656.3243896379672</v>
      </c>
      <c r="G109" s="17">
        <f t="shared" si="11"/>
        <v>80574.446153090466</v>
      </c>
      <c r="H109" s="31"/>
      <c r="I109" s="17"/>
      <c r="J109" s="17"/>
      <c r="K109" s="31"/>
    </row>
    <row r="110" spans="1:11">
      <c r="A110" s="16">
        <v>7800</v>
      </c>
      <c r="B110" s="17">
        <f t="shared" si="6"/>
        <v>336.35276362298936</v>
      </c>
      <c r="C110" s="17">
        <f t="shared" si="9"/>
        <v>81620.867783498863</v>
      </c>
      <c r="D110" s="17">
        <f t="shared" si="7"/>
        <v>672.70552724597871</v>
      </c>
      <c r="E110" s="17">
        <f t="shared" si="10"/>
        <v>81620.867771508521</v>
      </c>
      <c r="F110" s="17">
        <f t="shared" si="8"/>
        <v>2690.8221089839149</v>
      </c>
      <c r="G110" s="17">
        <f t="shared" si="11"/>
        <v>81620.867531702039</v>
      </c>
      <c r="H110" s="31"/>
      <c r="I110" s="17"/>
      <c r="J110" s="17"/>
      <c r="K110" s="31"/>
    </row>
    <row r="111" spans="1:11">
      <c r="A111" s="16">
        <v>7900</v>
      </c>
      <c r="B111" s="17">
        <f t="shared" si="6"/>
        <v>340.66497854123281</v>
      </c>
      <c r="C111" s="17">
        <f t="shared" si="9"/>
        <v>82667.289165338589</v>
      </c>
      <c r="D111" s="17">
        <f t="shared" si="7"/>
        <v>681.32995708246563</v>
      </c>
      <c r="E111" s="17">
        <f t="shared" si="10"/>
        <v>82667.289153194535</v>
      </c>
      <c r="F111" s="17">
        <f t="shared" si="8"/>
        <v>2725.3198283298625</v>
      </c>
      <c r="G111" s="17">
        <f t="shared" si="11"/>
        <v>82667.288910313597</v>
      </c>
      <c r="H111" s="31"/>
      <c r="I111" s="17"/>
      <c r="J111" s="17"/>
      <c r="K111" s="31"/>
    </row>
    <row r="112" spans="1:11">
      <c r="A112" s="16">
        <v>8000</v>
      </c>
      <c r="B112" s="17">
        <f t="shared" si="6"/>
        <v>344.97719345947627</v>
      </c>
      <c r="C112" s="17">
        <f t="shared" si="9"/>
        <v>83713.710547178314</v>
      </c>
      <c r="D112" s="17">
        <f t="shared" si="7"/>
        <v>689.95438691895254</v>
      </c>
      <c r="E112" s="17">
        <f t="shared" si="10"/>
        <v>83713.710534880534</v>
      </c>
      <c r="F112" s="17">
        <f t="shared" si="8"/>
        <v>2759.8175476758101</v>
      </c>
      <c r="G112" s="17">
        <f t="shared" si="11"/>
        <v>83713.710288925169</v>
      </c>
      <c r="H112" s="31"/>
      <c r="I112" s="17"/>
      <c r="J112" s="17"/>
      <c r="K112" s="31"/>
    </row>
    <row r="113" spans="1:11">
      <c r="A113" s="16">
        <v>8100</v>
      </c>
      <c r="B113" s="17">
        <f t="shared" si="6"/>
        <v>349.28940837771972</v>
      </c>
      <c r="C113" s="17">
        <f t="shared" si="9"/>
        <v>84760.131929018055</v>
      </c>
      <c r="D113" s="17">
        <f t="shared" si="7"/>
        <v>698.57881675543945</v>
      </c>
      <c r="E113" s="17">
        <f t="shared" si="10"/>
        <v>84760.131916566548</v>
      </c>
      <c r="F113" s="17">
        <f t="shared" si="8"/>
        <v>2794.3152670217578</v>
      </c>
      <c r="G113" s="17">
        <f t="shared" si="11"/>
        <v>84760.131667536727</v>
      </c>
      <c r="H113" s="31"/>
      <c r="I113" s="17"/>
      <c r="J113" s="17"/>
      <c r="K113" s="31"/>
    </row>
    <row r="114" spans="1:11">
      <c r="A114" s="16">
        <v>8200</v>
      </c>
      <c r="B114" s="17">
        <f t="shared" si="6"/>
        <v>353.60162329596318</v>
      </c>
      <c r="C114" s="17">
        <f t="shared" si="9"/>
        <v>85806.55331085778</v>
      </c>
      <c r="D114" s="17">
        <f t="shared" si="7"/>
        <v>707.20324659192636</v>
      </c>
      <c r="E114" s="17">
        <f t="shared" si="10"/>
        <v>85806.553298252547</v>
      </c>
      <c r="F114" s="17">
        <f t="shared" si="8"/>
        <v>2828.8129863677054</v>
      </c>
      <c r="G114" s="17">
        <f t="shared" si="11"/>
        <v>85806.553046148299</v>
      </c>
      <c r="H114" s="31"/>
      <c r="I114" s="17"/>
      <c r="J114" s="17"/>
      <c r="K114" s="31"/>
    </row>
    <row r="115" spans="1:11">
      <c r="A115" s="16">
        <v>8300</v>
      </c>
      <c r="B115" s="17">
        <f t="shared" si="6"/>
        <v>357.91383821420669</v>
      </c>
      <c r="C115" s="17">
        <f t="shared" si="9"/>
        <v>86852.97469269752</v>
      </c>
      <c r="D115" s="17">
        <f t="shared" si="7"/>
        <v>715.82767642841338</v>
      </c>
      <c r="E115" s="17">
        <f t="shared" si="10"/>
        <v>86852.974679938576</v>
      </c>
      <c r="F115" s="17">
        <f t="shared" si="8"/>
        <v>2863.3107057136535</v>
      </c>
      <c r="G115" s="17">
        <f t="shared" si="11"/>
        <v>86852.974424759872</v>
      </c>
      <c r="H115" s="31"/>
      <c r="I115" s="17"/>
      <c r="J115" s="17"/>
      <c r="K115" s="31"/>
    </row>
    <row r="116" spans="1:11">
      <c r="A116" s="16">
        <v>8400</v>
      </c>
      <c r="B116" s="17">
        <f t="shared" si="6"/>
        <v>362.22605313245015</v>
      </c>
      <c r="C116" s="17">
        <f t="shared" si="9"/>
        <v>87899.396074537246</v>
      </c>
      <c r="D116" s="17">
        <f t="shared" si="7"/>
        <v>724.45210626490029</v>
      </c>
      <c r="E116" s="17">
        <f t="shared" si="10"/>
        <v>87899.396061624575</v>
      </c>
      <c r="F116" s="17">
        <f t="shared" si="8"/>
        <v>2897.8084250596012</v>
      </c>
      <c r="G116" s="17">
        <f t="shared" si="11"/>
        <v>87899.395803371444</v>
      </c>
      <c r="H116" s="31"/>
      <c r="I116" s="17"/>
      <c r="J116" s="17"/>
      <c r="K116" s="31"/>
    </row>
    <row r="117" spans="1:11">
      <c r="A117" s="16">
        <v>8500</v>
      </c>
      <c r="B117" s="17">
        <f t="shared" si="6"/>
        <v>366.5382680506936</v>
      </c>
      <c r="C117" s="17">
        <f t="shared" si="9"/>
        <v>88945.817456376986</v>
      </c>
      <c r="D117" s="17">
        <f t="shared" si="7"/>
        <v>733.07653610138721</v>
      </c>
      <c r="E117" s="17">
        <f t="shared" si="10"/>
        <v>88945.817443310589</v>
      </c>
      <c r="F117" s="17">
        <f t="shared" si="8"/>
        <v>2932.3061444055488</v>
      </c>
      <c r="G117" s="17">
        <f t="shared" si="11"/>
        <v>88945.817181983002</v>
      </c>
      <c r="H117" s="31"/>
      <c r="I117" s="17"/>
      <c r="J117" s="17"/>
      <c r="K117" s="31"/>
    </row>
    <row r="118" spans="1:11">
      <c r="A118" s="16">
        <v>8600</v>
      </c>
      <c r="B118" s="17">
        <f t="shared" si="6"/>
        <v>370.85048296893694</v>
      </c>
      <c r="C118" s="17">
        <f t="shared" si="9"/>
        <v>89992.238838216683</v>
      </c>
      <c r="D118" s="17">
        <f t="shared" si="7"/>
        <v>741.70096593787389</v>
      </c>
      <c r="E118" s="17">
        <f t="shared" si="10"/>
        <v>89992.238824996573</v>
      </c>
      <c r="F118" s="17">
        <f t="shared" si="8"/>
        <v>2966.8038637514956</v>
      </c>
      <c r="G118" s="17">
        <f t="shared" si="11"/>
        <v>89992.238560594546</v>
      </c>
      <c r="H118" s="31"/>
      <c r="I118" s="17"/>
      <c r="J118" s="17"/>
      <c r="K118" s="31"/>
    </row>
    <row r="119" spans="1:11">
      <c r="A119" s="16">
        <v>8700</v>
      </c>
      <c r="B119" s="17">
        <f t="shared" si="6"/>
        <v>375.16269788718046</v>
      </c>
      <c r="C119" s="17">
        <f t="shared" si="9"/>
        <v>91038.660220056423</v>
      </c>
      <c r="D119" s="17">
        <f t="shared" si="7"/>
        <v>750.32539577436091</v>
      </c>
      <c r="E119" s="17">
        <f t="shared" si="10"/>
        <v>91038.660206682587</v>
      </c>
      <c r="F119" s="17">
        <f t="shared" si="8"/>
        <v>3001.3015830974437</v>
      </c>
      <c r="G119" s="17">
        <f t="shared" si="11"/>
        <v>91038.659939206118</v>
      </c>
      <c r="H119" s="31"/>
      <c r="I119" s="17"/>
      <c r="J119" s="17"/>
      <c r="K119" s="31"/>
    </row>
    <row r="120" spans="1:11">
      <c r="A120" s="16">
        <v>8800</v>
      </c>
      <c r="B120" s="17">
        <f t="shared" si="6"/>
        <v>379.47491280542391</v>
      </c>
      <c r="C120" s="17">
        <f t="shared" si="9"/>
        <v>92085.081601896149</v>
      </c>
      <c r="D120" s="17">
        <f t="shared" si="7"/>
        <v>758.94982561084782</v>
      </c>
      <c r="E120" s="17">
        <f t="shared" si="10"/>
        <v>92085.081588368601</v>
      </c>
      <c r="F120" s="17">
        <f t="shared" si="8"/>
        <v>3035.7993024433913</v>
      </c>
      <c r="G120" s="17">
        <f t="shared" si="11"/>
        <v>92085.08131781769</v>
      </c>
      <c r="H120" s="31"/>
      <c r="I120" s="17"/>
      <c r="J120" s="17"/>
      <c r="K120" s="31"/>
    </row>
    <row r="121" spans="1:11">
      <c r="A121" s="16">
        <v>8900</v>
      </c>
      <c r="B121" s="17">
        <f t="shared" si="6"/>
        <v>383.78712772366737</v>
      </c>
      <c r="C121" s="17">
        <f t="shared" si="9"/>
        <v>93131.502983735889</v>
      </c>
      <c r="D121" s="17">
        <f t="shared" si="7"/>
        <v>767.57425544733474</v>
      </c>
      <c r="E121" s="17">
        <f t="shared" si="10"/>
        <v>93131.5029700546</v>
      </c>
      <c r="F121" s="17">
        <f t="shared" si="8"/>
        <v>3070.2970217893389</v>
      </c>
      <c r="G121" s="17">
        <f t="shared" si="11"/>
        <v>93131.502696429248</v>
      </c>
      <c r="H121" s="31"/>
      <c r="I121" s="17"/>
      <c r="J121" s="17"/>
      <c r="K121" s="31"/>
    </row>
    <row r="122" spans="1:11">
      <c r="A122" s="16">
        <v>9000</v>
      </c>
      <c r="B122" s="17">
        <f t="shared" si="6"/>
        <v>388.09934264191082</v>
      </c>
      <c r="C122" s="17">
        <f t="shared" si="9"/>
        <v>94177.924365575615</v>
      </c>
      <c r="D122" s="17">
        <f t="shared" si="7"/>
        <v>776.19868528382165</v>
      </c>
      <c r="E122" s="17">
        <f t="shared" si="10"/>
        <v>94177.924351740614</v>
      </c>
      <c r="F122" s="17">
        <f t="shared" si="8"/>
        <v>3104.7947411352866</v>
      </c>
      <c r="G122" s="17">
        <f t="shared" si="11"/>
        <v>94177.924075040821</v>
      </c>
      <c r="H122" s="31"/>
      <c r="I122" s="17"/>
      <c r="J122" s="17"/>
      <c r="K122" s="31"/>
    </row>
    <row r="123" spans="1:11">
      <c r="A123" s="16">
        <v>9100</v>
      </c>
      <c r="B123" s="17">
        <f t="shared" si="6"/>
        <v>392.41155756015434</v>
      </c>
      <c r="C123" s="17">
        <f t="shared" si="9"/>
        <v>95224.345747415355</v>
      </c>
      <c r="D123" s="17">
        <f t="shared" si="7"/>
        <v>784.82311512030867</v>
      </c>
      <c r="E123" s="17">
        <f t="shared" si="10"/>
        <v>95224.345733426628</v>
      </c>
      <c r="F123" s="17">
        <f t="shared" si="8"/>
        <v>3139.2924604812347</v>
      </c>
      <c r="G123" s="17">
        <f t="shared" si="11"/>
        <v>95224.345453652393</v>
      </c>
      <c r="H123" s="31"/>
      <c r="I123" s="17"/>
      <c r="J123" s="17"/>
      <c r="K123" s="31"/>
    </row>
    <row r="124" spans="1:11">
      <c r="A124" s="16">
        <v>9200</v>
      </c>
      <c r="B124" s="17">
        <f t="shared" si="6"/>
        <v>396.72377247839779</v>
      </c>
      <c r="C124" s="17">
        <f t="shared" si="9"/>
        <v>96270.76712925508</v>
      </c>
      <c r="D124" s="17">
        <f t="shared" si="7"/>
        <v>793.44754495679558</v>
      </c>
      <c r="E124" s="17">
        <f t="shared" si="10"/>
        <v>96270.767115112641</v>
      </c>
      <c r="F124" s="17">
        <f t="shared" si="8"/>
        <v>3173.7901798271823</v>
      </c>
      <c r="G124" s="17">
        <f t="shared" si="11"/>
        <v>96270.766832263966</v>
      </c>
      <c r="H124" s="31"/>
      <c r="I124" s="17"/>
      <c r="J124" s="17"/>
      <c r="K124" s="31"/>
    </row>
    <row r="125" spans="1:11">
      <c r="A125" s="16">
        <v>9300</v>
      </c>
      <c r="B125" s="17">
        <f t="shared" si="6"/>
        <v>401.03598739664125</v>
      </c>
      <c r="C125" s="17">
        <f t="shared" si="9"/>
        <v>97317.188511094821</v>
      </c>
      <c r="D125" s="17">
        <f t="shared" si="7"/>
        <v>802.07197479328249</v>
      </c>
      <c r="E125" s="17">
        <f t="shared" si="10"/>
        <v>97317.188496798641</v>
      </c>
      <c r="F125" s="17">
        <f t="shared" si="8"/>
        <v>3208.28789917313</v>
      </c>
      <c r="G125" s="17">
        <f t="shared" si="11"/>
        <v>97317.188210875524</v>
      </c>
      <c r="H125" s="31"/>
      <c r="I125" s="17"/>
      <c r="J125" s="17"/>
      <c r="K125" s="31"/>
    </row>
    <row r="126" spans="1:11">
      <c r="A126" s="16">
        <v>9400</v>
      </c>
      <c r="B126" s="17">
        <f t="shared" si="6"/>
        <v>405.3482023148847</v>
      </c>
      <c r="C126" s="17">
        <f t="shared" si="9"/>
        <v>98363.609892934546</v>
      </c>
      <c r="D126" s="17">
        <f t="shared" si="7"/>
        <v>810.6964046297694</v>
      </c>
      <c r="E126" s="17">
        <f t="shared" si="10"/>
        <v>98363.609878484654</v>
      </c>
      <c r="F126" s="17">
        <f t="shared" si="8"/>
        <v>3242.7856185190776</v>
      </c>
      <c r="G126" s="17">
        <f t="shared" si="11"/>
        <v>98363.609589487096</v>
      </c>
      <c r="H126" s="31"/>
      <c r="I126" s="17"/>
      <c r="J126" s="17"/>
      <c r="K126" s="31"/>
    </row>
    <row r="127" spans="1:11">
      <c r="A127" s="16">
        <v>9500</v>
      </c>
      <c r="B127" s="17">
        <f t="shared" si="6"/>
        <v>409.6604172331281</v>
      </c>
      <c r="C127" s="17">
        <f t="shared" si="9"/>
        <v>99410.031274774257</v>
      </c>
      <c r="D127" s="17">
        <f t="shared" si="7"/>
        <v>819.3208344662562</v>
      </c>
      <c r="E127" s="17">
        <f t="shared" si="10"/>
        <v>99410.031260170654</v>
      </c>
      <c r="F127" s="17">
        <f t="shared" si="8"/>
        <v>3277.2833378650248</v>
      </c>
      <c r="G127" s="17">
        <f t="shared" si="11"/>
        <v>99410.030968098639</v>
      </c>
      <c r="H127" s="31"/>
      <c r="I127" s="17"/>
      <c r="J127" s="17"/>
      <c r="K127" s="31"/>
    </row>
    <row r="128" spans="1:11">
      <c r="A128" s="16">
        <v>9600</v>
      </c>
      <c r="B128" s="17">
        <f t="shared" si="6"/>
        <v>413.9726321513715</v>
      </c>
      <c r="C128" s="17">
        <f t="shared" si="9"/>
        <v>100456.45265661398</v>
      </c>
      <c r="D128" s="17">
        <f t="shared" si="7"/>
        <v>827.945264302743</v>
      </c>
      <c r="E128" s="17">
        <f t="shared" si="10"/>
        <v>100456.45264185664</v>
      </c>
      <c r="F128" s="17">
        <f t="shared" si="8"/>
        <v>3311.781057210972</v>
      </c>
      <c r="G128" s="17">
        <f t="shared" si="11"/>
        <v>100456.4523467102</v>
      </c>
      <c r="H128" s="31"/>
      <c r="I128" s="17"/>
      <c r="J128" s="17"/>
      <c r="K128" s="31"/>
    </row>
    <row r="129" spans="1:11">
      <c r="A129" s="16">
        <v>9700</v>
      </c>
      <c r="B129" s="17">
        <f t="shared" si="6"/>
        <v>418.28484706961495</v>
      </c>
      <c r="C129" s="17">
        <f t="shared" si="9"/>
        <v>101502.87403845371</v>
      </c>
      <c r="D129" s="17">
        <f t="shared" si="7"/>
        <v>836.56969413922991</v>
      </c>
      <c r="E129" s="17">
        <f t="shared" si="10"/>
        <v>101502.87402354265</v>
      </c>
      <c r="F129" s="17">
        <f t="shared" si="8"/>
        <v>3346.2787765569196</v>
      </c>
      <c r="G129" s="17">
        <f t="shared" si="11"/>
        <v>101502.87372532176</v>
      </c>
      <c r="H129" s="31"/>
      <c r="I129" s="17"/>
      <c r="J129" s="17"/>
      <c r="K129" s="31"/>
    </row>
    <row r="130" spans="1:11">
      <c r="A130" s="16">
        <v>9800</v>
      </c>
      <c r="B130" s="17">
        <f t="shared" si="6"/>
        <v>422.59706198785841</v>
      </c>
      <c r="C130" s="17">
        <f t="shared" si="9"/>
        <v>102549.29542029343</v>
      </c>
      <c r="D130" s="17">
        <f t="shared" si="7"/>
        <v>845.19412397571682</v>
      </c>
      <c r="E130" s="17">
        <f t="shared" si="10"/>
        <v>102549.29540522865</v>
      </c>
      <c r="F130" s="17">
        <f t="shared" si="8"/>
        <v>3380.7764959028673</v>
      </c>
      <c r="G130" s="17">
        <f t="shared" si="11"/>
        <v>102549.29510393333</v>
      </c>
      <c r="H130" s="31"/>
      <c r="I130" s="17"/>
      <c r="J130" s="17"/>
      <c r="K130" s="31"/>
    </row>
    <row r="131" spans="1:11">
      <c r="A131" s="16">
        <v>9900</v>
      </c>
      <c r="B131" s="17">
        <f t="shared" si="6"/>
        <v>426.90927690610187</v>
      </c>
      <c r="C131" s="17">
        <f t="shared" si="9"/>
        <v>103595.71680213316</v>
      </c>
      <c r="D131" s="17">
        <f t="shared" si="7"/>
        <v>853.81855381220373</v>
      </c>
      <c r="E131" s="17">
        <f t="shared" si="10"/>
        <v>103595.71678691467</v>
      </c>
      <c r="F131" s="17">
        <f t="shared" si="8"/>
        <v>3415.2742152488149</v>
      </c>
      <c r="G131" s="17">
        <f t="shared" si="11"/>
        <v>103595.71648254489</v>
      </c>
      <c r="H131" s="31"/>
      <c r="I131" s="17"/>
      <c r="J131" s="17"/>
      <c r="K131" s="31"/>
    </row>
    <row r="132" spans="1:11">
      <c r="A132" s="16">
        <v>10000</v>
      </c>
      <c r="B132" s="17">
        <f t="shared" si="6"/>
        <v>431.22149182434532</v>
      </c>
      <c r="C132" s="17">
        <f t="shared" si="9"/>
        <v>104642.1381839729</v>
      </c>
      <c r="D132" s="17">
        <f t="shared" si="7"/>
        <v>862.44298364869064</v>
      </c>
      <c r="E132" s="17">
        <f t="shared" si="10"/>
        <v>104642.13816860066</v>
      </c>
      <c r="F132" s="17">
        <f t="shared" si="8"/>
        <v>3449.7719345947626</v>
      </c>
      <c r="G132" s="17">
        <f t="shared" si="11"/>
        <v>104642.13786115646</v>
      </c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23">
    <mergeCell ref="C5:E5"/>
    <mergeCell ref="C6:E6"/>
    <mergeCell ref="C7:E7"/>
    <mergeCell ref="F7:F9"/>
    <mergeCell ref="C8:E8"/>
    <mergeCell ref="C9:E9"/>
    <mergeCell ref="I24:K24"/>
    <mergeCell ref="C10:E10"/>
    <mergeCell ref="C11:E11"/>
    <mergeCell ref="C12:E12"/>
    <mergeCell ref="C13:E13"/>
    <mergeCell ref="C14:E14"/>
    <mergeCell ref="C17:E17"/>
    <mergeCell ref="C19:E19"/>
    <mergeCell ref="C21:E21"/>
    <mergeCell ref="C22:E22"/>
    <mergeCell ref="I25:K25"/>
    <mergeCell ref="C28:E28"/>
    <mergeCell ref="F29:H29"/>
    <mergeCell ref="B30:G30"/>
    <mergeCell ref="B31:C31"/>
    <mergeCell ref="D31:E31"/>
    <mergeCell ref="F31:G3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0D0C-3E46-4740-8A8B-D9585A239869}">
  <dimension ref="A1:K552"/>
  <sheetViews>
    <sheetView topLeftCell="B1" workbookViewId="0">
      <selection activeCell="H1" sqref="H1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146</v>
      </c>
    </row>
    <row r="2" spans="1:8">
      <c r="A2" s="16"/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>
        <f>DEGREES(ATAN(10/1700))</f>
        <v>0.33703010985780762</v>
      </c>
      <c r="H4" s="16"/>
    </row>
    <row r="5" spans="1:8">
      <c r="A5" s="16"/>
      <c r="B5" s="18" t="s">
        <v>81</v>
      </c>
      <c r="C5" s="203">
        <v>170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28">
        <v>38</v>
      </c>
      <c r="D6" s="228"/>
      <c r="E6" s="229"/>
      <c r="F6" s="16" t="s">
        <v>153</v>
      </c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0.75</v>
      </c>
      <c r="D9" s="193"/>
      <c r="E9" s="194"/>
      <c r="F9" s="207"/>
      <c r="G9" s="16"/>
      <c r="H9" s="16"/>
    </row>
    <row r="10" spans="1:8">
      <c r="A10" s="16"/>
      <c r="B10" s="20" t="s">
        <v>87</v>
      </c>
      <c r="C10" s="214">
        <v>0.4</v>
      </c>
      <c r="D10" s="214"/>
      <c r="E10" s="215"/>
      <c r="F10" s="42" t="s">
        <v>152</v>
      </c>
      <c r="G10" s="16" t="s">
        <v>89</v>
      </c>
      <c r="H10" s="16"/>
    </row>
    <row r="11" spans="1:8">
      <c r="A11" s="16"/>
      <c r="B11" s="20" t="s">
        <v>90</v>
      </c>
      <c r="C11" s="214">
        <v>0.3</v>
      </c>
      <c r="D11" s="214"/>
      <c r="E11" s="215"/>
      <c r="F11" s="43" t="s">
        <v>152</v>
      </c>
      <c r="G11" s="16">
        <f>C7*C8*C10*C11</f>
        <v>6.7500000000000004E-2</v>
      </c>
      <c r="H11" s="16"/>
    </row>
    <row r="12" spans="1:8">
      <c r="A12" s="16"/>
      <c r="B12" s="21" t="s">
        <v>92</v>
      </c>
      <c r="C12" s="195">
        <f>((C5/2)^2*PI()-(C6/2)^2*PI())*C7*C8*C9*C10*C11</f>
        <v>1091.672031195917</v>
      </c>
      <c r="D12" s="195"/>
      <c r="E12" s="196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</row>
    <row r="16" spans="1:8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</row>
    <row r="17" spans="1:11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</row>
    <row r="19" spans="1:11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</row>
    <row r="20" spans="1:11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</row>
    <row r="21" spans="1:11">
      <c r="A21" s="16"/>
      <c r="B21" s="13" t="s">
        <v>128</v>
      </c>
      <c r="C21" s="202">
        <v>500</v>
      </c>
      <c r="D21" s="202"/>
      <c r="E21" s="202"/>
      <c r="F21" s="16"/>
      <c r="G21" s="16"/>
      <c r="H21" s="16"/>
    </row>
    <row r="22" spans="1:11">
      <c r="A22" s="16"/>
      <c r="B22" s="13" t="s">
        <v>129</v>
      </c>
      <c r="C22" s="202">
        <v>0</v>
      </c>
      <c r="D22" s="202"/>
      <c r="E22" s="202"/>
      <c r="F22" s="16"/>
      <c r="G22" s="16"/>
      <c r="H22" s="16"/>
    </row>
    <row r="23" spans="1:11">
      <c r="A23" s="16"/>
      <c r="B23" s="37" t="s">
        <v>107</v>
      </c>
      <c r="C23" s="211">
        <f>($C$21+$C$22)*1000000/(4*PI())*$C$12*RADIANS($C$19)*RADIANS(C$20)</f>
        <v>90.179064803669277</v>
      </c>
      <c r="D23" s="212"/>
      <c r="E23" s="213"/>
      <c r="F23" s="16"/>
      <c r="G23" s="16"/>
      <c r="H23" s="16"/>
    </row>
    <row r="24" spans="1:11">
      <c r="A24" s="16"/>
      <c r="B24" s="39" t="s">
        <v>108</v>
      </c>
      <c r="C24" s="208">
        <f>C23/($C14/10*C15/10)</f>
        <v>15029.84413394488</v>
      </c>
      <c r="D24" s="209"/>
      <c r="E24" s="210"/>
      <c r="F24" s="41">
        <f>110/(80/1000/10*80/1000/10)</f>
        <v>1718749.9999999998</v>
      </c>
      <c r="G24" s="41">
        <f>110/(60/1000/10*60/1000/10)</f>
        <v>3055555.555555556</v>
      </c>
      <c r="H24" s="16"/>
      <c r="I24" s="190"/>
      <c r="J24" s="190"/>
      <c r="K24" s="190"/>
    </row>
    <row r="25" spans="1:11">
      <c r="A25" s="16"/>
      <c r="B25" s="27" t="s">
        <v>71</v>
      </c>
      <c r="C25" s="28">
        <v>1E-14</v>
      </c>
      <c r="D25" s="28">
        <v>3.0000000000000001E-12</v>
      </c>
      <c r="E25" s="28">
        <v>4.9999999999999999E-13</v>
      </c>
      <c r="F25" s="16"/>
      <c r="G25" s="28">
        <v>1E-14</v>
      </c>
      <c r="H25" s="16"/>
      <c r="I25" s="190"/>
      <c r="J25" s="190"/>
      <c r="K25" s="190"/>
    </row>
    <row r="26" spans="1:11">
      <c r="A26" s="16"/>
      <c r="B26" s="13" t="s">
        <v>109</v>
      </c>
      <c r="C26" s="29">
        <f>$C$25*$C$4/($C$2*$C$3/1216*10000000000)</f>
        <v>6.1214877324071058E-4</v>
      </c>
      <c r="D26" s="29">
        <f>$D$25*$C$4/($C$2*$C$3/1216*10000000000)</f>
        <v>0.18364463197221317</v>
      </c>
      <c r="E26" s="29">
        <f>$E$25*$C$4/($C$2*$C$3/1216*10000000000)</f>
        <v>3.0607438662035528E-2</v>
      </c>
      <c r="F26" s="16"/>
      <c r="G26" s="29">
        <f>$G$25*$C$4/($C$2*$C$3/1305*10000000000)</f>
        <v>6.569524252295454E-4</v>
      </c>
      <c r="H26" s="16"/>
      <c r="I26" s="16"/>
      <c r="J26" s="16"/>
      <c r="K26" s="16"/>
    </row>
    <row r="27" spans="1:11">
      <c r="A27" s="16"/>
      <c r="B27" s="37" t="s">
        <v>127</v>
      </c>
      <c r="C27" s="30">
        <f>$C$12*C26</f>
        <v>0.6682656946777753</v>
      </c>
      <c r="D27" s="30">
        <f>$C$12*D26</f>
        <v>200.47970840333261</v>
      </c>
      <c r="E27" s="30">
        <f>$C$12*E26</f>
        <v>33.413284733888766</v>
      </c>
      <c r="F27" s="16"/>
      <c r="G27" s="16"/>
      <c r="H27" s="16"/>
      <c r="I27" s="17"/>
      <c r="J27" s="17"/>
      <c r="K27" s="31"/>
    </row>
    <row r="28" spans="1:11">
      <c r="A28" s="16"/>
      <c r="B28" s="13" t="s">
        <v>50</v>
      </c>
      <c r="C28" s="191">
        <f>(0.08/10)^2</f>
        <v>6.3999999999999997E-5</v>
      </c>
      <c r="D28" s="191"/>
      <c r="E28" s="191"/>
      <c r="F28" s="16"/>
      <c r="G28" s="16"/>
      <c r="H28" s="16"/>
      <c r="I28" s="17"/>
      <c r="J28" s="17"/>
      <c r="K28" s="31"/>
    </row>
    <row r="29" spans="1:11">
      <c r="A29" s="16"/>
      <c r="B29" s="39" t="s">
        <v>112</v>
      </c>
      <c r="C29" s="40">
        <f>C27/$C$28</f>
        <v>10441.65147934024</v>
      </c>
      <c r="D29" s="40">
        <f>D27/$C$28</f>
        <v>3132495.4438020722</v>
      </c>
      <c r="E29" s="40">
        <f>E27/$C$28</f>
        <v>522082.57396701199</v>
      </c>
      <c r="F29" s="190"/>
      <c r="G29" s="190"/>
      <c r="H29" s="190"/>
      <c r="I29" s="17"/>
      <c r="J29" s="17"/>
      <c r="K29" s="31"/>
    </row>
    <row r="30" spans="1:11">
      <c r="A30" s="16" t="s">
        <v>113</v>
      </c>
      <c r="B30" s="192"/>
      <c r="C30" s="192"/>
      <c r="D30" s="192"/>
      <c r="E30" s="192"/>
      <c r="F30" s="192"/>
      <c r="G30" s="192"/>
      <c r="H30" s="16"/>
      <c r="I30" s="17"/>
      <c r="J30" s="17"/>
      <c r="K30" s="31"/>
    </row>
    <row r="31" spans="1:11">
      <c r="A31" s="16" t="s">
        <v>113</v>
      </c>
      <c r="B31" s="16"/>
      <c r="C31" s="16" t="s">
        <v>155</v>
      </c>
      <c r="D31" s="16" t="s">
        <v>156</v>
      </c>
      <c r="E31" s="16" t="s">
        <v>157</v>
      </c>
      <c r="F31" s="16" t="s">
        <v>155</v>
      </c>
      <c r="G31" s="16" t="s">
        <v>156</v>
      </c>
      <c r="H31" s="16" t="s">
        <v>157</v>
      </c>
      <c r="I31" s="17"/>
      <c r="J31" s="17"/>
      <c r="K31" s="31"/>
    </row>
    <row r="32" spans="1:11">
      <c r="A32" s="16" t="s">
        <v>149</v>
      </c>
      <c r="B32" s="16" t="s">
        <v>150</v>
      </c>
      <c r="C32" s="16" t="s">
        <v>151</v>
      </c>
      <c r="D32" s="16" t="s">
        <v>151</v>
      </c>
      <c r="E32" s="16" t="s">
        <v>151</v>
      </c>
      <c r="F32" s="16" t="s">
        <v>154</v>
      </c>
      <c r="G32" s="16" t="s">
        <v>154</v>
      </c>
      <c r="H32" s="16" t="s">
        <v>154</v>
      </c>
      <c r="I32" s="17"/>
      <c r="J32" s="17"/>
      <c r="K32" s="31"/>
    </row>
    <row r="33" spans="1:11">
      <c r="A33" s="17">
        <v>1E-14</v>
      </c>
      <c r="B33" s="17">
        <f>A33*$C$4/($C$2*$C$3/1216*10000000000)*$C$12</f>
        <v>0.6682656946777753</v>
      </c>
      <c r="C33" s="17">
        <f>$C$23</f>
        <v>90.179064803669277</v>
      </c>
      <c r="D33" s="17">
        <f>C33*10/2.4</f>
        <v>375.746103348622</v>
      </c>
      <c r="E33" s="17">
        <f>C33*30/2.4</f>
        <v>1127.238310045866</v>
      </c>
      <c r="F33" s="17">
        <f>B33+C33</f>
        <v>90.847330498347048</v>
      </c>
      <c r="G33" s="17">
        <f>B33+D33</f>
        <v>376.41436904329976</v>
      </c>
      <c r="H33" s="31">
        <f>B33+E33</f>
        <v>1127.9065757405438</v>
      </c>
      <c r="I33" s="17"/>
      <c r="J33" s="17"/>
      <c r="K33" s="31"/>
    </row>
    <row r="34" spans="1:11">
      <c r="A34" s="17">
        <f>A33*10^0.1</f>
        <v>1.2589254117941673E-14</v>
      </c>
      <c r="B34" s="17">
        <f t="shared" ref="B34:B73" si="0">A34*$C$4/($C$2*$C$3/1216*10000000000)*$C$12</f>
        <v>0.84129666486013355</v>
      </c>
      <c r="C34" s="17">
        <f t="shared" ref="C34:C73" si="1">$C$23</f>
        <v>90.179064803669277</v>
      </c>
      <c r="D34" s="17">
        <f t="shared" ref="D34:D73" si="2">C34*10/2.4</f>
        <v>375.746103348622</v>
      </c>
      <c r="E34" s="17">
        <f t="shared" ref="E34:E73" si="3">C34*30/2.4</f>
        <v>1127.238310045866</v>
      </c>
      <c r="F34" s="17">
        <f t="shared" ref="F34:F73" si="4">B34+C34</f>
        <v>91.020361468529416</v>
      </c>
      <c r="G34" s="17">
        <f t="shared" ref="G34:G73" si="5">B34+D34</f>
        <v>376.58740001348212</v>
      </c>
      <c r="H34" s="31">
        <f t="shared" ref="H34:H73" si="6">B34+E34</f>
        <v>1128.0796067107262</v>
      </c>
      <c r="I34" s="17"/>
      <c r="J34" s="17"/>
      <c r="K34" s="31"/>
    </row>
    <row r="35" spans="1:11">
      <c r="A35" s="17">
        <f t="shared" ref="A35:A73" si="7">A34*10^0.1</f>
        <v>1.5848931924611138E-14</v>
      </c>
      <c r="B35" s="17">
        <f t="shared" si="0"/>
        <v>1.0591297502501034</v>
      </c>
      <c r="C35" s="17">
        <f t="shared" si="1"/>
        <v>90.179064803669277</v>
      </c>
      <c r="D35" s="17">
        <f t="shared" si="2"/>
        <v>375.746103348622</v>
      </c>
      <c r="E35" s="17">
        <f t="shared" si="3"/>
        <v>1127.238310045866</v>
      </c>
      <c r="F35" s="17">
        <f t="shared" si="4"/>
        <v>91.238194553919385</v>
      </c>
      <c r="G35" s="17">
        <f t="shared" si="5"/>
        <v>376.80523309887212</v>
      </c>
      <c r="H35" s="31">
        <f t="shared" si="6"/>
        <v>1128.2974397961161</v>
      </c>
      <c r="I35" s="17"/>
      <c r="J35" s="17"/>
      <c r="K35" s="31"/>
    </row>
    <row r="36" spans="1:11">
      <c r="A36" s="17">
        <f t="shared" si="7"/>
        <v>1.99526231496888E-14</v>
      </c>
      <c r="B36" s="17">
        <f t="shared" si="0"/>
        <v>1.3333653569770649</v>
      </c>
      <c r="C36" s="17">
        <f t="shared" si="1"/>
        <v>90.179064803669277</v>
      </c>
      <c r="D36" s="17">
        <f t="shared" si="2"/>
        <v>375.746103348622</v>
      </c>
      <c r="E36" s="17">
        <f t="shared" si="3"/>
        <v>1127.238310045866</v>
      </c>
      <c r="F36" s="17">
        <f t="shared" si="4"/>
        <v>91.512430160646346</v>
      </c>
      <c r="G36" s="17">
        <f t="shared" si="5"/>
        <v>377.07946870559908</v>
      </c>
      <c r="H36" s="31">
        <f t="shared" si="6"/>
        <v>1128.5716754028431</v>
      </c>
      <c r="I36" s="17"/>
      <c r="J36" s="17"/>
      <c r="K36" s="31"/>
    </row>
    <row r="37" spans="1:11">
      <c r="A37" s="17">
        <f t="shared" si="7"/>
        <v>2.5118864315095807E-14</v>
      </c>
      <c r="B37" s="17">
        <f t="shared" si="0"/>
        <v>1.678607531104428</v>
      </c>
      <c r="C37" s="17">
        <f t="shared" si="1"/>
        <v>90.179064803669277</v>
      </c>
      <c r="D37" s="17">
        <f t="shared" si="2"/>
        <v>375.746103348622</v>
      </c>
      <c r="E37" s="17">
        <f t="shared" si="3"/>
        <v>1127.238310045866</v>
      </c>
      <c r="F37" s="17">
        <f t="shared" si="4"/>
        <v>91.85767233477371</v>
      </c>
      <c r="G37" s="17">
        <f t="shared" si="5"/>
        <v>377.42471087972643</v>
      </c>
      <c r="H37" s="31">
        <f t="shared" si="6"/>
        <v>1128.9169175769705</v>
      </c>
      <c r="I37" s="17"/>
      <c r="J37" s="17"/>
      <c r="K37" s="31"/>
    </row>
    <row r="38" spans="1:11">
      <c r="A38" s="17">
        <f t="shared" si="7"/>
        <v>3.1622776601683802E-14</v>
      </c>
      <c r="B38" s="17">
        <f t="shared" si="0"/>
        <v>2.1132416773364326</v>
      </c>
      <c r="C38" s="17">
        <f t="shared" si="1"/>
        <v>90.179064803669277</v>
      </c>
      <c r="D38" s="17">
        <f t="shared" si="2"/>
        <v>375.746103348622</v>
      </c>
      <c r="E38" s="17">
        <f t="shared" si="3"/>
        <v>1127.238310045866</v>
      </c>
      <c r="F38" s="17">
        <f t="shared" si="4"/>
        <v>92.29230648100571</v>
      </c>
      <c r="G38" s="17">
        <f t="shared" si="5"/>
        <v>377.85934502595842</v>
      </c>
      <c r="H38" s="31">
        <f t="shared" si="6"/>
        <v>1129.3515517232024</v>
      </c>
      <c r="I38" s="17"/>
      <c r="J38" s="17"/>
      <c r="K38" s="31"/>
    </row>
    <row r="39" spans="1:11">
      <c r="A39" s="17">
        <f t="shared" si="7"/>
        <v>3.9810717055349737E-14</v>
      </c>
      <c r="B39" s="17">
        <f t="shared" si="0"/>
        <v>2.6604136488613652</v>
      </c>
      <c r="C39" s="17">
        <f t="shared" si="1"/>
        <v>90.179064803669277</v>
      </c>
      <c r="D39" s="17">
        <f t="shared" si="2"/>
        <v>375.746103348622</v>
      </c>
      <c r="E39" s="17">
        <f t="shared" si="3"/>
        <v>1127.238310045866</v>
      </c>
      <c r="F39" s="17">
        <f t="shared" si="4"/>
        <v>92.839478452530642</v>
      </c>
      <c r="G39" s="17">
        <f t="shared" si="5"/>
        <v>378.40651699748338</v>
      </c>
      <c r="H39" s="31">
        <f t="shared" si="6"/>
        <v>1129.8987236947273</v>
      </c>
      <c r="I39" s="17"/>
      <c r="J39" s="17"/>
      <c r="K39" s="31"/>
    </row>
    <row r="40" spans="1:11">
      <c r="A40" s="17">
        <f t="shared" si="7"/>
        <v>5.0118723362727245E-14</v>
      </c>
      <c r="B40" s="17">
        <f t="shared" si="0"/>
        <v>3.3492623484356168</v>
      </c>
      <c r="C40" s="17">
        <f t="shared" si="1"/>
        <v>90.179064803669277</v>
      </c>
      <c r="D40" s="17">
        <f t="shared" si="2"/>
        <v>375.746103348622</v>
      </c>
      <c r="E40" s="17">
        <f t="shared" si="3"/>
        <v>1127.238310045866</v>
      </c>
      <c r="F40" s="17">
        <f t="shared" si="4"/>
        <v>93.528327152104893</v>
      </c>
      <c r="G40" s="17">
        <f t="shared" si="5"/>
        <v>379.09536569705762</v>
      </c>
      <c r="H40" s="31">
        <f t="shared" si="6"/>
        <v>1130.5875723943016</v>
      </c>
      <c r="I40" s="17"/>
      <c r="J40" s="17"/>
      <c r="K40" s="31"/>
    </row>
    <row r="41" spans="1:11">
      <c r="A41" s="17">
        <f t="shared" si="7"/>
        <v>6.3095734448019354E-14</v>
      </c>
      <c r="B41" s="17">
        <f t="shared" si="0"/>
        <v>4.2164714812110091</v>
      </c>
      <c r="C41" s="17">
        <f t="shared" si="1"/>
        <v>90.179064803669277</v>
      </c>
      <c r="D41" s="17">
        <f t="shared" si="2"/>
        <v>375.746103348622</v>
      </c>
      <c r="E41" s="17">
        <f t="shared" si="3"/>
        <v>1127.238310045866</v>
      </c>
      <c r="F41" s="17">
        <f t="shared" si="4"/>
        <v>94.395536284880279</v>
      </c>
      <c r="G41" s="17">
        <f t="shared" si="5"/>
        <v>379.96257482983299</v>
      </c>
      <c r="H41" s="31">
        <f t="shared" si="6"/>
        <v>1131.4547815270771</v>
      </c>
      <c r="I41" s="17"/>
      <c r="J41" s="17"/>
      <c r="K41" s="31"/>
    </row>
    <row r="42" spans="1:11">
      <c r="A42" s="17">
        <f t="shared" si="7"/>
        <v>7.9432823472428196E-14</v>
      </c>
      <c r="B42" s="17">
        <f t="shared" si="0"/>
        <v>5.3082230958019325</v>
      </c>
      <c r="C42" s="17">
        <f t="shared" si="1"/>
        <v>90.179064803669277</v>
      </c>
      <c r="D42" s="17">
        <f t="shared" si="2"/>
        <v>375.746103348622</v>
      </c>
      <c r="E42" s="17">
        <f t="shared" si="3"/>
        <v>1127.238310045866</v>
      </c>
      <c r="F42" s="17">
        <f t="shared" si="4"/>
        <v>95.487287899471212</v>
      </c>
      <c r="G42" s="17">
        <f t="shared" si="5"/>
        <v>381.05432644442391</v>
      </c>
      <c r="H42" s="31">
        <f t="shared" si="6"/>
        <v>1132.5465331416679</v>
      </c>
      <c r="I42" s="17"/>
      <c r="J42" s="17"/>
      <c r="K42" s="31"/>
    </row>
    <row r="43" spans="1:11">
      <c r="A43" s="17">
        <f t="shared" si="7"/>
        <v>1.0000000000000007E-13</v>
      </c>
      <c r="B43" s="17">
        <f t="shared" si="0"/>
        <v>6.6826569467777572</v>
      </c>
      <c r="C43" s="17">
        <f t="shared" si="1"/>
        <v>90.179064803669277</v>
      </c>
      <c r="D43" s="17">
        <f t="shared" si="2"/>
        <v>375.746103348622</v>
      </c>
      <c r="E43" s="17">
        <f t="shared" si="3"/>
        <v>1127.238310045866</v>
      </c>
      <c r="F43" s="17">
        <f t="shared" si="4"/>
        <v>96.861721750447032</v>
      </c>
      <c r="G43" s="17">
        <f t="shared" si="5"/>
        <v>382.42876029539974</v>
      </c>
      <c r="H43" s="31">
        <f t="shared" si="6"/>
        <v>1133.9209669926438</v>
      </c>
      <c r="I43" s="17"/>
      <c r="J43" s="17"/>
      <c r="K43" s="31"/>
    </row>
    <row r="44" spans="1:11">
      <c r="A44" s="17">
        <f t="shared" si="7"/>
        <v>1.2589254117941681E-13</v>
      </c>
      <c r="B44" s="17">
        <f t="shared" si="0"/>
        <v>8.4129666486013406</v>
      </c>
      <c r="C44" s="17">
        <f t="shared" si="1"/>
        <v>90.179064803669277</v>
      </c>
      <c r="D44" s="17">
        <f t="shared" si="2"/>
        <v>375.746103348622</v>
      </c>
      <c r="E44" s="17">
        <f t="shared" si="3"/>
        <v>1127.238310045866</v>
      </c>
      <c r="F44" s="17">
        <f t="shared" si="4"/>
        <v>98.592031452270618</v>
      </c>
      <c r="G44" s="17">
        <f t="shared" si="5"/>
        <v>384.15906999722336</v>
      </c>
      <c r="H44" s="31">
        <f t="shared" si="6"/>
        <v>1135.6512766944672</v>
      </c>
      <c r="I44" s="17"/>
      <c r="J44" s="17"/>
      <c r="K44" s="31"/>
    </row>
    <row r="45" spans="1:11">
      <c r="A45" s="17">
        <f t="shared" si="7"/>
        <v>1.5848931924611147E-13</v>
      </c>
      <c r="B45" s="17">
        <f t="shared" si="0"/>
        <v>10.591297502501039</v>
      </c>
      <c r="C45" s="17">
        <f t="shared" si="1"/>
        <v>90.179064803669277</v>
      </c>
      <c r="D45" s="17">
        <f t="shared" si="2"/>
        <v>375.746103348622</v>
      </c>
      <c r="E45" s="17">
        <f t="shared" si="3"/>
        <v>1127.238310045866</v>
      </c>
      <c r="F45" s="17">
        <f t="shared" si="4"/>
        <v>100.77036230617031</v>
      </c>
      <c r="G45" s="17">
        <f t="shared" si="5"/>
        <v>386.33740085112305</v>
      </c>
      <c r="H45" s="31">
        <f t="shared" si="6"/>
        <v>1137.829607548367</v>
      </c>
      <c r="I45" s="17"/>
      <c r="J45" s="17"/>
      <c r="K45" s="31"/>
    </row>
    <row r="46" spans="1:11">
      <c r="A46" s="17">
        <f t="shared" si="7"/>
        <v>1.9952623149688812E-13</v>
      </c>
      <c r="B46" s="17">
        <f t="shared" si="0"/>
        <v>13.333653569770656</v>
      </c>
      <c r="C46" s="17">
        <f t="shared" si="1"/>
        <v>90.179064803669277</v>
      </c>
      <c r="D46" s="17">
        <f t="shared" si="2"/>
        <v>375.746103348622</v>
      </c>
      <c r="E46" s="17">
        <f t="shared" si="3"/>
        <v>1127.238310045866</v>
      </c>
      <c r="F46" s="17">
        <f t="shared" si="4"/>
        <v>103.51271837343994</v>
      </c>
      <c r="G46" s="17">
        <f t="shared" si="5"/>
        <v>389.07975691839266</v>
      </c>
      <c r="H46" s="31">
        <f t="shared" si="6"/>
        <v>1140.5719636156366</v>
      </c>
      <c r="I46" s="17"/>
      <c r="J46" s="17"/>
      <c r="K46" s="31"/>
    </row>
    <row r="47" spans="1:11">
      <c r="A47" s="17">
        <f t="shared" si="7"/>
        <v>2.5118864315095825E-13</v>
      </c>
      <c r="B47" s="17">
        <f t="shared" si="0"/>
        <v>16.786075311044293</v>
      </c>
      <c r="C47" s="17">
        <f t="shared" si="1"/>
        <v>90.179064803669277</v>
      </c>
      <c r="D47" s="17">
        <f t="shared" si="2"/>
        <v>375.746103348622</v>
      </c>
      <c r="E47" s="17">
        <f t="shared" si="3"/>
        <v>1127.238310045866</v>
      </c>
      <c r="F47" s="17">
        <f t="shared" si="4"/>
        <v>106.96514011471356</v>
      </c>
      <c r="G47" s="17">
        <f t="shared" si="5"/>
        <v>392.53217865966627</v>
      </c>
      <c r="H47" s="31">
        <f t="shared" si="6"/>
        <v>1144.0243853569102</v>
      </c>
      <c r="I47" s="17"/>
      <c r="J47" s="17"/>
      <c r="K47" s="31"/>
    </row>
    <row r="48" spans="1:11">
      <c r="A48" s="17">
        <f t="shared" si="7"/>
        <v>3.1622776601683827E-13</v>
      </c>
      <c r="B48" s="17">
        <f t="shared" si="0"/>
        <v>21.132416773364344</v>
      </c>
      <c r="C48" s="17">
        <f t="shared" si="1"/>
        <v>90.179064803669277</v>
      </c>
      <c r="D48" s="17">
        <f t="shared" si="2"/>
        <v>375.746103348622</v>
      </c>
      <c r="E48" s="17">
        <f t="shared" si="3"/>
        <v>1127.238310045866</v>
      </c>
      <c r="F48" s="17">
        <f t="shared" si="4"/>
        <v>111.31148157703362</v>
      </c>
      <c r="G48" s="17">
        <f t="shared" si="5"/>
        <v>396.87852012198636</v>
      </c>
      <c r="H48" s="31">
        <f t="shared" si="6"/>
        <v>1148.3707268192304</v>
      </c>
      <c r="I48" s="17"/>
      <c r="J48" s="17"/>
      <c r="K48" s="31"/>
    </row>
    <row r="49" spans="1:11">
      <c r="A49" s="17">
        <f t="shared" si="7"/>
        <v>3.9810717055349768E-13</v>
      </c>
      <c r="B49" s="17">
        <f t="shared" si="0"/>
        <v>26.604136488613669</v>
      </c>
      <c r="C49" s="17">
        <f t="shared" si="1"/>
        <v>90.179064803669277</v>
      </c>
      <c r="D49" s="17">
        <f t="shared" si="2"/>
        <v>375.746103348622</v>
      </c>
      <c r="E49" s="17">
        <f t="shared" si="3"/>
        <v>1127.238310045866</v>
      </c>
      <c r="F49" s="17">
        <f t="shared" si="4"/>
        <v>116.78320129228294</v>
      </c>
      <c r="G49" s="17">
        <f t="shared" si="5"/>
        <v>402.35023983723568</v>
      </c>
      <c r="H49" s="31">
        <f t="shared" si="6"/>
        <v>1153.8424465344797</v>
      </c>
      <c r="I49" s="17"/>
      <c r="J49" s="17"/>
      <c r="K49" s="31"/>
    </row>
    <row r="50" spans="1:11">
      <c r="A50" s="17">
        <f t="shared" si="7"/>
        <v>5.0118723362727288E-13</v>
      </c>
      <c r="B50" s="17">
        <f t="shared" si="0"/>
        <v>33.492623484356201</v>
      </c>
      <c r="C50" s="17">
        <f t="shared" si="1"/>
        <v>90.179064803669277</v>
      </c>
      <c r="D50" s="17">
        <f t="shared" si="2"/>
        <v>375.746103348622</v>
      </c>
      <c r="E50" s="17">
        <f t="shared" si="3"/>
        <v>1127.238310045866</v>
      </c>
      <c r="F50" s="17">
        <f t="shared" si="4"/>
        <v>123.67168828802548</v>
      </c>
      <c r="G50" s="17">
        <f t="shared" si="5"/>
        <v>409.23872683297822</v>
      </c>
      <c r="H50" s="31">
        <f t="shared" si="6"/>
        <v>1160.7309335302223</v>
      </c>
      <c r="I50" s="17"/>
      <c r="J50" s="17"/>
      <c r="K50" s="31"/>
    </row>
    <row r="51" spans="1:11">
      <c r="A51" s="17">
        <f t="shared" si="7"/>
        <v>6.3095734448019404E-13</v>
      </c>
      <c r="B51" s="17">
        <f t="shared" si="0"/>
        <v>42.16471481211012</v>
      </c>
      <c r="C51" s="17">
        <f t="shared" si="1"/>
        <v>90.179064803669277</v>
      </c>
      <c r="D51" s="17">
        <f t="shared" si="2"/>
        <v>375.746103348622</v>
      </c>
      <c r="E51" s="17">
        <f t="shared" si="3"/>
        <v>1127.238310045866</v>
      </c>
      <c r="F51" s="17">
        <f t="shared" si="4"/>
        <v>132.3437796157794</v>
      </c>
      <c r="G51" s="17">
        <f t="shared" si="5"/>
        <v>417.91081816073211</v>
      </c>
      <c r="H51" s="31">
        <f t="shared" si="6"/>
        <v>1169.4030248579761</v>
      </c>
      <c r="I51" s="17"/>
      <c r="J51" s="17"/>
      <c r="K51" s="31"/>
    </row>
    <row r="52" spans="1:11">
      <c r="A52" s="17">
        <f t="shared" si="7"/>
        <v>7.9432823472428257E-13</v>
      </c>
      <c r="B52" s="17">
        <f t="shared" si="0"/>
        <v>53.082230958019366</v>
      </c>
      <c r="C52" s="17">
        <f t="shared" si="1"/>
        <v>90.179064803669277</v>
      </c>
      <c r="D52" s="17">
        <f t="shared" si="2"/>
        <v>375.746103348622</v>
      </c>
      <c r="E52" s="17">
        <f t="shared" si="3"/>
        <v>1127.238310045866</v>
      </c>
      <c r="F52" s="17">
        <f t="shared" si="4"/>
        <v>143.26129576168864</v>
      </c>
      <c r="G52" s="17">
        <f t="shared" si="5"/>
        <v>428.82833430664135</v>
      </c>
      <c r="H52" s="31">
        <f t="shared" si="6"/>
        <v>1180.3205410038854</v>
      </c>
      <c r="I52" s="17"/>
      <c r="J52" s="17"/>
      <c r="K52" s="31"/>
    </row>
    <row r="53" spans="1:11">
      <c r="A53" s="17">
        <f t="shared" si="7"/>
        <v>1.0000000000000014E-12</v>
      </c>
      <c r="B53" s="17">
        <f t="shared" si="0"/>
        <v>66.826569467777617</v>
      </c>
      <c r="C53" s="17">
        <f t="shared" si="1"/>
        <v>90.179064803669277</v>
      </c>
      <c r="D53" s="17">
        <f t="shared" si="2"/>
        <v>375.746103348622</v>
      </c>
      <c r="E53" s="17">
        <f t="shared" si="3"/>
        <v>1127.238310045866</v>
      </c>
      <c r="F53" s="17">
        <f t="shared" si="4"/>
        <v>157.00563427144689</v>
      </c>
      <c r="G53" s="17">
        <f t="shared" si="5"/>
        <v>442.57267281639963</v>
      </c>
      <c r="H53" s="31">
        <f t="shared" si="6"/>
        <v>1194.0648795136435</v>
      </c>
      <c r="I53" s="17"/>
      <c r="J53" s="17"/>
      <c r="K53" s="31"/>
    </row>
    <row r="54" spans="1:11">
      <c r="A54" s="17">
        <f t="shared" si="7"/>
        <v>1.2589254117941691E-12</v>
      </c>
      <c r="B54" s="17">
        <f t="shared" si="0"/>
        <v>84.129666486013491</v>
      </c>
      <c r="C54" s="17">
        <f t="shared" si="1"/>
        <v>90.179064803669277</v>
      </c>
      <c r="D54" s="17">
        <f t="shared" si="2"/>
        <v>375.746103348622</v>
      </c>
      <c r="E54" s="17">
        <f t="shared" si="3"/>
        <v>1127.238310045866</v>
      </c>
      <c r="F54" s="17">
        <f t="shared" si="4"/>
        <v>174.30873128968278</v>
      </c>
      <c r="G54" s="17">
        <f t="shared" si="5"/>
        <v>459.87576983463549</v>
      </c>
      <c r="H54" s="31">
        <f t="shared" si="6"/>
        <v>1211.3679765318795</v>
      </c>
      <c r="I54" s="17"/>
      <c r="J54" s="17"/>
      <c r="K54" s="31"/>
    </row>
    <row r="55" spans="1:11">
      <c r="A55" s="17">
        <f t="shared" si="7"/>
        <v>1.584893192461116E-12</v>
      </c>
      <c r="B55" s="17">
        <f t="shared" si="0"/>
        <v>105.91297502501048</v>
      </c>
      <c r="C55" s="17">
        <f t="shared" si="1"/>
        <v>90.179064803669277</v>
      </c>
      <c r="D55" s="17">
        <f t="shared" si="2"/>
        <v>375.746103348622</v>
      </c>
      <c r="E55" s="17">
        <f t="shared" si="3"/>
        <v>1127.238310045866</v>
      </c>
      <c r="F55" s="17">
        <f t="shared" si="4"/>
        <v>196.09203982867976</v>
      </c>
      <c r="G55" s="17">
        <f t="shared" si="5"/>
        <v>481.6590783736325</v>
      </c>
      <c r="H55" s="31">
        <f t="shared" si="6"/>
        <v>1233.1512850708764</v>
      </c>
      <c r="I55" s="17"/>
      <c r="J55" s="17"/>
      <c r="K55" s="31"/>
    </row>
    <row r="56" spans="1:11">
      <c r="A56" s="17">
        <f t="shared" si="7"/>
        <v>1.9952623149688827E-12</v>
      </c>
      <c r="B56" s="17">
        <f t="shared" si="0"/>
        <v>133.33653569770667</v>
      </c>
      <c r="C56" s="17">
        <f t="shared" si="1"/>
        <v>90.179064803669277</v>
      </c>
      <c r="D56" s="17">
        <f t="shared" si="2"/>
        <v>375.746103348622</v>
      </c>
      <c r="E56" s="17">
        <f t="shared" si="3"/>
        <v>1127.238310045866</v>
      </c>
      <c r="F56" s="17">
        <f t="shared" si="4"/>
        <v>223.51560050137596</v>
      </c>
      <c r="G56" s="17">
        <f t="shared" si="5"/>
        <v>509.08263904632867</v>
      </c>
      <c r="H56" s="31">
        <f t="shared" si="6"/>
        <v>1260.5748457435727</v>
      </c>
      <c r="I56" s="17"/>
      <c r="J56" s="17"/>
      <c r="K56" s="31"/>
    </row>
    <row r="57" spans="1:11">
      <c r="A57" s="17">
        <f t="shared" si="7"/>
        <v>2.5118864315095843E-12</v>
      </c>
      <c r="B57" s="17">
        <f t="shared" si="0"/>
        <v>167.86075311044306</v>
      </c>
      <c r="C57" s="17">
        <f t="shared" si="1"/>
        <v>90.179064803669277</v>
      </c>
      <c r="D57" s="17">
        <f t="shared" si="2"/>
        <v>375.746103348622</v>
      </c>
      <c r="E57" s="17">
        <f t="shared" si="3"/>
        <v>1127.238310045866</v>
      </c>
      <c r="F57" s="17">
        <f t="shared" si="4"/>
        <v>258.03981791411235</v>
      </c>
      <c r="G57" s="17">
        <f t="shared" si="5"/>
        <v>543.60685645906506</v>
      </c>
      <c r="H57" s="31">
        <f t="shared" si="6"/>
        <v>1295.0990631563091</v>
      </c>
      <c r="I57" s="17"/>
      <c r="J57" s="17"/>
      <c r="K57" s="31"/>
    </row>
    <row r="58" spans="1:11">
      <c r="A58" s="17">
        <f t="shared" si="7"/>
        <v>3.1622776601683846E-12</v>
      </c>
      <c r="B58" s="17">
        <f t="shared" si="0"/>
        <v>211.32416773364355</v>
      </c>
      <c r="C58" s="17">
        <f t="shared" si="1"/>
        <v>90.179064803669277</v>
      </c>
      <c r="D58" s="17">
        <f t="shared" si="2"/>
        <v>375.746103348622</v>
      </c>
      <c r="E58" s="17">
        <f t="shared" si="3"/>
        <v>1127.238310045866</v>
      </c>
      <c r="F58" s="17">
        <f t="shared" si="4"/>
        <v>301.50323253731284</v>
      </c>
      <c r="G58" s="17">
        <f t="shared" si="5"/>
        <v>587.07027108226555</v>
      </c>
      <c r="H58" s="31">
        <f t="shared" si="6"/>
        <v>1338.5624777795097</v>
      </c>
      <c r="I58" s="17"/>
      <c r="J58" s="17"/>
      <c r="K58" s="31"/>
    </row>
    <row r="59" spans="1:11">
      <c r="A59" s="17">
        <f t="shared" si="7"/>
        <v>3.9810717055349792E-12</v>
      </c>
      <c r="B59" s="17">
        <f t="shared" si="0"/>
        <v>266.04136488613688</v>
      </c>
      <c r="C59" s="17">
        <f t="shared" si="1"/>
        <v>90.179064803669277</v>
      </c>
      <c r="D59" s="17">
        <f t="shared" si="2"/>
        <v>375.746103348622</v>
      </c>
      <c r="E59" s="17">
        <f t="shared" si="3"/>
        <v>1127.238310045866</v>
      </c>
      <c r="F59" s="17">
        <f t="shared" si="4"/>
        <v>356.22042968980617</v>
      </c>
      <c r="G59" s="17">
        <f t="shared" si="5"/>
        <v>641.78746823475888</v>
      </c>
      <c r="H59" s="31">
        <f t="shared" si="6"/>
        <v>1393.2796749320028</v>
      </c>
      <c r="I59" s="17"/>
      <c r="J59" s="17"/>
      <c r="K59" s="31"/>
    </row>
    <row r="60" spans="1:11">
      <c r="A60" s="17">
        <f t="shared" si="7"/>
        <v>5.0118723362727316E-12</v>
      </c>
      <c r="B60" s="17">
        <f t="shared" si="0"/>
        <v>334.92623484356216</v>
      </c>
      <c r="C60" s="17">
        <f t="shared" si="1"/>
        <v>90.179064803669277</v>
      </c>
      <c r="D60" s="17">
        <f t="shared" si="2"/>
        <v>375.746103348622</v>
      </c>
      <c r="E60" s="17">
        <f t="shared" si="3"/>
        <v>1127.238310045866</v>
      </c>
      <c r="F60" s="17">
        <f t="shared" si="4"/>
        <v>425.10529964723145</v>
      </c>
      <c r="G60" s="17">
        <f t="shared" si="5"/>
        <v>710.67233819218416</v>
      </c>
      <c r="H60" s="31">
        <f t="shared" si="6"/>
        <v>1462.1645448894283</v>
      </c>
      <c r="I60" s="17"/>
      <c r="J60" s="17"/>
      <c r="K60" s="31"/>
    </row>
    <row r="61" spans="1:11">
      <c r="A61" s="17">
        <f t="shared" si="7"/>
        <v>6.3095734448019442E-12</v>
      </c>
      <c r="B61" s="17">
        <f t="shared" si="0"/>
        <v>421.64714812110157</v>
      </c>
      <c r="C61" s="17">
        <f t="shared" si="1"/>
        <v>90.179064803669277</v>
      </c>
      <c r="D61" s="17">
        <f t="shared" si="2"/>
        <v>375.746103348622</v>
      </c>
      <c r="E61" s="17">
        <f t="shared" si="3"/>
        <v>1127.238310045866</v>
      </c>
      <c r="F61" s="17">
        <f t="shared" si="4"/>
        <v>511.82621292477086</v>
      </c>
      <c r="G61" s="17">
        <f t="shared" si="5"/>
        <v>797.39325146972351</v>
      </c>
      <c r="H61" s="31">
        <f t="shared" si="6"/>
        <v>1548.8854581669675</v>
      </c>
      <c r="I61" s="17"/>
      <c r="J61" s="17"/>
      <c r="K61" s="31"/>
    </row>
    <row r="62" spans="1:11">
      <c r="A62" s="17">
        <f t="shared" si="7"/>
        <v>7.9432823472428295E-12</v>
      </c>
      <c r="B62" s="17">
        <f t="shared" si="0"/>
        <v>530.82230958019397</v>
      </c>
      <c r="C62" s="17">
        <f t="shared" si="1"/>
        <v>90.179064803669277</v>
      </c>
      <c r="D62" s="17">
        <f t="shared" si="2"/>
        <v>375.746103348622</v>
      </c>
      <c r="E62" s="17">
        <f t="shared" si="3"/>
        <v>1127.238310045866</v>
      </c>
      <c r="F62" s="17">
        <f t="shared" si="4"/>
        <v>621.00137438386321</v>
      </c>
      <c r="G62" s="17">
        <f t="shared" si="5"/>
        <v>906.56841292881597</v>
      </c>
      <c r="H62" s="31">
        <f t="shared" si="6"/>
        <v>1658.0606196260601</v>
      </c>
      <c r="I62" s="17"/>
      <c r="J62" s="17"/>
      <c r="K62" s="31"/>
    </row>
    <row r="63" spans="1:11">
      <c r="A63" s="17">
        <f t="shared" si="7"/>
        <v>1.0000000000000019E-11</v>
      </c>
      <c r="B63" s="17">
        <f t="shared" si="0"/>
        <v>668.26569467777654</v>
      </c>
      <c r="C63" s="17">
        <f t="shared" si="1"/>
        <v>90.179064803669277</v>
      </c>
      <c r="D63" s="17">
        <f t="shared" si="2"/>
        <v>375.746103348622</v>
      </c>
      <c r="E63" s="17">
        <f t="shared" si="3"/>
        <v>1127.238310045866</v>
      </c>
      <c r="F63" s="17">
        <f t="shared" si="4"/>
        <v>758.44475948144577</v>
      </c>
      <c r="G63" s="17">
        <f t="shared" si="5"/>
        <v>1044.0117980263985</v>
      </c>
      <c r="H63" s="31">
        <f t="shared" si="6"/>
        <v>1795.5040047236425</v>
      </c>
      <c r="I63" s="17"/>
      <c r="J63" s="17"/>
      <c r="K63" s="31"/>
    </row>
    <row r="64" spans="1:11">
      <c r="A64" s="17">
        <f t="shared" si="7"/>
        <v>1.2589254117941697E-11</v>
      </c>
      <c r="B64" s="17">
        <f t="shared" si="0"/>
        <v>841.29666486013514</v>
      </c>
      <c r="C64" s="17">
        <f t="shared" si="1"/>
        <v>90.179064803669277</v>
      </c>
      <c r="D64" s="17">
        <f t="shared" si="2"/>
        <v>375.746103348622</v>
      </c>
      <c r="E64" s="17">
        <f t="shared" si="3"/>
        <v>1127.238310045866</v>
      </c>
      <c r="F64" s="17">
        <f t="shared" si="4"/>
        <v>931.47572966380437</v>
      </c>
      <c r="G64" s="17">
        <f t="shared" si="5"/>
        <v>1217.042768208757</v>
      </c>
      <c r="H64" s="31">
        <f t="shared" si="6"/>
        <v>1968.534974906001</v>
      </c>
      <c r="I64" s="17"/>
      <c r="J64" s="17"/>
      <c r="K64" s="31"/>
    </row>
    <row r="65" spans="1:11">
      <c r="A65" s="17">
        <f t="shared" si="7"/>
        <v>1.5848931924611169E-11</v>
      </c>
      <c r="B65" s="17">
        <f t="shared" si="0"/>
        <v>1059.1297502501054</v>
      </c>
      <c r="C65" s="17">
        <f t="shared" si="1"/>
        <v>90.179064803669277</v>
      </c>
      <c r="D65" s="17">
        <f t="shared" si="2"/>
        <v>375.746103348622</v>
      </c>
      <c r="E65" s="17">
        <f t="shared" si="3"/>
        <v>1127.238310045866</v>
      </c>
      <c r="F65" s="17">
        <f t="shared" si="4"/>
        <v>1149.3088150537747</v>
      </c>
      <c r="G65" s="17">
        <f t="shared" si="5"/>
        <v>1434.8758535987274</v>
      </c>
      <c r="H65" s="31">
        <f t="shared" si="6"/>
        <v>2186.3680602959712</v>
      </c>
      <c r="I65" s="17"/>
      <c r="J65" s="17"/>
      <c r="K65" s="31"/>
    </row>
    <row r="66" spans="1:11">
      <c r="A66" s="17">
        <f t="shared" si="7"/>
        <v>1.9952623149688841E-11</v>
      </c>
      <c r="B66" s="17">
        <f t="shared" si="0"/>
        <v>1333.3653569770674</v>
      </c>
      <c r="C66" s="17">
        <f t="shared" si="1"/>
        <v>90.179064803669277</v>
      </c>
      <c r="D66" s="17">
        <f t="shared" si="2"/>
        <v>375.746103348622</v>
      </c>
      <c r="E66" s="17">
        <f t="shared" si="3"/>
        <v>1127.238310045866</v>
      </c>
      <c r="F66" s="17">
        <f t="shared" si="4"/>
        <v>1423.5444217807367</v>
      </c>
      <c r="G66" s="17">
        <f t="shared" si="5"/>
        <v>1709.1114603256894</v>
      </c>
      <c r="H66" s="31">
        <f t="shared" si="6"/>
        <v>2460.6036670229332</v>
      </c>
      <c r="I66" s="17"/>
      <c r="J66" s="17"/>
      <c r="K66" s="31"/>
    </row>
    <row r="67" spans="1:11">
      <c r="A67" s="17">
        <f t="shared" si="7"/>
        <v>2.5118864315095859E-11</v>
      </c>
      <c r="B67" s="17">
        <f t="shared" si="0"/>
        <v>1678.6075311044312</v>
      </c>
      <c r="C67" s="17">
        <f t="shared" si="1"/>
        <v>90.179064803669277</v>
      </c>
      <c r="D67" s="17">
        <f t="shared" si="2"/>
        <v>375.746103348622</v>
      </c>
      <c r="E67" s="17">
        <f t="shared" si="3"/>
        <v>1127.238310045866</v>
      </c>
      <c r="F67" s="17">
        <f t="shared" si="4"/>
        <v>1768.7865959081005</v>
      </c>
      <c r="G67" s="17">
        <f t="shared" si="5"/>
        <v>2054.353634453053</v>
      </c>
      <c r="H67" s="31">
        <f t="shared" si="6"/>
        <v>2805.845841150297</v>
      </c>
      <c r="I67" s="17"/>
      <c r="J67" s="17"/>
      <c r="K67" s="31"/>
    </row>
    <row r="68" spans="1:11">
      <c r="A68" s="17">
        <f t="shared" si="7"/>
        <v>3.1622776601683865E-11</v>
      </c>
      <c r="B68" s="17">
        <f t="shared" si="0"/>
        <v>2113.2416773364371</v>
      </c>
      <c r="C68" s="17">
        <f t="shared" si="1"/>
        <v>90.179064803669277</v>
      </c>
      <c r="D68" s="17">
        <f t="shared" si="2"/>
        <v>375.746103348622</v>
      </c>
      <c r="E68" s="17">
        <f t="shared" si="3"/>
        <v>1127.238310045866</v>
      </c>
      <c r="F68" s="17">
        <f t="shared" si="4"/>
        <v>2203.4207421401065</v>
      </c>
      <c r="G68" s="17">
        <f t="shared" si="5"/>
        <v>2488.9877806850591</v>
      </c>
      <c r="H68" s="31">
        <f t="shared" si="6"/>
        <v>3240.4799873823031</v>
      </c>
      <c r="I68" s="17"/>
      <c r="J68" s="17"/>
      <c r="K68" s="31"/>
    </row>
    <row r="69" spans="1:11">
      <c r="A69" s="17">
        <f t="shared" si="7"/>
        <v>3.9810717055349818E-11</v>
      </c>
      <c r="B69" s="17">
        <f t="shared" si="0"/>
        <v>2660.4136488613703</v>
      </c>
      <c r="C69" s="17">
        <f t="shared" si="1"/>
        <v>90.179064803669277</v>
      </c>
      <c r="D69" s="17">
        <f t="shared" si="2"/>
        <v>375.746103348622</v>
      </c>
      <c r="E69" s="17">
        <f t="shared" si="3"/>
        <v>1127.238310045866</v>
      </c>
      <c r="F69" s="17">
        <f t="shared" si="4"/>
        <v>2750.5927136650398</v>
      </c>
      <c r="G69" s="17">
        <f t="shared" si="5"/>
        <v>3036.1597522099923</v>
      </c>
      <c r="H69" s="31">
        <f t="shared" si="6"/>
        <v>3787.6519589072363</v>
      </c>
      <c r="I69" s="17"/>
      <c r="J69" s="17"/>
      <c r="K69" s="31"/>
    </row>
    <row r="70" spans="1:11">
      <c r="A70" s="17">
        <f t="shared" si="7"/>
        <v>5.0118723362727349E-11</v>
      </c>
      <c r="B70" s="17">
        <f t="shared" si="0"/>
        <v>3349.2623484356241</v>
      </c>
      <c r="C70" s="17">
        <f t="shared" si="1"/>
        <v>90.179064803669277</v>
      </c>
      <c r="D70" s="17">
        <f t="shared" si="2"/>
        <v>375.746103348622</v>
      </c>
      <c r="E70" s="17">
        <f t="shared" si="3"/>
        <v>1127.238310045866</v>
      </c>
      <c r="F70" s="17">
        <f t="shared" si="4"/>
        <v>3439.4414132392935</v>
      </c>
      <c r="G70" s="17">
        <f t="shared" si="5"/>
        <v>3725.0084517842461</v>
      </c>
      <c r="H70" s="31">
        <f t="shared" si="6"/>
        <v>4476.5006584814901</v>
      </c>
      <c r="I70" s="17"/>
      <c r="J70" s="17"/>
      <c r="K70" s="31"/>
    </row>
    <row r="71" spans="1:11">
      <c r="A71" s="17">
        <f t="shared" si="7"/>
        <v>6.3095734448019476E-11</v>
      </c>
      <c r="B71" s="17">
        <f t="shared" si="0"/>
        <v>4216.4714812110169</v>
      </c>
      <c r="C71" s="17">
        <f t="shared" si="1"/>
        <v>90.179064803669277</v>
      </c>
      <c r="D71" s="17">
        <f t="shared" si="2"/>
        <v>375.746103348622</v>
      </c>
      <c r="E71" s="17">
        <f t="shared" si="3"/>
        <v>1127.238310045866</v>
      </c>
      <c r="F71" s="17">
        <f t="shared" si="4"/>
        <v>4306.6505460146864</v>
      </c>
      <c r="G71" s="17">
        <f t="shared" si="5"/>
        <v>4592.2175845596394</v>
      </c>
      <c r="H71" s="31">
        <f t="shared" si="6"/>
        <v>5343.7097912568825</v>
      </c>
      <c r="I71" s="17"/>
      <c r="J71" s="17"/>
      <c r="K71" s="31"/>
    </row>
    <row r="72" spans="1:11">
      <c r="A72" s="17">
        <f t="shared" si="7"/>
        <v>7.9432823472428347E-11</v>
      </c>
      <c r="B72" s="17">
        <f t="shared" si="0"/>
        <v>5308.2230958019427</v>
      </c>
      <c r="C72" s="17">
        <f t="shared" si="1"/>
        <v>90.179064803669277</v>
      </c>
      <c r="D72" s="17">
        <f t="shared" si="2"/>
        <v>375.746103348622</v>
      </c>
      <c r="E72" s="17">
        <f t="shared" si="3"/>
        <v>1127.238310045866</v>
      </c>
      <c r="F72" s="17">
        <f t="shared" si="4"/>
        <v>5398.4021606056122</v>
      </c>
      <c r="G72" s="17">
        <f t="shared" si="5"/>
        <v>5683.9691991505642</v>
      </c>
      <c r="H72" s="31">
        <f t="shared" si="6"/>
        <v>6435.4614058478091</v>
      </c>
      <c r="I72" s="17"/>
      <c r="J72" s="17"/>
      <c r="K72" s="31"/>
    </row>
    <row r="73" spans="1:11">
      <c r="A73" s="17">
        <f t="shared" si="7"/>
        <v>1.0000000000000025E-10</v>
      </c>
      <c r="B73" s="17">
        <f t="shared" si="0"/>
        <v>6682.6569467777699</v>
      </c>
      <c r="C73" s="17">
        <f t="shared" si="1"/>
        <v>90.179064803669277</v>
      </c>
      <c r="D73" s="17">
        <f t="shared" si="2"/>
        <v>375.746103348622</v>
      </c>
      <c r="E73" s="17">
        <f t="shared" si="3"/>
        <v>1127.238310045866</v>
      </c>
      <c r="F73" s="17">
        <f t="shared" si="4"/>
        <v>6772.8360115814394</v>
      </c>
      <c r="G73" s="17">
        <f t="shared" si="5"/>
        <v>7058.4030501263915</v>
      </c>
      <c r="H73" s="31">
        <f t="shared" si="6"/>
        <v>7809.8952568236364</v>
      </c>
      <c r="I73" s="17"/>
      <c r="J73" s="17"/>
      <c r="K73" s="31"/>
    </row>
    <row r="74" spans="1:11">
      <c r="A74" s="17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7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7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7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7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7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7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7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7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7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7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7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7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7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7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7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7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7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7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7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7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7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7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7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7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7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7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7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7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7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7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7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7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7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7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7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7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7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7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7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7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7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7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7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7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7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7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7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7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7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7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7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7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7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7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7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7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7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7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26">
    <mergeCell ref="C5:E5"/>
    <mergeCell ref="C6:E6"/>
    <mergeCell ref="C7:E7"/>
    <mergeCell ref="F7:F9"/>
    <mergeCell ref="C8:E8"/>
    <mergeCell ref="C9:E9"/>
    <mergeCell ref="C17:E17"/>
    <mergeCell ref="C15:E15"/>
    <mergeCell ref="C18:E18"/>
    <mergeCell ref="C16:E16"/>
    <mergeCell ref="C20:E20"/>
    <mergeCell ref="C19:E19"/>
    <mergeCell ref="C10:E10"/>
    <mergeCell ref="C11:E11"/>
    <mergeCell ref="C12:E12"/>
    <mergeCell ref="C13:E13"/>
    <mergeCell ref="C14:E14"/>
    <mergeCell ref="C21:E21"/>
    <mergeCell ref="C22:E22"/>
    <mergeCell ref="F29:H29"/>
    <mergeCell ref="B30:G30"/>
    <mergeCell ref="I24:K24"/>
    <mergeCell ref="I25:K25"/>
    <mergeCell ref="C28:E28"/>
    <mergeCell ref="C24:E24"/>
    <mergeCell ref="C23:E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53EF-C64F-47B7-B76B-5FAAC8F2F28E}">
  <dimension ref="A1:K552"/>
  <sheetViews>
    <sheetView topLeftCell="A9" workbookViewId="0">
      <selection activeCell="G24" sqref="G24"/>
    </sheetView>
  </sheetViews>
  <sheetFormatPr baseColWidth="10" defaultColWidth="8.83203125" defaultRowHeight="18"/>
  <cols>
    <col min="1" max="1" width="20.5" customWidth="1"/>
    <col min="2" max="2" width="30.6640625" customWidth="1"/>
    <col min="3" max="3" width="18.6640625" customWidth="1"/>
    <col min="4" max="4" width="18" customWidth="1"/>
    <col min="5" max="5" width="16.6640625" customWidth="1"/>
    <col min="6" max="6" width="17.1640625" customWidth="1"/>
    <col min="7" max="7" width="16.6640625" customWidth="1"/>
    <col min="8" max="8" width="18.33203125" customWidth="1"/>
    <col min="9" max="9" width="17.1640625" customWidth="1"/>
    <col min="10" max="10" width="16.6640625" customWidth="1"/>
  </cols>
  <sheetData>
    <row r="1" spans="1:8">
      <c r="A1" t="s">
        <v>146</v>
      </c>
    </row>
    <row r="2" spans="1:8">
      <c r="A2" s="16"/>
      <c r="B2" s="16" t="s">
        <v>1</v>
      </c>
      <c r="C2" s="17">
        <v>6.626068E-34</v>
      </c>
      <c r="D2" s="16"/>
      <c r="E2" s="16"/>
      <c r="F2" s="16"/>
      <c r="G2" s="16"/>
      <c r="H2" s="16"/>
    </row>
    <row r="3" spans="1:8">
      <c r="A3" s="16"/>
      <c r="B3" s="16" t="s">
        <v>2</v>
      </c>
      <c r="C3" s="17">
        <v>299792458</v>
      </c>
      <c r="D3" s="16"/>
      <c r="E3" s="16"/>
      <c r="F3" s="16"/>
      <c r="G3" s="16"/>
      <c r="H3" s="16"/>
    </row>
    <row r="4" spans="1:8" ht="19" thickBot="1">
      <c r="A4" s="16"/>
      <c r="B4" s="16" t="s">
        <v>3</v>
      </c>
      <c r="C4" s="17">
        <v>9.9999999999999995E-8</v>
      </c>
      <c r="D4" s="16" t="s">
        <v>4</v>
      </c>
      <c r="E4" s="16"/>
      <c r="F4" s="16"/>
      <c r="G4" s="16">
        <f>DEGREES(ATAN(10/1700))</f>
        <v>0.33703010985780762</v>
      </c>
      <c r="H4" s="16"/>
    </row>
    <row r="5" spans="1:8">
      <c r="A5" s="16"/>
      <c r="B5" s="18" t="s">
        <v>81</v>
      </c>
      <c r="C5" s="203">
        <v>170</v>
      </c>
      <c r="D5" s="203"/>
      <c r="E5" s="204"/>
      <c r="F5" s="16"/>
      <c r="G5" s="16"/>
      <c r="H5" s="16"/>
    </row>
    <row r="6" spans="1:8">
      <c r="A6" s="16"/>
      <c r="B6" s="19" t="s">
        <v>82</v>
      </c>
      <c r="C6" s="228">
        <v>38</v>
      </c>
      <c r="D6" s="228"/>
      <c r="E6" s="229"/>
      <c r="F6" s="16" t="s">
        <v>153</v>
      </c>
      <c r="G6" s="16"/>
      <c r="H6" s="16"/>
    </row>
    <row r="7" spans="1:8">
      <c r="A7" s="16"/>
      <c r="B7" s="20" t="s">
        <v>83</v>
      </c>
      <c r="C7" s="193">
        <v>0.75</v>
      </c>
      <c r="D7" s="193"/>
      <c r="E7" s="194"/>
      <c r="F7" s="207" t="s">
        <v>84</v>
      </c>
      <c r="G7" s="16"/>
      <c r="H7" s="16"/>
    </row>
    <row r="8" spans="1:8">
      <c r="A8" s="16"/>
      <c r="B8" s="20" t="s">
        <v>85</v>
      </c>
      <c r="C8" s="193">
        <v>0.75</v>
      </c>
      <c r="D8" s="193"/>
      <c r="E8" s="194"/>
      <c r="F8" s="207"/>
      <c r="G8" s="16"/>
      <c r="H8" s="16"/>
    </row>
    <row r="9" spans="1:8">
      <c r="A9" s="16"/>
      <c r="B9" s="20" t="s">
        <v>86</v>
      </c>
      <c r="C9" s="193">
        <v>0.75</v>
      </c>
      <c r="D9" s="193"/>
      <c r="E9" s="194"/>
      <c r="F9" s="207"/>
      <c r="G9" s="16"/>
      <c r="H9" s="16"/>
    </row>
    <row r="10" spans="1:8">
      <c r="A10" s="16"/>
      <c r="B10" s="20" t="s">
        <v>87</v>
      </c>
      <c r="C10" s="214">
        <v>0.4</v>
      </c>
      <c r="D10" s="214"/>
      <c r="E10" s="215"/>
      <c r="F10" s="42" t="s">
        <v>152</v>
      </c>
      <c r="G10" s="16" t="s">
        <v>89</v>
      </c>
      <c r="H10" s="16"/>
    </row>
    <row r="11" spans="1:8">
      <c r="A11" s="16"/>
      <c r="B11" s="20" t="s">
        <v>90</v>
      </c>
      <c r="C11" s="214">
        <v>0.3</v>
      </c>
      <c r="D11" s="214"/>
      <c r="E11" s="215"/>
      <c r="F11" s="43" t="s">
        <v>152</v>
      </c>
      <c r="G11" s="16">
        <f>C7*C8*C10*C11</f>
        <v>6.7500000000000004E-2</v>
      </c>
      <c r="H11" s="16"/>
    </row>
    <row r="12" spans="1:8">
      <c r="A12" s="16"/>
      <c r="B12" s="21" t="s">
        <v>92</v>
      </c>
      <c r="C12" s="195">
        <f>((C5/2)^2*PI()-(C6/2)^2*PI())*C7*C8*C9*C10*C11</f>
        <v>1091.672031195917</v>
      </c>
      <c r="D12" s="195"/>
      <c r="E12" s="196"/>
      <c r="F12" s="16"/>
      <c r="G12" s="16"/>
      <c r="H12" s="16"/>
    </row>
    <row r="13" spans="1:8">
      <c r="A13" s="16"/>
      <c r="B13" s="20" t="s">
        <v>93</v>
      </c>
      <c r="C13" s="197">
        <v>17000</v>
      </c>
      <c r="D13" s="197"/>
      <c r="E13" s="198"/>
      <c r="F13" s="16"/>
      <c r="G13" s="16"/>
      <c r="H13" s="16"/>
    </row>
    <row r="14" spans="1:8">
      <c r="A14" s="16"/>
      <c r="B14" s="20" t="s">
        <v>94</v>
      </c>
      <c r="C14" s="199">
        <v>3</v>
      </c>
      <c r="D14" s="199"/>
      <c r="E14" s="200"/>
      <c r="F14" s="38" t="s">
        <v>126</v>
      </c>
      <c r="G14" s="16"/>
      <c r="H14" s="16"/>
    </row>
    <row r="15" spans="1:8">
      <c r="A15" s="16"/>
      <c r="B15" s="20" t="s">
        <v>95</v>
      </c>
      <c r="C15" s="216">
        <v>0.2</v>
      </c>
      <c r="D15" s="217"/>
      <c r="E15" s="218"/>
      <c r="F15" s="16"/>
      <c r="G15" s="16"/>
      <c r="H15" s="16"/>
    </row>
    <row r="16" spans="1:8">
      <c r="A16" s="16"/>
      <c r="B16" s="20" t="s">
        <v>96</v>
      </c>
      <c r="C16" s="222">
        <f>$C$14/10*C15/10</f>
        <v>6.0000000000000001E-3</v>
      </c>
      <c r="D16" s="223"/>
      <c r="E16" s="224"/>
      <c r="F16" s="16"/>
      <c r="G16" s="16"/>
      <c r="H16" s="16"/>
    </row>
    <row r="17" spans="1:11">
      <c r="A17" s="16"/>
      <c r="B17" s="21" t="s">
        <v>97</v>
      </c>
      <c r="C17" s="199">
        <f>DEGREES(ATAN(C14/C13))*3600</f>
        <v>36.399671312812814</v>
      </c>
      <c r="D17" s="199"/>
      <c r="E17" s="200"/>
      <c r="F17" s="38" t="s">
        <v>126</v>
      </c>
      <c r="G17" s="16"/>
      <c r="H17" s="16"/>
    </row>
    <row r="18" spans="1:11" ht="19" thickBot="1">
      <c r="A18" s="16"/>
      <c r="B18" s="24" t="s">
        <v>98</v>
      </c>
      <c r="C18" s="219">
        <f>DEGREES(ATAN(C15/C13))*3600</f>
        <v>2.4266447792656485</v>
      </c>
      <c r="D18" s="220"/>
      <c r="E18" s="221"/>
      <c r="F18" s="16"/>
      <c r="G18" s="16"/>
      <c r="H18" s="16"/>
    </row>
    <row r="19" spans="1:11">
      <c r="A19" s="16"/>
      <c r="B19" s="25" t="s">
        <v>99</v>
      </c>
      <c r="C19" s="201">
        <f>C17/3600</f>
        <v>1.011101980911467E-2</v>
      </c>
      <c r="D19" s="201"/>
      <c r="E19" s="201"/>
      <c r="F19" s="16"/>
      <c r="G19" s="16"/>
      <c r="H19" s="16"/>
    </row>
    <row r="20" spans="1:11">
      <c r="A20" s="16"/>
      <c r="B20" s="26" t="s">
        <v>101</v>
      </c>
      <c r="C20" s="225">
        <f>C18/3600</f>
        <v>6.7406799424045796E-4</v>
      </c>
      <c r="D20" s="226"/>
      <c r="E20" s="227"/>
      <c r="F20" s="16"/>
      <c r="G20" s="16"/>
      <c r="H20" s="16"/>
    </row>
    <row r="21" spans="1:11">
      <c r="A21" s="16"/>
      <c r="B21" s="13" t="s">
        <v>128</v>
      </c>
      <c r="C21" s="202">
        <v>500</v>
      </c>
      <c r="D21" s="202"/>
      <c r="E21" s="202"/>
      <c r="F21" s="16"/>
      <c r="G21" s="16"/>
      <c r="H21" s="16"/>
    </row>
    <row r="22" spans="1:11">
      <c r="A22" s="16"/>
      <c r="B22" s="13" t="s">
        <v>129</v>
      </c>
      <c r="C22" s="202">
        <v>0</v>
      </c>
      <c r="D22" s="202"/>
      <c r="E22" s="202"/>
      <c r="F22" s="16"/>
      <c r="G22" s="16"/>
      <c r="H22" s="16"/>
    </row>
    <row r="23" spans="1:11">
      <c r="A23" s="16"/>
      <c r="B23" s="37" t="s">
        <v>107</v>
      </c>
      <c r="C23" s="211">
        <f>($C$21+$C$22)*1000000/(4*PI())*$C$12*RADIANS($C$19)*RADIANS(C$20)</f>
        <v>90.179064803669277</v>
      </c>
      <c r="D23" s="212"/>
      <c r="E23" s="213"/>
      <c r="F23" s="16"/>
      <c r="G23" s="16"/>
      <c r="H23" s="16"/>
    </row>
    <row r="24" spans="1:11">
      <c r="A24" s="16"/>
      <c r="B24" s="39" t="s">
        <v>108</v>
      </c>
      <c r="C24" s="208">
        <f>C23/($C14/10*C15/10)</f>
        <v>15029.84413394488</v>
      </c>
      <c r="D24" s="209"/>
      <c r="E24" s="210"/>
      <c r="F24" s="41">
        <f>110/(80/1000/10*80/1000/10)</f>
        <v>1718749.9999999998</v>
      </c>
      <c r="G24" s="41">
        <f>110/(60/1000/10*60/1000/10)</f>
        <v>3055555.555555556</v>
      </c>
      <c r="H24" s="16"/>
      <c r="I24" s="190"/>
      <c r="J24" s="190"/>
      <c r="K24" s="190"/>
    </row>
    <row r="25" spans="1:11">
      <c r="A25" s="16"/>
      <c r="B25" s="27" t="s">
        <v>158</v>
      </c>
      <c r="C25" s="28">
        <v>150000</v>
      </c>
      <c r="D25" s="28">
        <v>500000</v>
      </c>
      <c r="E25" s="28">
        <v>1000000</v>
      </c>
      <c r="F25" s="16"/>
      <c r="G25" s="16"/>
      <c r="H25" s="16"/>
      <c r="I25" s="190"/>
      <c r="J25" s="190"/>
      <c r="K25" s="190"/>
    </row>
    <row r="26" spans="1:11">
      <c r="A26" s="16"/>
      <c r="B26" s="13"/>
      <c r="C26" s="29"/>
      <c r="D26" s="29"/>
      <c r="E26" s="29"/>
      <c r="F26" s="16"/>
      <c r="G26" s="16"/>
      <c r="H26" s="16"/>
      <c r="I26" s="16"/>
      <c r="J26" s="16"/>
      <c r="K26" s="16"/>
    </row>
    <row r="27" spans="1:11">
      <c r="A27" s="16"/>
      <c r="B27" s="37" t="s">
        <v>127</v>
      </c>
      <c r="C27" s="30">
        <f>($C$25)*1000000/(4*PI())*$C$12*RADIANS($C$20)*RADIANS($C$20)</f>
        <v>1803.5813147124722</v>
      </c>
      <c r="D27" s="30">
        <f>($D$25)*1000000/(4*PI())*$C$12*RADIANS($C$20)*RADIANS(C$20)</f>
        <v>6011.9377157082417</v>
      </c>
      <c r="E27" s="30">
        <f>($E$25)*1000000/(4*PI())*$C$12*RADIANS($C$20)*RADIANS(C$20)</f>
        <v>12023.875431416483</v>
      </c>
      <c r="F27" s="16" t="s">
        <v>159</v>
      </c>
      <c r="G27" s="16"/>
      <c r="H27" s="16"/>
      <c r="I27" s="17"/>
      <c r="J27" s="17"/>
      <c r="K27" s="31"/>
    </row>
    <row r="28" spans="1:11">
      <c r="A28" s="16"/>
      <c r="B28" s="13" t="s">
        <v>50</v>
      </c>
      <c r="C28" s="230">
        <f>($C15/10*1)</f>
        <v>0.02</v>
      </c>
      <c r="D28" s="231"/>
      <c r="E28" s="232"/>
      <c r="F28" s="16" t="s">
        <v>161</v>
      </c>
      <c r="G28" s="16"/>
      <c r="H28" s="16"/>
      <c r="I28" s="17"/>
      <c r="J28" s="17"/>
      <c r="K28" s="31"/>
    </row>
    <row r="29" spans="1:11">
      <c r="A29" s="16"/>
      <c r="B29" s="39" t="s">
        <v>112</v>
      </c>
      <c r="C29" s="40">
        <f>C27/$C$28</f>
        <v>90179.065735623604</v>
      </c>
      <c r="D29" s="40">
        <f>D27/$C$28</f>
        <v>300596.8857854121</v>
      </c>
      <c r="E29" s="40">
        <f>E27/$C$28</f>
        <v>601193.7715708242</v>
      </c>
      <c r="F29" s="190"/>
      <c r="G29" s="190"/>
      <c r="H29" s="190"/>
      <c r="I29" s="17"/>
      <c r="J29" s="17"/>
      <c r="K29" s="31"/>
    </row>
    <row r="30" spans="1:11">
      <c r="A30" s="16" t="s">
        <v>113</v>
      </c>
      <c r="B30" s="192"/>
      <c r="C30" s="192"/>
      <c r="D30" s="192"/>
      <c r="E30" s="192"/>
      <c r="F30" s="192"/>
      <c r="G30" s="192"/>
      <c r="H30" s="16"/>
      <c r="I30" s="17"/>
      <c r="J30" s="17"/>
      <c r="K30" s="31"/>
    </row>
    <row r="31" spans="1:11">
      <c r="A31" s="16" t="s">
        <v>113</v>
      </c>
      <c r="B31" s="16"/>
      <c r="C31" s="16" t="s">
        <v>155</v>
      </c>
      <c r="D31" s="16" t="s">
        <v>156</v>
      </c>
      <c r="E31" s="16" t="s">
        <v>157</v>
      </c>
      <c r="F31" s="16" t="s">
        <v>155</v>
      </c>
      <c r="G31" s="16" t="s">
        <v>156</v>
      </c>
      <c r="H31" s="16" t="s">
        <v>157</v>
      </c>
      <c r="I31" s="17"/>
      <c r="J31" s="17"/>
      <c r="K31" s="31"/>
    </row>
    <row r="32" spans="1:11">
      <c r="A32" s="16" t="s">
        <v>149</v>
      </c>
      <c r="B32" s="16" t="s">
        <v>150</v>
      </c>
      <c r="C32" s="16" t="s">
        <v>151</v>
      </c>
      <c r="D32" s="16" t="s">
        <v>151</v>
      </c>
      <c r="E32" s="16" t="s">
        <v>151</v>
      </c>
      <c r="F32" s="16" t="s">
        <v>154</v>
      </c>
      <c r="G32" s="16" t="s">
        <v>154</v>
      </c>
      <c r="H32" s="16" t="s">
        <v>154</v>
      </c>
      <c r="I32" s="17"/>
      <c r="J32" s="17"/>
      <c r="K32" s="31"/>
    </row>
    <row r="33" spans="1:11">
      <c r="A33" s="17">
        <v>1E-14</v>
      </c>
      <c r="B33" s="17">
        <f>A33*$C$4/($C$2*$C$3/1216*10000000000)*$C$12</f>
        <v>0.6682656946777753</v>
      </c>
      <c r="C33" s="17">
        <f>$C$23</f>
        <v>90.179064803669277</v>
      </c>
      <c r="D33" s="17">
        <f>C33*10/2.4</f>
        <v>375.746103348622</v>
      </c>
      <c r="E33" s="17">
        <f>C33*30/2.4</f>
        <v>1127.238310045866</v>
      </c>
      <c r="F33" s="17">
        <f>B33+C33</f>
        <v>90.847330498347048</v>
      </c>
      <c r="G33" s="17">
        <f>B33+D33</f>
        <v>376.41436904329976</v>
      </c>
      <c r="H33" s="31">
        <f>B33+E33</f>
        <v>1127.9065757405438</v>
      </c>
      <c r="I33" s="17"/>
      <c r="J33" s="17"/>
      <c r="K33" s="31"/>
    </row>
    <row r="34" spans="1:11">
      <c r="A34" s="17">
        <f>A33*10^0.1</f>
        <v>1.2589254117941673E-14</v>
      </c>
      <c r="B34" s="17">
        <f t="shared" ref="B34:B73" si="0">A34*$C$4/($C$2*$C$3/1216*10000000000)*$C$12</f>
        <v>0.84129666486013355</v>
      </c>
      <c r="C34" s="17">
        <f t="shared" ref="C34:C73" si="1">$C$23</f>
        <v>90.179064803669277</v>
      </c>
      <c r="D34" s="17">
        <f t="shared" ref="D34:D73" si="2">C34*10/2.4</f>
        <v>375.746103348622</v>
      </c>
      <c r="E34" s="17">
        <f t="shared" ref="E34:E73" si="3">C34*30/2.4</f>
        <v>1127.238310045866</v>
      </c>
      <c r="F34" s="17">
        <f t="shared" ref="F34:F73" si="4">B34+C34</f>
        <v>91.020361468529416</v>
      </c>
      <c r="G34" s="17">
        <f t="shared" ref="G34:G73" si="5">B34+D34</f>
        <v>376.58740001348212</v>
      </c>
      <c r="H34" s="31">
        <f t="shared" ref="H34:H73" si="6">B34+E34</f>
        <v>1128.0796067107262</v>
      </c>
      <c r="I34" s="17"/>
      <c r="J34" s="17"/>
      <c r="K34" s="31"/>
    </row>
    <row r="35" spans="1:11">
      <c r="A35" s="17">
        <f t="shared" ref="A35:A73" si="7">A34*10^0.1</f>
        <v>1.5848931924611138E-14</v>
      </c>
      <c r="B35" s="17">
        <f t="shared" si="0"/>
        <v>1.0591297502501034</v>
      </c>
      <c r="C35" s="17">
        <f t="shared" si="1"/>
        <v>90.179064803669277</v>
      </c>
      <c r="D35" s="17">
        <f t="shared" si="2"/>
        <v>375.746103348622</v>
      </c>
      <c r="E35" s="17">
        <f t="shared" si="3"/>
        <v>1127.238310045866</v>
      </c>
      <c r="F35" s="17">
        <f t="shared" si="4"/>
        <v>91.238194553919385</v>
      </c>
      <c r="G35" s="17">
        <f t="shared" si="5"/>
        <v>376.80523309887212</v>
      </c>
      <c r="H35" s="31">
        <f t="shared" si="6"/>
        <v>1128.2974397961161</v>
      </c>
      <c r="I35" s="17"/>
      <c r="J35" s="17"/>
      <c r="K35" s="31"/>
    </row>
    <row r="36" spans="1:11">
      <c r="A36" s="17">
        <f t="shared" si="7"/>
        <v>1.99526231496888E-14</v>
      </c>
      <c r="B36" s="17">
        <f t="shared" si="0"/>
        <v>1.3333653569770649</v>
      </c>
      <c r="C36" s="17">
        <f t="shared" si="1"/>
        <v>90.179064803669277</v>
      </c>
      <c r="D36" s="17">
        <f t="shared" si="2"/>
        <v>375.746103348622</v>
      </c>
      <c r="E36" s="17">
        <f t="shared" si="3"/>
        <v>1127.238310045866</v>
      </c>
      <c r="F36" s="17">
        <f t="shared" si="4"/>
        <v>91.512430160646346</v>
      </c>
      <c r="G36" s="17">
        <f t="shared" si="5"/>
        <v>377.07946870559908</v>
      </c>
      <c r="H36" s="31">
        <f t="shared" si="6"/>
        <v>1128.5716754028431</v>
      </c>
      <c r="I36" s="17"/>
      <c r="J36" s="17"/>
      <c r="K36" s="31"/>
    </row>
    <row r="37" spans="1:11">
      <c r="A37" s="17">
        <f t="shared" si="7"/>
        <v>2.5118864315095807E-14</v>
      </c>
      <c r="B37" s="17">
        <f t="shared" si="0"/>
        <v>1.678607531104428</v>
      </c>
      <c r="C37" s="17">
        <f t="shared" si="1"/>
        <v>90.179064803669277</v>
      </c>
      <c r="D37" s="17">
        <f t="shared" si="2"/>
        <v>375.746103348622</v>
      </c>
      <c r="E37" s="17">
        <f t="shared" si="3"/>
        <v>1127.238310045866</v>
      </c>
      <c r="F37" s="17">
        <f t="shared" si="4"/>
        <v>91.85767233477371</v>
      </c>
      <c r="G37" s="17">
        <f t="shared" si="5"/>
        <v>377.42471087972643</v>
      </c>
      <c r="H37" s="31">
        <f t="shared" si="6"/>
        <v>1128.9169175769705</v>
      </c>
      <c r="I37" s="17"/>
      <c r="J37" s="17"/>
      <c r="K37" s="31"/>
    </row>
    <row r="38" spans="1:11">
      <c r="A38" s="17">
        <f t="shared" si="7"/>
        <v>3.1622776601683802E-14</v>
      </c>
      <c r="B38" s="17">
        <f t="shared" si="0"/>
        <v>2.1132416773364326</v>
      </c>
      <c r="C38" s="17">
        <f t="shared" si="1"/>
        <v>90.179064803669277</v>
      </c>
      <c r="D38" s="17">
        <f t="shared" si="2"/>
        <v>375.746103348622</v>
      </c>
      <c r="E38" s="17">
        <f t="shared" si="3"/>
        <v>1127.238310045866</v>
      </c>
      <c r="F38" s="17">
        <f t="shared" si="4"/>
        <v>92.29230648100571</v>
      </c>
      <c r="G38" s="17">
        <f t="shared" si="5"/>
        <v>377.85934502595842</v>
      </c>
      <c r="H38" s="31">
        <f t="shared" si="6"/>
        <v>1129.3515517232024</v>
      </c>
      <c r="I38" s="17"/>
      <c r="J38" s="17"/>
      <c r="K38" s="31"/>
    </row>
    <row r="39" spans="1:11">
      <c r="A39" s="17">
        <f t="shared" si="7"/>
        <v>3.9810717055349737E-14</v>
      </c>
      <c r="B39" s="17">
        <f t="shared" si="0"/>
        <v>2.6604136488613652</v>
      </c>
      <c r="C39" s="17">
        <f t="shared" si="1"/>
        <v>90.179064803669277</v>
      </c>
      <c r="D39" s="17">
        <f t="shared" si="2"/>
        <v>375.746103348622</v>
      </c>
      <c r="E39" s="17">
        <f t="shared" si="3"/>
        <v>1127.238310045866</v>
      </c>
      <c r="F39" s="17">
        <f t="shared" si="4"/>
        <v>92.839478452530642</v>
      </c>
      <c r="G39" s="17">
        <f t="shared" si="5"/>
        <v>378.40651699748338</v>
      </c>
      <c r="H39" s="31">
        <f t="shared" si="6"/>
        <v>1129.8987236947273</v>
      </c>
      <c r="I39" s="17"/>
      <c r="J39" s="17"/>
      <c r="K39" s="31"/>
    </row>
    <row r="40" spans="1:11">
      <c r="A40" s="17">
        <f t="shared" si="7"/>
        <v>5.0118723362727245E-14</v>
      </c>
      <c r="B40" s="17">
        <f t="shared" si="0"/>
        <v>3.3492623484356168</v>
      </c>
      <c r="C40" s="17">
        <f t="shared" si="1"/>
        <v>90.179064803669277</v>
      </c>
      <c r="D40" s="17">
        <f t="shared" si="2"/>
        <v>375.746103348622</v>
      </c>
      <c r="E40" s="17">
        <f t="shared" si="3"/>
        <v>1127.238310045866</v>
      </c>
      <c r="F40" s="17">
        <f t="shared" si="4"/>
        <v>93.528327152104893</v>
      </c>
      <c r="G40" s="17">
        <f t="shared" si="5"/>
        <v>379.09536569705762</v>
      </c>
      <c r="H40" s="31">
        <f t="shared" si="6"/>
        <v>1130.5875723943016</v>
      </c>
      <c r="I40" s="17"/>
      <c r="J40" s="17"/>
      <c r="K40" s="31"/>
    </row>
    <row r="41" spans="1:11">
      <c r="A41" s="17">
        <f t="shared" si="7"/>
        <v>6.3095734448019354E-14</v>
      </c>
      <c r="B41" s="17">
        <f t="shared" si="0"/>
        <v>4.2164714812110091</v>
      </c>
      <c r="C41" s="17">
        <f t="shared" si="1"/>
        <v>90.179064803669277</v>
      </c>
      <c r="D41" s="17">
        <f t="shared" si="2"/>
        <v>375.746103348622</v>
      </c>
      <c r="E41" s="17">
        <f t="shared" si="3"/>
        <v>1127.238310045866</v>
      </c>
      <c r="F41" s="17">
        <f t="shared" si="4"/>
        <v>94.395536284880279</v>
      </c>
      <c r="G41" s="17">
        <f t="shared" si="5"/>
        <v>379.96257482983299</v>
      </c>
      <c r="H41" s="31">
        <f t="shared" si="6"/>
        <v>1131.4547815270771</v>
      </c>
      <c r="I41" s="17"/>
      <c r="J41" s="17"/>
      <c r="K41" s="31"/>
    </row>
    <row r="42" spans="1:11">
      <c r="A42" s="17">
        <f t="shared" si="7"/>
        <v>7.9432823472428196E-14</v>
      </c>
      <c r="B42" s="17">
        <f t="shared" si="0"/>
        <v>5.3082230958019325</v>
      </c>
      <c r="C42" s="17">
        <f t="shared" si="1"/>
        <v>90.179064803669277</v>
      </c>
      <c r="D42" s="17">
        <f t="shared" si="2"/>
        <v>375.746103348622</v>
      </c>
      <c r="E42" s="17">
        <f t="shared" si="3"/>
        <v>1127.238310045866</v>
      </c>
      <c r="F42" s="17">
        <f t="shared" si="4"/>
        <v>95.487287899471212</v>
      </c>
      <c r="G42" s="17">
        <f t="shared" si="5"/>
        <v>381.05432644442391</v>
      </c>
      <c r="H42" s="31">
        <f t="shared" si="6"/>
        <v>1132.5465331416679</v>
      </c>
      <c r="I42" s="17"/>
      <c r="J42" s="17"/>
      <c r="K42" s="31"/>
    </row>
    <row r="43" spans="1:11">
      <c r="A43" s="17">
        <f t="shared" si="7"/>
        <v>1.0000000000000007E-13</v>
      </c>
      <c r="B43" s="17">
        <f t="shared" si="0"/>
        <v>6.6826569467777572</v>
      </c>
      <c r="C43" s="17">
        <f t="shared" si="1"/>
        <v>90.179064803669277</v>
      </c>
      <c r="D43" s="17">
        <f t="shared" si="2"/>
        <v>375.746103348622</v>
      </c>
      <c r="E43" s="17">
        <f t="shared" si="3"/>
        <v>1127.238310045866</v>
      </c>
      <c r="F43" s="17">
        <f t="shared" si="4"/>
        <v>96.861721750447032</v>
      </c>
      <c r="G43" s="17">
        <f t="shared" si="5"/>
        <v>382.42876029539974</v>
      </c>
      <c r="H43" s="31">
        <f t="shared" si="6"/>
        <v>1133.9209669926438</v>
      </c>
      <c r="I43" s="17"/>
      <c r="J43" s="17"/>
      <c r="K43" s="31"/>
    </row>
    <row r="44" spans="1:11">
      <c r="A44" s="17">
        <f t="shared" si="7"/>
        <v>1.2589254117941681E-13</v>
      </c>
      <c r="B44" s="17">
        <f t="shared" si="0"/>
        <v>8.4129666486013406</v>
      </c>
      <c r="C44" s="17">
        <f t="shared" si="1"/>
        <v>90.179064803669277</v>
      </c>
      <c r="D44" s="17">
        <f t="shared" si="2"/>
        <v>375.746103348622</v>
      </c>
      <c r="E44" s="17">
        <f t="shared" si="3"/>
        <v>1127.238310045866</v>
      </c>
      <c r="F44" s="17">
        <f t="shared" si="4"/>
        <v>98.592031452270618</v>
      </c>
      <c r="G44" s="17">
        <f t="shared" si="5"/>
        <v>384.15906999722336</v>
      </c>
      <c r="H44" s="31">
        <f t="shared" si="6"/>
        <v>1135.6512766944672</v>
      </c>
      <c r="I44" s="17"/>
      <c r="J44" s="17"/>
      <c r="K44" s="31"/>
    </row>
    <row r="45" spans="1:11">
      <c r="A45" s="17">
        <f t="shared" si="7"/>
        <v>1.5848931924611147E-13</v>
      </c>
      <c r="B45" s="17">
        <f t="shared" si="0"/>
        <v>10.591297502501039</v>
      </c>
      <c r="C45" s="17">
        <f t="shared" si="1"/>
        <v>90.179064803669277</v>
      </c>
      <c r="D45" s="17">
        <f t="shared" si="2"/>
        <v>375.746103348622</v>
      </c>
      <c r="E45" s="17">
        <f t="shared" si="3"/>
        <v>1127.238310045866</v>
      </c>
      <c r="F45" s="17">
        <f t="shared" si="4"/>
        <v>100.77036230617031</v>
      </c>
      <c r="G45" s="17">
        <f t="shared" si="5"/>
        <v>386.33740085112305</v>
      </c>
      <c r="H45" s="31">
        <f t="shared" si="6"/>
        <v>1137.829607548367</v>
      </c>
      <c r="I45" s="17"/>
      <c r="J45" s="17"/>
      <c r="K45" s="31"/>
    </row>
    <row r="46" spans="1:11">
      <c r="A46" s="17">
        <f t="shared" si="7"/>
        <v>1.9952623149688812E-13</v>
      </c>
      <c r="B46" s="17">
        <f t="shared" si="0"/>
        <v>13.333653569770656</v>
      </c>
      <c r="C46" s="17">
        <f t="shared" si="1"/>
        <v>90.179064803669277</v>
      </c>
      <c r="D46" s="17">
        <f t="shared" si="2"/>
        <v>375.746103348622</v>
      </c>
      <c r="E46" s="17">
        <f t="shared" si="3"/>
        <v>1127.238310045866</v>
      </c>
      <c r="F46" s="17">
        <f t="shared" si="4"/>
        <v>103.51271837343994</v>
      </c>
      <c r="G46" s="17">
        <f t="shared" si="5"/>
        <v>389.07975691839266</v>
      </c>
      <c r="H46" s="31">
        <f t="shared" si="6"/>
        <v>1140.5719636156366</v>
      </c>
      <c r="I46" s="17"/>
      <c r="J46" s="17"/>
      <c r="K46" s="31"/>
    </row>
    <row r="47" spans="1:11">
      <c r="A47" s="17">
        <f t="shared" si="7"/>
        <v>2.5118864315095825E-13</v>
      </c>
      <c r="B47" s="17">
        <f t="shared" si="0"/>
        <v>16.786075311044293</v>
      </c>
      <c r="C47" s="17">
        <f t="shared" si="1"/>
        <v>90.179064803669277</v>
      </c>
      <c r="D47" s="17">
        <f t="shared" si="2"/>
        <v>375.746103348622</v>
      </c>
      <c r="E47" s="17">
        <f t="shared" si="3"/>
        <v>1127.238310045866</v>
      </c>
      <c r="F47" s="17">
        <f t="shared" si="4"/>
        <v>106.96514011471356</v>
      </c>
      <c r="G47" s="17">
        <f t="shared" si="5"/>
        <v>392.53217865966627</v>
      </c>
      <c r="H47" s="31">
        <f t="shared" si="6"/>
        <v>1144.0243853569102</v>
      </c>
      <c r="I47" s="17"/>
      <c r="J47" s="17"/>
      <c r="K47" s="31"/>
    </row>
    <row r="48" spans="1:11">
      <c r="A48" s="17">
        <f t="shared" si="7"/>
        <v>3.1622776601683827E-13</v>
      </c>
      <c r="B48" s="17">
        <f t="shared" si="0"/>
        <v>21.132416773364344</v>
      </c>
      <c r="C48" s="17">
        <f t="shared" si="1"/>
        <v>90.179064803669277</v>
      </c>
      <c r="D48" s="17">
        <f t="shared" si="2"/>
        <v>375.746103348622</v>
      </c>
      <c r="E48" s="17">
        <f t="shared" si="3"/>
        <v>1127.238310045866</v>
      </c>
      <c r="F48" s="17">
        <f t="shared" si="4"/>
        <v>111.31148157703362</v>
      </c>
      <c r="G48" s="17">
        <f t="shared" si="5"/>
        <v>396.87852012198636</v>
      </c>
      <c r="H48" s="31">
        <f t="shared" si="6"/>
        <v>1148.3707268192304</v>
      </c>
      <c r="I48" s="17"/>
      <c r="J48" s="17"/>
      <c r="K48" s="31"/>
    </row>
    <row r="49" spans="1:11">
      <c r="A49" s="17">
        <f t="shared" si="7"/>
        <v>3.9810717055349768E-13</v>
      </c>
      <c r="B49" s="17">
        <f t="shared" si="0"/>
        <v>26.604136488613669</v>
      </c>
      <c r="C49" s="17">
        <f t="shared" si="1"/>
        <v>90.179064803669277</v>
      </c>
      <c r="D49" s="17">
        <f t="shared" si="2"/>
        <v>375.746103348622</v>
      </c>
      <c r="E49" s="17">
        <f t="shared" si="3"/>
        <v>1127.238310045866</v>
      </c>
      <c r="F49" s="17">
        <f t="shared" si="4"/>
        <v>116.78320129228294</v>
      </c>
      <c r="G49" s="17">
        <f t="shared" si="5"/>
        <v>402.35023983723568</v>
      </c>
      <c r="H49" s="31">
        <f t="shared" si="6"/>
        <v>1153.8424465344797</v>
      </c>
      <c r="I49" s="17"/>
      <c r="J49" s="17"/>
      <c r="K49" s="31"/>
    </row>
    <row r="50" spans="1:11">
      <c r="A50" s="17">
        <f t="shared" si="7"/>
        <v>5.0118723362727288E-13</v>
      </c>
      <c r="B50" s="17">
        <f t="shared" si="0"/>
        <v>33.492623484356201</v>
      </c>
      <c r="C50" s="17">
        <f t="shared" si="1"/>
        <v>90.179064803669277</v>
      </c>
      <c r="D50" s="17">
        <f t="shared" si="2"/>
        <v>375.746103348622</v>
      </c>
      <c r="E50" s="17">
        <f t="shared" si="3"/>
        <v>1127.238310045866</v>
      </c>
      <c r="F50" s="17">
        <f t="shared" si="4"/>
        <v>123.67168828802548</v>
      </c>
      <c r="G50" s="17">
        <f t="shared" si="5"/>
        <v>409.23872683297822</v>
      </c>
      <c r="H50" s="31">
        <f t="shared" si="6"/>
        <v>1160.7309335302223</v>
      </c>
      <c r="I50" s="17"/>
      <c r="J50" s="17"/>
      <c r="K50" s="31"/>
    </row>
    <row r="51" spans="1:11">
      <c r="A51" s="17">
        <f t="shared" si="7"/>
        <v>6.3095734448019404E-13</v>
      </c>
      <c r="B51" s="17">
        <f t="shared" si="0"/>
        <v>42.16471481211012</v>
      </c>
      <c r="C51" s="17">
        <f t="shared" si="1"/>
        <v>90.179064803669277</v>
      </c>
      <c r="D51" s="17">
        <f t="shared" si="2"/>
        <v>375.746103348622</v>
      </c>
      <c r="E51" s="17">
        <f t="shared" si="3"/>
        <v>1127.238310045866</v>
      </c>
      <c r="F51" s="17">
        <f t="shared" si="4"/>
        <v>132.3437796157794</v>
      </c>
      <c r="G51" s="17">
        <f t="shared" si="5"/>
        <v>417.91081816073211</v>
      </c>
      <c r="H51" s="31">
        <f t="shared" si="6"/>
        <v>1169.4030248579761</v>
      </c>
      <c r="I51" s="17"/>
      <c r="J51" s="17"/>
      <c r="K51" s="31"/>
    </row>
    <row r="52" spans="1:11">
      <c r="A52" s="17">
        <f t="shared" si="7"/>
        <v>7.9432823472428257E-13</v>
      </c>
      <c r="B52" s="17">
        <f t="shared" si="0"/>
        <v>53.082230958019366</v>
      </c>
      <c r="C52" s="17">
        <f t="shared" si="1"/>
        <v>90.179064803669277</v>
      </c>
      <c r="D52" s="17">
        <f t="shared" si="2"/>
        <v>375.746103348622</v>
      </c>
      <c r="E52" s="17">
        <f t="shared" si="3"/>
        <v>1127.238310045866</v>
      </c>
      <c r="F52" s="17">
        <f t="shared" si="4"/>
        <v>143.26129576168864</v>
      </c>
      <c r="G52" s="17">
        <f t="shared" si="5"/>
        <v>428.82833430664135</v>
      </c>
      <c r="H52" s="31">
        <f t="shared" si="6"/>
        <v>1180.3205410038854</v>
      </c>
      <c r="I52" s="17"/>
      <c r="J52" s="17"/>
      <c r="K52" s="31"/>
    </row>
    <row r="53" spans="1:11">
      <c r="A53" s="17">
        <f t="shared" si="7"/>
        <v>1.0000000000000014E-12</v>
      </c>
      <c r="B53" s="17">
        <f t="shared" si="0"/>
        <v>66.826569467777617</v>
      </c>
      <c r="C53" s="17">
        <f t="shared" si="1"/>
        <v>90.179064803669277</v>
      </c>
      <c r="D53" s="17">
        <f t="shared" si="2"/>
        <v>375.746103348622</v>
      </c>
      <c r="E53" s="17">
        <f t="shared" si="3"/>
        <v>1127.238310045866</v>
      </c>
      <c r="F53" s="17">
        <f t="shared" si="4"/>
        <v>157.00563427144689</v>
      </c>
      <c r="G53" s="17">
        <f t="shared" si="5"/>
        <v>442.57267281639963</v>
      </c>
      <c r="H53" s="31">
        <f t="shared" si="6"/>
        <v>1194.0648795136435</v>
      </c>
      <c r="I53" s="17"/>
      <c r="J53" s="17"/>
      <c r="K53" s="31"/>
    </row>
    <row r="54" spans="1:11">
      <c r="A54" s="17">
        <f t="shared" si="7"/>
        <v>1.2589254117941691E-12</v>
      </c>
      <c r="B54" s="17">
        <f t="shared" si="0"/>
        <v>84.129666486013491</v>
      </c>
      <c r="C54" s="17">
        <f t="shared" si="1"/>
        <v>90.179064803669277</v>
      </c>
      <c r="D54" s="17">
        <f t="shared" si="2"/>
        <v>375.746103348622</v>
      </c>
      <c r="E54" s="17">
        <f t="shared" si="3"/>
        <v>1127.238310045866</v>
      </c>
      <c r="F54" s="17">
        <f t="shared" si="4"/>
        <v>174.30873128968278</v>
      </c>
      <c r="G54" s="17">
        <f t="shared" si="5"/>
        <v>459.87576983463549</v>
      </c>
      <c r="H54" s="31">
        <f t="shared" si="6"/>
        <v>1211.3679765318795</v>
      </c>
      <c r="I54" s="17"/>
      <c r="J54" s="17"/>
      <c r="K54" s="31"/>
    </row>
    <row r="55" spans="1:11">
      <c r="A55" s="17">
        <f t="shared" si="7"/>
        <v>1.584893192461116E-12</v>
      </c>
      <c r="B55" s="17">
        <f t="shared" si="0"/>
        <v>105.91297502501048</v>
      </c>
      <c r="C55" s="17">
        <f t="shared" si="1"/>
        <v>90.179064803669277</v>
      </c>
      <c r="D55" s="17">
        <f t="shared" si="2"/>
        <v>375.746103348622</v>
      </c>
      <c r="E55" s="17">
        <f t="shared" si="3"/>
        <v>1127.238310045866</v>
      </c>
      <c r="F55" s="17">
        <f t="shared" si="4"/>
        <v>196.09203982867976</v>
      </c>
      <c r="G55" s="17">
        <f t="shared" si="5"/>
        <v>481.6590783736325</v>
      </c>
      <c r="H55" s="31">
        <f t="shared" si="6"/>
        <v>1233.1512850708764</v>
      </c>
      <c r="I55" s="17"/>
      <c r="J55" s="17"/>
      <c r="K55" s="31"/>
    </row>
    <row r="56" spans="1:11">
      <c r="A56" s="17">
        <f t="shared" si="7"/>
        <v>1.9952623149688827E-12</v>
      </c>
      <c r="B56" s="17">
        <f t="shared" si="0"/>
        <v>133.33653569770667</v>
      </c>
      <c r="C56" s="17">
        <f t="shared" si="1"/>
        <v>90.179064803669277</v>
      </c>
      <c r="D56" s="17">
        <f t="shared" si="2"/>
        <v>375.746103348622</v>
      </c>
      <c r="E56" s="17">
        <f t="shared" si="3"/>
        <v>1127.238310045866</v>
      </c>
      <c r="F56" s="17">
        <f t="shared" si="4"/>
        <v>223.51560050137596</v>
      </c>
      <c r="G56" s="17">
        <f t="shared" si="5"/>
        <v>509.08263904632867</v>
      </c>
      <c r="H56" s="31">
        <f t="shared" si="6"/>
        <v>1260.5748457435727</v>
      </c>
      <c r="I56" s="17"/>
      <c r="J56" s="17"/>
      <c r="K56" s="31"/>
    </row>
    <row r="57" spans="1:11">
      <c r="A57" s="17">
        <f t="shared" si="7"/>
        <v>2.5118864315095843E-12</v>
      </c>
      <c r="B57" s="17">
        <f t="shared" si="0"/>
        <v>167.86075311044306</v>
      </c>
      <c r="C57" s="17">
        <f t="shared" si="1"/>
        <v>90.179064803669277</v>
      </c>
      <c r="D57" s="17">
        <f t="shared" si="2"/>
        <v>375.746103348622</v>
      </c>
      <c r="E57" s="17">
        <f t="shared" si="3"/>
        <v>1127.238310045866</v>
      </c>
      <c r="F57" s="17">
        <f t="shared" si="4"/>
        <v>258.03981791411235</v>
      </c>
      <c r="G57" s="17">
        <f t="shared" si="5"/>
        <v>543.60685645906506</v>
      </c>
      <c r="H57" s="31">
        <f t="shared" si="6"/>
        <v>1295.0990631563091</v>
      </c>
      <c r="I57" s="17"/>
      <c r="J57" s="17"/>
      <c r="K57" s="31"/>
    </row>
    <row r="58" spans="1:11">
      <c r="A58" s="17">
        <f t="shared" si="7"/>
        <v>3.1622776601683846E-12</v>
      </c>
      <c r="B58" s="17">
        <f t="shared" si="0"/>
        <v>211.32416773364355</v>
      </c>
      <c r="C58" s="17">
        <f t="shared" si="1"/>
        <v>90.179064803669277</v>
      </c>
      <c r="D58" s="17">
        <f t="shared" si="2"/>
        <v>375.746103348622</v>
      </c>
      <c r="E58" s="17">
        <f t="shared" si="3"/>
        <v>1127.238310045866</v>
      </c>
      <c r="F58" s="17">
        <f t="shared" si="4"/>
        <v>301.50323253731284</v>
      </c>
      <c r="G58" s="17">
        <f t="shared" si="5"/>
        <v>587.07027108226555</v>
      </c>
      <c r="H58" s="31">
        <f t="shared" si="6"/>
        <v>1338.5624777795097</v>
      </c>
      <c r="I58" s="17"/>
      <c r="J58" s="17"/>
      <c r="K58" s="31"/>
    </row>
    <row r="59" spans="1:11">
      <c r="A59" s="17">
        <f t="shared" si="7"/>
        <v>3.9810717055349792E-12</v>
      </c>
      <c r="B59" s="17">
        <f t="shared" si="0"/>
        <v>266.04136488613688</v>
      </c>
      <c r="C59" s="17">
        <f t="shared" si="1"/>
        <v>90.179064803669277</v>
      </c>
      <c r="D59" s="17">
        <f t="shared" si="2"/>
        <v>375.746103348622</v>
      </c>
      <c r="E59" s="17">
        <f t="shared" si="3"/>
        <v>1127.238310045866</v>
      </c>
      <c r="F59" s="17">
        <f t="shared" si="4"/>
        <v>356.22042968980617</v>
      </c>
      <c r="G59" s="17">
        <f t="shared" si="5"/>
        <v>641.78746823475888</v>
      </c>
      <c r="H59" s="31">
        <f t="shared" si="6"/>
        <v>1393.2796749320028</v>
      </c>
      <c r="I59" s="17"/>
      <c r="J59" s="17"/>
      <c r="K59" s="31"/>
    </row>
    <row r="60" spans="1:11">
      <c r="A60" s="17">
        <f t="shared" si="7"/>
        <v>5.0118723362727316E-12</v>
      </c>
      <c r="B60" s="17">
        <f t="shared" si="0"/>
        <v>334.92623484356216</v>
      </c>
      <c r="C60" s="17">
        <f t="shared" si="1"/>
        <v>90.179064803669277</v>
      </c>
      <c r="D60" s="17">
        <f t="shared" si="2"/>
        <v>375.746103348622</v>
      </c>
      <c r="E60" s="17">
        <f t="shared" si="3"/>
        <v>1127.238310045866</v>
      </c>
      <c r="F60" s="17">
        <f t="shared" si="4"/>
        <v>425.10529964723145</v>
      </c>
      <c r="G60" s="17">
        <f t="shared" si="5"/>
        <v>710.67233819218416</v>
      </c>
      <c r="H60" s="31">
        <f t="shared" si="6"/>
        <v>1462.1645448894283</v>
      </c>
      <c r="I60" s="17"/>
      <c r="J60" s="17"/>
      <c r="K60" s="31"/>
    </row>
    <row r="61" spans="1:11">
      <c r="A61" s="17">
        <f t="shared" si="7"/>
        <v>6.3095734448019442E-12</v>
      </c>
      <c r="B61" s="17">
        <f t="shared" si="0"/>
        <v>421.64714812110157</v>
      </c>
      <c r="C61" s="17">
        <f t="shared" si="1"/>
        <v>90.179064803669277</v>
      </c>
      <c r="D61" s="17">
        <f t="shared" si="2"/>
        <v>375.746103348622</v>
      </c>
      <c r="E61" s="17">
        <f t="shared" si="3"/>
        <v>1127.238310045866</v>
      </c>
      <c r="F61" s="17">
        <f t="shared" si="4"/>
        <v>511.82621292477086</v>
      </c>
      <c r="G61" s="17">
        <f t="shared" si="5"/>
        <v>797.39325146972351</v>
      </c>
      <c r="H61" s="31">
        <f t="shared" si="6"/>
        <v>1548.8854581669675</v>
      </c>
      <c r="I61" s="17"/>
      <c r="J61" s="17"/>
      <c r="K61" s="31"/>
    </row>
    <row r="62" spans="1:11">
      <c r="A62" s="17">
        <f t="shared" si="7"/>
        <v>7.9432823472428295E-12</v>
      </c>
      <c r="B62" s="17">
        <f t="shared" si="0"/>
        <v>530.82230958019397</v>
      </c>
      <c r="C62" s="17">
        <f t="shared" si="1"/>
        <v>90.179064803669277</v>
      </c>
      <c r="D62" s="17">
        <f t="shared" si="2"/>
        <v>375.746103348622</v>
      </c>
      <c r="E62" s="17">
        <f t="shared" si="3"/>
        <v>1127.238310045866</v>
      </c>
      <c r="F62" s="17">
        <f t="shared" si="4"/>
        <v>621.00137438386321</v>
      </c>
      <c r="G62" s="17">
        <f t="shared" si="5"/>
        <v>906.56841292881597</v>
      </c>
      <c r="H62" s="31">
        <f t="shared" si="6"/>
        <v>1658.0606196260601</v>
      </c>
      <c r="I62" s="17"/>
      <c r="J62" s="17"/>
      <c r="K62" s="31"/>
    </row>
    <row r="63" spans="1:11">
      <c r="A63" s="17">
        <f t="shared" si="7"/>
        <v>1.0000000000000019E-11</v>
      </c>
      <c r="B63" s="17">
        <f t="shared" si="0"/>
        <v>668.26569467777654</v>
      </c>
      <c r="C63" s="17">
        <f t="shared" si="1"/>
        <v>90.179064803669277</v>
      </c>
      <c r="D63" s="17">
        <f t="shared" si="2"/>
        <v>375.746103348622</v>
      </c>
      <c r="E63" s="17">
        <f t="shared" si="3"/>
        <v>1127.238310045866</v>
      </c>
      <c r="F63" s="17">
        <f t="shared" si="4"/>
        <v>758.44475948144577</v>
      </c>
      <c r="G63" s="17">
        <f t="shared" si="5"/>
        <v>1044.0117980263985</v>
      </c>
      <c r="H63" s="31">
        <f t="shared" si="6"/>
        <v>1795.5040047236425</v>
      </c>
      <c r="I63" s="17"/>
      <c r="J63" s="17"/>
      <c r="K63" s="31"/>
    </row>
    <row r="64" spans="1:11">
      <c r="A64" s="17">
        <f t="shared" si="7"/>
        <v>1.2589254117941697E-11</v>
      </c>
      <c r="B64" s="17">
        <f t="shared" si="0"/>
        <v>841.29666486013514</v>
      </c>
      <c r="C64" s="17">
        <f t="shared" si="1"/>
        <v>90.179064803669277</v>
      </c>
      <c r="D64" s="17">
        <f t="shared" si="2"/>
        <v>375.746103348622</v>
      </c>
      <c r="E64" s="17">
        <f t="shared" si="3"/>
        <v>1127.238310045866</v>
      </c>
      <c r="F64" s="17">
        <f t="shared" si="4"/>
        <v>931.47572966380437</v>
      </c>
      <c r="G64" s="17">
        <f t="shared" si="5"/>
        <v>1217.042768208757</v>
      </c>
      <c r="H64" s="31">
        <f t="shared" si="6"/>
        <v>1968.534974906001</v>
      </c>
      <c r="I64" s="17"/>
      <c r="J64" s="17"/>
      <c r="K64" s="31"/>
    </row>
    <row r="65" spans="1:11">
      <c r="A65" s="17">
        <f t="shared" si="7"/>
        <v>1.5848931924611169E-11</v>
      </c>
      <c r="B65" s="17">
        <f t="shared" si="0"/>
        <v>1059.1297502501054</v>
      </c>
      <c r="C65" s="17">
        <f t="shared" si="1"/>
        <v>90.179064803669277</v>
      </c>
      <c r="D65" s="17">
        <f t="shared" si="2"/>
        <v>375.746103348622</v>
      </c>
      <c r="E65" s="17">
        <f t="shared" si="3"/>
        <v>1127.238310045866</v>
      </c>
      <c r="F65" s="17">
        <f t="shared" si="4"/>
        <v>1149.3088150537747</v>
      </c>
      <c r="G65" s="17">
        <f t="shared" si="5"/>
        <v>1434.8758535987274</v>
      </c>
      <c r="H65" s="31">
        <f t="shared" si="6"/>
        <v>2186.3680602959712</v>
      </c>
      <c r="I65" s="17"/>
      <c r="J65" s="17"/>
      <c r="K65" s="31"/>
    </row>
    <row r="66" spans="1:11">
      <c r="A66" s="17">
        <f t="shared" si="7"/>
        <v>1.9952623149688841E-11</v>
      </c>
      <c r="B66" s="17">
        <f t="shared" si="0"/>
        <v>1333.3653569770674</v>
      </c>
      <c r="C66" s="17">
        <f t="shared" si="1"/>
        <v>90.179064803669277</v>
      </c>
      <c r="D66" s="17">
        <f t="shared" si="2"/>
        <v>375.746103348622</v>
      </c>
      <c r="E66" s="17">
        <f t="shared" si="3"/>
        <v>1127.238310045866</v>
      </c>
      <c r="F66" s="17">
        <f t="shared" si="4"/>
        <v>1423.5444217807367</v>
      </c>
      <c r="G66" s="17">
        <f t="shared" si="5"/>
        <v>1709.1114603256894</v>
      </c>
      <c r="H66" s="31">
        <f t="shared" si="6"/>
        <v>2460.6036670229332</v>
      </c>
      <c r="I66" s="17"/>
      <c r="J66" s="17"/>
      <c r="K66" s="31"/>
    </row>
    <row r="67" spans="1:11">
      <c r="A67" s="17">
        <f t="shared" si="7"/>
        <v>2.5118864315095859E-11</v>
      </c>
      <c r="B67" s="17">
        <f t="shared" si="0"/>
        <v>1678.6075311044312</v>
      </c>
      <c r="C67" s="17">
        <f t="shared" si="1"/>
        <v>90.179064803669277</v>
      </c>
      <c r="D67" s="17">
        <f t="shared" si="2"/>
        <v>375.746103348622</v>
      </c>
      <c r="E67" s="17">
        <f t="shared" si="3"/>
        <v>1127.238310045866</v>
      </c>
      <c r="F67" s="17">
        <f t="shared" si="4"/>
        <v>1768.7865959081005</v>
      </c>
      <c r="G67" s="17">
        <f t="shared" si="5"/>
        <v>2054.353634453053</v>
      </c>
      <c r="H67" s="31">
        <f t="shared" si="6"/>
        <v>2805.845841150297</v>
      </c>
      <c r="I67" s="17"/>
      <c r="J67" s="17"/>
      <c r="K67" s="31"/>
    </row>
    <row r="68" spans="1:11">
      <c r="A68" s="17">
        <f t="shared" si="7"/>
        <v>3.1622776601683865E-11</v>
      </c>
      <c r="B68" s="17">
        <f t="shared" si="0"/>
        <v>2113.2416773364371</v>
      </c>
      <c r="C68" s="17">
        <f t="shared" si="1"/>
        <v>90.179064803669277</v>
      </c>
      <c r="D68" s="17">
        <f t="shared" si="2"/>
        <v>375.746103348622</v>
      </c>
      <c r="E68" s="17">
        <f t="shared" si="3"/>
        <v>1127.238310045866</v>
      </c>
      <c r="F68" s="17">
        <f t="shared" si="4"/>
        <v>2203.4207421401065</v>
      </c>
      <c r="G68" s="17">
        <f t="shared" si="5"/>
        <v>2488.9877806850591</v>
      </c>
      <c r="H68" s="31">
        <f t="shared" si="6"/>
        <v>3240.4799873823031</v>
      </c>
      <c r="I68" s="17"/>
      <c r="J68" s="17"/>
      <c r="K68" s="31"/>
    </row>
    <row r="69" spans="1:11">
      <c r="A69" s="17">
        <f t="shared" si="7"/>
        <v>3.9810717055349818E-11</v>
      </c>
      <c r="B69" s="17">
        <f t="shared" si="0"/>
        <v>2660.4136488613703</v>
      </c>
      <c r="C69" s="17">
        <f t="shared" si="1"/>
        <v>90.179064803669277</v>
      </c>
      <c r="D69" s="17">
        <f t="shared" si="2"/>
        <v>375.746103348622</v>
      </c>
      <c r="E69" s="17">
        <f t="shared" si="3"/>
        <v>1127.238310045866</v>
      </c>
      <c r="F69" s="17">
        <f t="shared" si="4"/>
        <v>2750.5927136650398</v>
      </c>
      <c r="G69" s="17">
        <f t="shared" si="5"/>
        <v>3036.1597522099923</v>
      </c>
      <c r="H69" s="31">
        <f t="shared" si="6"/>
        <v>3787.6519589072363</v>
      </c>
      <c r="I69" s="17"/>
      <c r="J69" s="17"/>
      <c r="K69" s="31"/>
    </row>
    <row r="70" spans="1:11">
      <c r="A70" s="17">
        <f t="shared" si="7"/>
        <v>5.0118723362727349E-11</v>
      </c>
      <c r="B70" s="17">
        <f t="shared" si="0"/>
        <v>3349.2623484356241</v>
      </c>
      <c r="C70" s="17">
        <f t="shared" si="1"/>
        <v>90.179064803669277</v>
      </c>
      <c r="D70" s="17">
        <f t="shared" si="2"/>
        <v>375.746103348622</v>
      </c>
      <c r="E70" s="17">
        <f t="shared" si="3"/>
        <v>1127.238310045866</v>
      </c>
      <c r="F70" s="17">
        <f t="shared" si="4"/>
        <v>3439.4414132392935</v>
      </c>
      <c r="G70" s="17">
        <f t="shared" si="5"/>
        <v>3725.0084517842461</v>
      </c>
      <c r="H70" s="31">
        <f t="shared" si="6"/>
        <v>4476.5006584814901</v>
      </c>
      <c r="I70" s="17"/>
      <c r="J70" s="17"/>
      <c r="K70" s="31"/>
    </row>
    <row r="71" spans="1:11">
      <c r="A71" s="17">
        <f t="shared" si="7"/>
        <v>6.3095734448019476E-11</v>
      </c>
      <c r="B71" s="17">
        <f t="shared" si="0"/>
        <v>4216.4714812110169</v>
      </c>
      <c r="C71" s="17">
        <f t="shared" si="1"/>
        <v>90.179064803669277</v>
      </c>
      <c r="D71" s="17">
        <f t="shared" si="2"/>
        <v>375.746103348622</v>
      </c>
      <c r="E71" s="17">
        <f t="shared" si="3"/>
        <v>1127.238310045866</v>
      </c>
      <c r="F71" s="17">
        <f t="shared" si="4"/>
        <v>4306.6505460146864</v>
      </c>
      <c r="G71" s="17">
        <f t="shared" si="5"/>
        <v>4592.2175845596394</v>
      </c>
      <c r="H71" s="31">
        <f t="shared" si="6"/>
        <v>5343.7097912568825</v>
      </c>
      <c r="I71" s="17"/>
      <c r="J71" s="17"/>
      <c r="K71" s="31"/>
    </row>
    <row r="72" spans="1:11">
      <c r="A72" s="17">
        <f t="shared" si="7"/>
        <v>7.9432823472428347E-11</v>
      </c>
      <c r="B72" s="17">
        <f t="shared" si="0"/>
        <v>5308.2230958019427</v>
      </c>
      <c r="C72" s="17">
        <f t="shared" si="1"/>
        <v>90.179064803669277</v>
      </c>
      <c r="D72" s="17">
        <f t="shared" si="2"/>
        <v>375.746103348622</v>
      </c>
      <c r="E72" s="17">
        <f t="shared" si="3"/>
        <v>1127.238310045866</v>
      </c>
      <c r="F72" s="17">
        <f t="shared" si="4"/>
        <v>5398.4021606056122</v>
      </c>
      <c r="G72" s="17">
        <f t="shared" si="5"/>
        <v>5683.9691991505642</v>
      </c>
      <c r="H72" s="31">
        <f t="shared" si="6"/>
        <v>6435.4614058478091</v>
      </c>
      <c r="I72" s="17"/>
      <c r="J72" s="17"/>
      <c r="K72" s="31"/>
    </row>
    <row r="73" spans="1:11">
      <c r="A73" s="17">
        <f t="shared" si="7"/>
        <v>1.0000000000000025E-10</v>
      </c>
      <c r="B73" s="17">
        <f t="shared" si="0"/>
        <v>6682.6569467777699</v>
      </c>
      <c r="C73" s="17">
        <f t="shared" si="1"/>
        <v>90.179064803669277</v>
      </c>
      <c r="D73" s="17">
        <f t="shared" si="2"/>
        <v>375.746103348622</v>
      </c>
      <c r="E73" s="17">
        <f t="shared" si="3"/>
        <v>1127.238310045866</v>
      </c>
      <c r="F73" s="17">
        <f t="shared" si="4"/>
        <v>6772.8360115814394</v>
      </c>
      <c r="G73" s="17">
        <f t="shared" si="5"/>
        <v>7058.4030501263915</v>
      </c>
      <c r="H73" s="31">
        <f t="shared" si="6"/>
        <v>7809.8952568236364</v>
      </c>
      <c r="I73" s="17"/>
      <c r="J73" s="17"/>
      <c r="K73" s="31"/>
    </row>
    <row r="74" spans="1:11">
      <c r="A74" s="17"/>
      <c r="B74" s="17"/>
      <c r="C74" s="17"/>
      <c r="D74" s="17"/>
      <c r="E74" s="17"/>
      <c r="F74" s="17"/>
      <c r="G74" s="17"/>
      <c r="H74" s="31"/>
      <c r="I74" s="17"/>
      <c r="J74" s="17"/>
      <c r="K74" s="31"/>
    </row>
    <row r="75" spans="1:11">
      <c r="A75" s="17"/>
      <c r="B75" s="17"/>
      <c r="C75" s="17"/>
      <c r="D75" s="17"/>
      <c r="E75" s="17"/>
      <c r="F75" s="17"/>
      <c r="G75" s="17"/>
      <c r="H75" s="31"/>
      <c r="I75" s="17"/>
      <c r="J75" s="17"/>
      <c r="K75" s="31"/>
    </row>
    <row r="76" spans="1:11">
      <c r="A76" s="17"/>
      <c r="B76" s="17"/>
      <c r="C76" s="17"/>
      <c r="D76" s="17"/>
      <c r="E76" s="17"/>
      <c r="F76" s="17"/>
      <c r="G76" s="17"/>
      <c r="H76" s="31"/>
      <c r="I76" s="17"/>
      <c r="J76" s="17"/>
      <c r="K76" s="31"/>
    </row>
    <row r="77" spans="1:11">
      <c r="A77" s="17"/>
      <c r="B77" s="17"/>
      <c r="C77" s="17"/>
      <c r="D77" s="17"/>
      <c r="E77" s="17"/>
      <c r="F77" s="17"/>
      <c r="G77" s="17"/>
      <c r="H77" s="31"/>
      <c r="I77" s="17"/>
      <c r="J77" s="17"/>
      <c r="K77" s="31"/>
    </row>
    <row r="78" spans="1:11">
      <c r="A78" s="17"/>
      <c r="B78" s="17"/>
      <c r="C78" s="17"/>
      <c r="D78" s="17"/>
      <c r="E78" s="17"/>
      <c r="F78" s="17"/>
      <c r="G78" s="17"/>
      <c r="H78" s="31"/>
      <c r="I78" s="17"/>
      <c r="J78" s="17"/>
      <c r="K78" s="31"/>
    </row>
    <row r="79" spans="1:11">
      <c r="A79" s="17"/>
      <c r="B79" s="17"/>
      <c r="C79" s="17"/>
      <c r="D79" s="17"/>
      <c r="E79" s="17"/>
      <c r="F79" s="17"/>
      <c r="G79" s="17"/>
      <c r="H79" s="31"/>
      <c r="I79" s="17"/>
      <c r="J79" s="17"/>
      <c r="K79" s="31"/>
    </row>
    <row r="80" spans="1:11">
      <c r="A80" s="17"/>
      <c r="B80" s="17"/>
      <c r="C80" s="17"/>
      <c r="D80" s="17"/>
      <c r="E80" s="17"/>
      <c r="F80" s="17"/>
      <c r="G80" s="17"/>
      <c r="H80" s="31"/>
      <c r="I80" s="17"/>
      <c r="J80" s="17"/>
      <c r="K80" s="31"/>
    </row>
    <row r="81" spans="1:11">
      <c r="A81" s="17"/>
      <c r="B81" s="17"/>
      <c r="C81" s="17"/>
      <c r="D81" s="17"/>
      <c r="E81" s="17"/>
      <c r="F81" s="17"/>
      <c r="G81" s="17"/>
      <c r="H81" s="31"/>
      <c r="I81" s="17"/>
      <c r="J81" s="17"/>
      <c r="K81" s="31"/>
    </row>
    <row r="82" spans="1:11">
      <c r="A82" s="17"/>
      <c r="B82" s="17"/>
      <c r="C82" s="17"/>
      <c r="D82" s="17"/>
      <c r="E82" s="17"/>
      <c r="F82" s="17"/>
      <c r="G82" s="17"/>
      <c r="H82" s="31"/>
      <c r="I82" s="17"/>
      <c r="J82" s="17"/>
      <c r="K82" s="31"/>
    </row>
    <row r="83" spans="1:11">
      <c r="A83" s="17"/>
      <c r="B83" s="17"/>
      <c r="C83" s="17"/>
      <c r="D83" s="17"/>
      <c r="E83" s="17"/>
      <c r="F83" s="17"/>
      <c r="G83" s="17"/>
      <c r="H83" s="31"/>
      <c r="I83" s="17"/>
      <c r="J83" s="17"/>
      <c r="K83" s="31"/>
    </row>
    <row r="84" spans="1:11">
      <c r="A84" s="17"/>
      <c r="B84" s="17"/>
      <c r="C84" s="17"/>
      <c r="D84" s="17"/>
      <c r="E84" s="17"/>
      <c r="F84" s="17"/>
      <c r="G84" s="17"/>
      <c r="H84" s="31"/>
      <c r="I84" s="17"/>
      <c r="J84" s="17"/>
      <c r="K84" s="31"/>
    </row>
    <row r="85" spans="1:11">
      <c r="A85" s="17"/>
      <c r="B85" s="17"/>
      <c r="C85" s="17"/>
      <c r="D85" s="17"/>
      <c r="E85" s="17"/>
      <c r="F85" s="17"/>
      <c r="G85" s="17"/>
      <c r="H85" s="31"/>
      <c r="I85" s="17"/>
      <c r="J85" s="17"/>
      <c r="K85" s="31"/>
    </row>
    <row r="86" spans="1:11">
      <c r="A86" s="17"/>
      <c r="B86" s="17"/>
      <c r="C86" s="17"/>
      <c r="D86" s="17"/>
      <c r="E86" s="17"/>
      <c r="F86" s="17"/>
      <c r="G86" s="17"/>
      <c r="H86" s="31"/>
      <c r="I86" s="17"/>
      <c r="J86" s="17"/>
      <c r="K86" s="31"/>
    </row>
    <row r="87" spans="1:11">
      <c r="A87" s="17"/>
      <c r="B87" s="17"/>
      <c r="C87" s="17"/>
      <c r="D87" s="17"/>
      <c r="E87" s="17"/>
      <c r="F87" s="17"/>
      <c r="G87" s="17"/>
      <c r="H87" s="31"/>
      <c r="I87" s="17"/>
      <c r="J87" s="17"/>
      <c r="K87" s="31"/>
    </row>
    <row r="88" spans="1:11">
      <c r="A88" s="17"/>
      <c r="B88" s="17"/>
      <c r="C88" s="17"/>
      <c r="D88" s="17"/>
      <c r="E88" s="17"/>
      <c r="F88" s="17"/>
      <c r="G88" s="17"/>
      <c r="H88" s="31"/>
      <c r="I88" s="17"/>
      <c r="J88" s="17"/>
      <c r="K88" s="31"/>
    </row>
    <row r="89" spans="1:11">
      <c r="A89" s="17"/>
      <c r="B89" s="17"/>
      <c r="C89" s="17"/>
      <c r="D89" s="17"/>
      <c r="E89" s="17"/>
      <c r="F89" s="17"/>
      <c r="G89" s="17"/>
      <c r="H89" s="31"/>
      <c r="I89" s="17"/>
      <c r="J89" s="17"/>
      <c r="K89" s="31"/>
    </row>
    <row r="90" spans="1:11">
      <c r="A90" s="17"/>
      <c r="B90" s="17"/>
      <c r="C90" s="17"/>
      <c r="D90" s="17"/>
      <c r="E90" s="17"/>
      <c r="F90" s="17"/>
      <c r="G90" s="17"/>
      <c r="H90" s="31"/>
      <c r="I90" s="17"/>
      <c r="J90" s="17"/>
      <c r="K90" s="31"/>
    </row>
    <row r="91" spans="1:11">
      <c r="A91" s="17"/>
      <c r="B91" s="17"/>
      <c r="C91" s="17"/>
      <c r="D91" s="17"/>
      <c r="E91" s="17"/>
      <c r="F91" s="17"/>
      <c r="G91" s="17"/>
      <c r="H91" s="31"/>
      <c r="I91" s="17"/>
      <c r="J91" s="17"/>
      <c r="K91" s="31"/>
    </row>
    <row r="92" spans="1:11">
      <c r="A92" s="17"/>
      <c r="B92" s="17"/>
      <c r="C92" s="17"/>
      <c r="D92" s="17"/>
      <c r="E92" s="17"/>
      <c r="F92" s="17"/>
      <c r="G92" s="17"/>
      <c r="H92" s="31"/>
      <c r="I92" s="17"/>
      <c r="J92" s="17"/>
      <c r="K92" s="31"/>
    </row>
    <row r="93" spans="1:11">
      <c r="A93" s="17"/>
      <c r="B93" s="17"/>
      <c r="C93" s="17"/>
      <c r="D93" s="17"/>
      <c r="E93" s="17"/>
      <c r="F93" s="17"/>
      <c r="G93" s="17"/>
      <c r="H93" s="31"/>
      <c r="I93" s="17"/>
      <c r="J93" s="17"/>
      <c r="K93" s="31"/>
    </row>
    <row r="94" spans="1:11">
      <c r="A94" s="17"/>
      <c r="B94" s="17"/>
      <c r="C94" s="17"/>
      <c r="D94" s="17"/>
      <c r="E94" s="17"/>
      <c r="F94" s="17"/>
      <c r="G94" s="17"/>
      <c r="H94" s="31"/>
      <c r="I94" s="17"/>
      <c r="J94" s="17"/>
      <c r="K94" s="31"/>
    </row>
    <row r="95" spans="1:11">
      <c r="A95" s="17"/>
      <c r="B95" s="17"/>
      <c r="C95" s="17"/>
      <c r="D95" s="17"/>
      <c r="E95" s="17"/>
      <c r="F95" s="17"/>
      <c r="G95" s="17"/>
      <c r="H95" s="31"/>
      <c r="I95" s="17"/>
      <c r="J95" s="17"/>
      <c r="K95" s="31"/>
    </row>
    <row r="96" spans="1:11">
      <c r="A96" s="17"/>
      <c r="B96" s="17"/>
      <c r="C96" s="17"/>
      <c r="D96" s="17"/>
      <c r="E96" s="17"/>
      <c r="F96" s="17"/>
      <c r="G96" s="17"/>
      <c r="H96" s="31"/>
      <c r="I96" s="17"/>
      <c r="J96" s="17"/>
      <c r="K96" s="31"/>
    </row>
    <row r="97" spans="1:11">
      <c r="A97" s="17"/>
      <c r="B97" s="17"/>
      <c r="C97" s="17"/>
      <c r="D97" s="17"/>
      <c r="E97" s="17"/>
      <c r="F97" s="17"/>
      <c r="G97" s="17"/>
      <c r="H97" s="31"/>
      <c r="I97" s="17"/>
      <c r="J97" s="17"/>
      <c r="K97" s="31"/>
    </row>
    <row r="98" spans="1:11">
      <c r="A98" s="17"/>
      <c r="B98" s="17"/>
      <c r="C98" s="17"/>
      <c r="D98" s="17"/>
      <c r="E98" s="17"/>
      <c r="F98" s="17"/>
      <c r="G98" s="17"/>
      <c r="H98" s="31"/>
      <c r="I98" s="17"/>
      <c r="J98" s="17"/>
      <c r="K98" s="31"/>
    </row>
    <row r="99" spans="1:11">
      <c r="A99" s="17"/>
      <c r="B99" s="17"/>
      <c r="C99" s="17"/>
      <c r="D99" s="17"/>
      <c r="E99" s="17"/>
      <c r="F99" s="17"/>
      <c r="G99" s="17"/>
      <c r="H99" s="31"/>
      <c r="I99" s="17"/>
      <c r="J99" s="17"/>
      <c r="K99" s="31"/>
    </row>
    <row r="100" spans="1:11">
      <c r="A100" s="17"/>
      <c r="B100" s="17"/>
      <c r="C100" s="17"/>
      <c r="D100" s="17"/>
      <c r="E100" s="17"/>
      <c r="F100" s="17"/>
      <c r="G100" s="17"/>
      <c r="H100" s="31"/>
      <c r="I100" s="17"/>
      <c r="J100" s="17"/>
      <c r="K100" s="31"/>
    </row>
    <row r="101" spans="1:11">
      <c r="A101" s="17"/>
      <c r="B101" s="17"/>
      <c r="C101" s="17"/>
      <c r="D101" s="17"/>
      <c r="E101" s="17"/>
      <c r="F101" s="17"/>
      <c r="G101" s="17"/>
      <c r="H101" s="31"/>
      <c r="I101" s="17"/>
      <c r="J101" s="17"/>
      <c r="K101" s="31"/>
    </row>
    <row r="102" spans="1:11">
      <c r="A102" s="17"/>
      <c r="B102" s="17"/>
      <c r="C102" s="17"/>
      <c r="D102" s="17"/>
      <c r="E102" s="17"/>
      <c r="F102" s="17"/>
      <c r="G102" s="17"/>
      <c r="H102" s="31"/>
      <c r="I102" s="17"/>
      <c r="J102" s="17"/>
      <c r="K102" s="31"/>
    </row>
    <row r="103" spans="1:11">
      <c r="A103" s="17"/>
      <c r="B103" s="17"/>
      <c r="C103" s="17"/>
      <c r="D103" s="17"/>
      <c r="E103" s="17"/>
      <c r="F103" s="17"/>
      <c r="G103" s="17"/>
      <c r="H103" s="31"/>
      <c r="I103" s="17"/>
      <c r="J103" s="17"/>
      <c r="K103" s="31"/>
    </row>
    <row r="104" spans="1:11">
      <c r="A104" s="17"/>
      <c r="B104" s="17"/>
      <c r="C104" s="17"/>
      <c r="D104" s="17"/>
      <c r="E104" s="17"/>
      <c r="F104" s="17"/>
      <c r="G104" s="17"/>
      <c r="H104" s="31"/>
      <c r="I104" s="17"/>
      <c r="J104" s="17"/>
      <c r="K104" s="31"/>
    </row>
    <row r="105" spans="1:11">
      <c r="A105" s="17"/>
      <c r="B105" s="17"/>
      <c r="C105" s="17"/>
      <c r="D105" s="17"/>
      <c r="E105" s="17"/>
      <c r="F105" s="17"/>
      <c r="G105" s="17"/>
      <c r="H105" s="31"/>
      <c r="I105" s="17"/>
      <c r="J105" s="17"/>
      <c r="K105" s="31"/>
    </row>
    <row r="106" spans="1:11">
      <c r="A106" s="17"/>
      <c r="B106" s="17"/>
      <c r="C106" s="17"/>
      <c r="D106" s="17"/>
      <c r="E106" s="17"/>
      <c r="F106" s="17"/>
      <c r="G106" s="17"/>
      <c r="H106" s="31"/>
      <c r="I106" s="17"/>
      <c r="J106" s="17"/>
      <c r="K106" s="31"/>
    </row>
    <row r="107" spans="1:11">
      <c r="A107" s="17"/>
      <c r="B107" s="17"/>
      <c r="C107" s="17"/>
      <c r="D107" s="17"/>
      <c r="E107" s="17"/>
      <c r="F107" s="17"/>
      <c r="G107" s="17"/>
      <c r="H107" s="31"/>
      <c r="I107" s="17"/>
      <c r="J107" s="17"/>
      <c r="K107" s="31"/>
    </row>
    <row r="108" spans="1:11">
      <c r="A108" s="17"/>
      <c r="B108" s="17"/>
      <c r="C108" s="17"/>
      <c r="D108" s="17"/>
      <c r="E108" s="17"/>
      <c r="F108" s="17"/>
      <c r="G108" s="17"/>
      <c r="H108" s="31"/>
      <c r="I108" s="17"/>
      <c r="J108" s="17"/>
      <c r="K108" s="31"/>
    </row>
    <row r="109" spans="1:11">
      <c r="A109" s="17"/>
      <c r="B109" s="17"/>
      <c r="C109" s="17"/>
      <c r="D109" s="17"/>
      <c r="E109" s="17"/>
      <c r="F109" s="17"/>
      <c r="G109" s="17"/>
      <c r="H109" s="31"/>
      <c r="I109" s="17"/>
      <c r="J109" s="17"/>
      <c r="K109" s="31"/>
    </row>
    <row r="110" spans="1:11">
      <c r="A110" s="17"/>
      <c r="B110" s="17"/>
      <c r="C110" s="17"/>
      <c r="D110" s="17"/>
      <c r="E110" s="17"/>
      <c r="F110" s="17"/>
      <c r="G110" s="17"/>
      <c r="H110" s="31"/>
      <c r="I110" s="17"/>
      <c r="J110" s="17"/>
      <c r="K110" s="31"/>
    </row>
    <row r="111" spans="1:11">
      <c r="A111" s="17"/>
      <c r="B111" s="17"/>
      <c r="C111" s="17"/>
      <c r="D111" s="17"/>
      <c r="E111" s="17"/>
      <c r="F111" s="17"/>
      <c r="G111" s="17"/>
      <c r="H111" s="31"/>
      <c r="I111" s="17"/>
      <c r="J111" s="17"/>
      <c r="K111" s="31"/>
    </row>
    <row r="112" spans="1:11">
      <c r="A112" s="17"/>
      <c r="B112" s="17"/>
      <c r="C112" s="17"/>
      <c r="D112" s="17"/>
      <c r="E112" s="17"/>
      <c r="F112" s="17"/>
      <c r="G112" s="17"/>
      <c r="H112" s="31"/>
      <c r="I112" s="17"/>
      <c r="J112" s="17"/>
      <c r="K112" s="31"/>
    </row>
    <row r="113" spans="1:11">
      <c r="A113" s="17"/>
      <c r="B113" s="17"/>
      <c r="C113" s="17"/>
      <c r="D113" s="17"/>
      <c r="E113" s="17"/>
      <c r="F113" s="17"/>
      <c r="G113" s="17"/>
      <c r="H113" s="31"/>
      <c r="I113" s="17"/>
      <c r="J113" s="17"/>
      <c r="K113" s="31"/>
    </row>
    <row r="114" spans="1:11">
      <c r="A114" s="17"/>
      <c r="B114" s="17"/>
      <c r="C114" s="17"/>
      <c r="D114" s="17"/>
      <c r="E114" s="17"/>
      <c r="F114" s="17"/>
      <c r="G114" s="17"/>
      <c r="H114" s="31"/>
      <c r="I114" s="17"/>
      <c r="J114" s="17"/>
      <c r="K114" s="31"/>
    </row>
    <row r="115" spans="1:11">
      <c r="A115" s="17"/>
      <c r="B115" s="17"/>
      <c r="C115" s="17"/>
      <c r="D115" s="17"/>
      <c r="E115" s="17"/>
      <c r="F115" s="17"/>
      <c r="G115" s="17"/>
      <c r="H115" s="31"/>
      <c r="I115" s="17"/>
      <c r="J115" s="17"/>
      <c r="K115" s="31"/>
    </row>
    <row r="116" spans="1:11">
      <c r="A116" s="17"/>
      <c r="B116" s="17"/>
      <c r="C116" s="17"/>
      <c r="D116" s="17"/>
      <c r="E116" s="17"/>
      <c r="F116" s="17"/>
      <c r="G116" s="17"/>
      <c r="H116" s="31"/>
      <c r="I116" s="17"/>
      <c r="J116" s="17"/>
      <c r="K116" s="31"/>
    </row>
    <row r="117" spans="1:11">
      <c r="A117" s="17"/>
      <c r="B117" s="17"/>
      <c r="C117" s="17"/>
      <c r="D117" s="17"/>
      <c r="E117" s="17"/>
      <c r="F117" s="17"/>
      <c r="G117" s="17"/>
      <c r="H117" s="31"/>
      <c r="I117" s="17"/>
      <c r="J117" s="17"/>
      <c r="K117" s="31"/>
    </row>
    <row r="118" spans="1:11">
      <c r="A118" s="17"/>
      <c r="B118" s="17"/>
      <c r="C118" s="17"/>
      <c r="D118" s="17"/>
      <c r="E118" s="17"/>
      <c r="F118" s="17"/>
      <c r="G118" s="17"/>
      <c r="H118" s="31"/>
      <c r="I118" s="17"/>
      <c r="J118" s="17"/>
      <c r="K118" s="31"/>
    </row>
    <row r="119" spans="1:11">
      <c r="A119" s="17"/>
      <c r="B119" s="17"/>
      <c r="C119" s="17"/>
      <c r="D119" s="17"/>
      <c r="E119" s="17"/>
      <c r="F119" s="17"/>
      <c r="G119" s="17"/>
      <c r="H119" s="31"/>
      <c r="I119" s="17"/>
      <c r="J119" s="17"/>
      <c r="K119" s="31"/>
    </row>
    <row r="120" spans="1:11">
      <c r="A120" s="17"/>
      <c r="B120" s="17"/>
      <c r="C120" s="17"/>
      <c r="D120" s="17"/>
      <c r="E120" s="17"/>
      <c r="F120" s="17"/>
      <c r="G120" s="17"/>
      <c r="H120" s="31"/>
      <c r="I120" s="17"/>
      <c r="J120" s="17"/>
      <c r="K120" s="31"/>
    </row>
    <row r="121" spans="1:11">
      <c r="A121" s="17"/>
      <c r="B121" s="17"/>
      <c r="C121" s="17"/>
      <c r="D121" s="17"/>
      <c r="E121" s="17"/>
      <c r="F121" s="17"/>
      <c r="G121" s="17"/>
      <c r="H121" s="31"/>
      <c r="I121" s="17"/>
      <c r="J121" s="17"/>
      <c r="K121" s="31"/>
    </row>
    <row r="122" spans="1:11">
      <c r="A122" s="17"/>
      <c r="B122" s="17"/>
      <c r="C122" s="17"/>
      <c r="D122" s="17"/>
      <c r="E122" s="17"/>
      <c r="F122" s="17"/>
      <c r="G122" s="17"/>
      <c r="H122" s="31"/>
      <c r="I122" s="17"/>
      <c r="J122" s="17"/>
      <c r="K122" s="31"/>
    </row>
    <row r="123" spans="1:11">
      <c r="A123" s="17"/>
      <c r="B123" s="17"/>
      <c r="C123" s="17"/>
      <c r="D123" s="17"/>
      <c r="E123" s="17"/>
      <c r="F123" s="17"/>
      <c r="G123" s="17"/>
      <c r="H123" s="31"/>
      <c r="I123" s="17"/>
      <c r="J123" s="17"/>
      <c r="K123" s="31"/>
    </row>
    <row r="124" spans="1:11">
      <c r="A124" s="17"/>
      <c r="B124" s="17"/>
      <c r="C124" s="17"/>
      <c r="D124" s="17"/>
      <c r="E124" s="17"/>
      <c r="F124" s="17"/>
      <c r="G124" s="17"/>
      <c r="H124" s="31"/>
      <c r="I124" s="17"/>
      <c r="J124" s="17"/>
      <c r="K124" s="31"/>
    </row>
    <row r="125" spans="1:11">
      <c r="A125" s="17"/>
      <c r="B125" s="17"/>
      <c r="C125" s="17"/>
      <c r="D125" s="17"/>
      <c r="E125" s="17"/>
      <c r="F125" s="17"/>
      <c r="G125" s="17"/>
      <c r="H125" s="31"/>
      <c r="I125" s="17"/>
      <c r="J125" s="17"/>
      <c r="K125" s="31"/>
    </row>
    <row r="126" spans="1:11">
      <c r="A126" s="17"/>
      <c r="B126" s="17"/>
      <c r="C126" s="17"/>
      <c r="D126" s="17"/>
      <c r="E126" s="17"/>
      <c r="F126" s="17"/>
      <c r="G126" s="17"/>
      <c r="H126" s="31"/>
      <c r="I126" s="17"/>
      <c r="J126" s="17"/>
      <c r="K126" s="31"/>
    </row>
    <row r="127" spans="1:11">
      <c r="A127" s="17"/>
      <c r="B127" s="17"/>
      <c r="C127" s="17"/>
      <c r="D127" s="17"/>
      <c r="E127" s="17"/>
      <c r="F127" s="17"/>
      <c r="G127" s="17"/>
      <c r="H127" s="31"/>
      <c r="I127" s="17"/>
      <c r="J127" s="17"/>
      <c r="K127" s="31"/>
    </row>
    <row r="128" spans="1:11">
      <c r="A128" s="17"/>
      <c r="B128" s="17"/>
      <c r="C128" s="17"/>
      <c r="D128" s="17"/>
      <c r="E128" s="17"/>
      <c r="F128" s="17"/>
      <c r="G128" s="17"/>
      <c r="H128" s="31"/>
      <c r="I128" s="17"/>
      <c r="J128" s="17"/>
      <c r="K128" s="31"/>
    </row>
    <row r="129" spans="1:11">
      <c r="A129" s="17"/>
      <c r="B129" s="17"/>
      <c r="C129" s="17"/>
      <c r="D129" s="17"/>
      <c r="E129" s="17"/>
      <c r="F129" s="17"/>
      <c r="G129" s="17"/>
      <c r="H129" s="31"/>
      <c r="I129" s="17"/>
      <c r="J129" s="17"/>
      <c r="K129" s="31"/>
    </row>
    <row r="130" spans="1:11">
      <c r="A130" s="17"/>
      <c r="B130" s="17"/>
      <c r="C130" s="17"/>
      <c r="D130" s="17"/>
      <c r="E130" s="17"/>
      <c r="F130" s="17"/>
      <c r="G130" s="17"/>
      <c r="H130" s="31"/>
      <c r="I130" s="17"/>
      <c r="J130" s="17"/>
      <c r="K130" s="31"/>
    </row>
    <row r="131" spans="1:11">
      <c r="A131" s="17"/>
      <c r="B131" s="17"/>
      <c r="C131" s="17"/>
      <c r="D131" s="17"/>
      <c r="E131" s="17"/>
      <c r="F131" s="17"/>
      <c r="G131" s="17"/>
      <c r="H131" s="31"/>
      <c r="I131" s="17"/>
      <c r="J131" s="17"/>
      <c r="K131" s="31"/>
    </row>
    <row r="132" spans="1:11">
      <c r="A132" s="17"/>
      <c r="B132" s="17"/>
      <c r="C132" s="17"/>
      <c r="D132" s="17"/>
      <c r="E132" s="17"/>
      <c r="F132" s="17"/>
      <c r="G132" s="17"/>
      <c r="H132" s="31"/>
      <c r="I132" s="17"/>
      <c r="J132" s="17"/>
      <c r="K132" s="31"/>
    </row>
    <row r="133" spans="1:11">
      <c r="A133" s="16"/>
      <c r="B133" s="17"/>
      <c r="C133" s="17"/>
      <c r="D133" s="17"/>
      <c r="E133" s="17"/>
      <c r="F133" s="17"/>
      <c r="G133" s="17"/>
      <c r="H133" s="31"/>
      <c r="I133" s="17"/>
      <c r="J133" s="17"/>
      <c r="K133" s="31"/>
    </row>
    <row r="134" spans="1:11">
      <c r="A134" s="16"/>
      <c r="B134" s="17"/>
      <c r="C134" s="17"/>
      <c r="D134" s="17"/>
      <c r="E134" s="17"/>
      <c r="F134" s="17"/>
      <c r="G134" s="17"/>
      <c r="H134" s="31"/>
      <c r="I134" s="17"/>
      <c r="J134" s="17"/>
      <c r="K134" s="31"/>
    </row>
    <row r="135" spans="1:11">
      <c r="A135" s="16"/>
      <c r="B135" s="17"/>
      <c r="C135" s="17"/>
      <c r="D135" s="17"/>
      <c r="E135" s="17"/>
      <c r="F135" s="17"/>
      <c r="G135" s="17"/>
      <c r="H135" s="31"/>
      <c r="I135" s="17"/>
      <c r="J135" s="17"/>
      <c r="K135" s="31"/>
    </row>
    <row r="136" spans="1:11">
      <c r="A136" s="16"/>
      <c r="B136" s="17"/>
      <c r="C136" s="17"/>
      <c r="D136" s="17"/>
      <c r="E136" s="17"/>
      <c r="F136" s="17"/>
      <c r="G136" s="17"/>
      <c r="H136" s="31"/>
      <c r="I136" s="17"/>
      <c r="J136" s="17"/>
      <c r="K136" s="31"/>
    </row>
    <row r="137" spans="1:11">
      <c r="A137" s="16"/>
      <c r="B137" s="17"/>
      <c r="C137" s="17"/>
      <c r="D137" s="17"/>
      <c r="E137" s="17"/>
      <c r="F137" s="17"/>
      <c r="G137" s="17"/>
      <c r="H137" s="31"/>
      <c r="I137" s="17"/>
      <c r="J137" s="17"/>
      <c r="K137" s="31"/>
    </row>
    <row r="138" spans="1:11">
      <c r="A138" s="16"/>
      <c r="B138" s="17"/>
      <c r="C138" s="17"/>
      <c r="D138" s="17"/>
      <c r="E138" s="17"/>
      <c r="F138" s="17"/>
      <c r="G138" s="17"/>
      <c r="H138" s="31"/>
      <c r="I138" s="17"/>
      <c r="J138" s="17"/>
      <c r="K138" s="31"/>
    </row>
    <row r="139" spans="1:11">
      <c r="A139" s="16"/>
      <c r="B139" s="17"/>
      <c r="C139" s="17"/>
      <c r="D139" s="17"/>
      <c r="E139" s="17"/>
      <c r="F139" s="17"/>
      <c r="G139" s="17"/>
      <c r="H139" s="31"/>
      <c r="I139" s="17"/>
      <c r="J139" s="17"/>
      <c r="K139" s="31"/>
    </row>
    <row r="140" spans="1:11">
      <c r="A140" s="16"/>
      <c r="B140" s="17"/>
      <c r="C140" s="17"/>
      <c r="D140" s="17"/>
      <c r="E140" s="17"/>
      <c r="F140" s="17"/>
      <c r="G140" s="17"/>
      <c r="H140" s="31"/>
      <c r="I140" s="17"/>
      <c r="J140" s="17"/>
      <c r="K140" s="31"/>
    </row>
    <row r="141" spans="1:11">
      <c r="A141" s="16"/>
      <c r="B141" s="17"/>
      <c r="C141" s="17"/>
      <c r="D141" s="17"/>
      <c r="E141" s="17"/>
      <c r="F141" s="17"/>
      <c r="G141" s="17"/>
      <c r="H141" s="31"/>
      <c r="I141" s="17"/>
      <c r="J141" s="17"/>
      <c r="K141" s="31"/>
    </row>
    <row r="142" spans="1:11">
      <c r="A142" s="16"/>
      <c r="B142" s="17"/>
      <c r="C142" s="17"/>
      <c r="D142" s="17"/>
      <c r="E142" s="17"/>
      <c r="F142" s="17"/>
      <c r="G142" s="17"/>
      <c r="H142" s="31"/>
      <c r="I142" s="17"/>
      <c r="J142" s="17"/>
      <c r="K142" s="31"/>
    </row>
    <row r="143" spans="1:11">
      <c r="A143" s="16"/>
      <c r="B143" s="17"/>
      <c r="C143" s="17"/>
      <c r="D143" s="17"/>
      <c r="E143" s="17"/>
      <c r="F143" s="17"/>
      <c r="G143" s="17"/>
      <c r="H143" s="31"/>
      <c r="I143" s="17"/>
      <c r="J143" s="17"/>
      <c r="K143" s="31"/>
    </row>
    <row r="144" spans="1:11">
      <c r="A144" s="16"/>
      <c r="B144" s="17"/>
      <c r="C144" s="17"/>
      <c r="D144" s="17"/>
      <c r="E144" s="17"/>
      <c r="F144" s="17"/>
      <c r="G144" s="17"/>
      <c r="H144" s="31"/>
      <c r="I144" s="17"/>
      <c r="J144" s="17"/>
      <c r="K144" s="31"/>
    </row>
    <row r="145" spans="1:11">
      <c r="A145" s="16"/>
      <c r="B145" s="17"/>
      <c r="C145" s="17"/>
      <c r="D145" s="17"/>
      <c r="E145" s="17"/>
      <c r="F145" s="17"/>
      <c r="G145" s="17"/>
      <c r="H145" s="31"/>
      <c r="I145" s="17"/>
      <c r="J145" s="17"/>
      <c r="K145" s="31"/>
    </row>
    <row r="146" spans="1:11">
      <c r="A146" s="16"/>
      <c r="B146" s="17"/>
      <c r="C146" s="17"/>
      <c r="D146" s="17"/>
      <c r="E146" s="17"/>
      <c r="F146" s="17"/>
      <c r="G146" s="17"/>
      <c r="H146" s="31"/>
      <c r="I146" s="17"/>
      <c r="J146" s="17"/>
      <c r="K146" s="31"/>
    </row>
    <row r="147" spans="1:11">
      <c r="A147" s="16"/>
      <c r="B147" s="17"/>
      <c r="C147" s="17"/>
      <c r="D147" s="17"/>
      <c r="E147" s="17"/>
      <c r="F147" s="17"/>
      <c r="G147" s="17"/>
      <c r="H147" s="31"/>
      <c r="I147" s="17"/>
      <c r="J147" s="17"/>
      <c r="K147" s="31"/>
    </row>
    <row r="148" spans="1:11">
      <c r="A148" s="16"/>
      <c r="B148" s="17"/>
      <c r="C148" s="17"/>
      <c r="D148" s="17"/>
      <c r="E148" s="17"/>
      <c r="F148" s="17"/>
      <c r="G148" s="17"/>
      <c r="H148" s="31"/>
      <c r="I148" s="17"/>
      <c r="J148" s="17"/>
      <c r="K148" s="31"/>
    </row>
    <row r="149" spans="1:11">
      <c r="A149" s="16"/>
      <c r="B149" s="17"/>
      <c r="C149" s="17"/>
      <c r="D149" s="17"/>
      <c r="E149" s="17"/>
      <c r="F149" s="17"/>
      <c r="G149" s="17"/>
      <c r="H149" s="31"/>
      <c r="I149" s="17"/>
      <c r="J149" s="17"/>
      <c r="K149" s="31"/>
    </row>
    <row r="150" spans="1:11">
      <c r="A150" s="16"/>
      <c r="B150" s="17"/>
      <c r="C150" s="17"/>
      <c r="D150" s="17"/>
      <c r="E150" s="17"/>
      <c r="F150" s="17"/>
      <c r="G150" s="17"/>
      <c r="H150" s="31"/>
      <c r="I150" s="17"/>
      <c r="J150" s="17"/>
      <c r="K150" s="31"/>
    </row>
    <row r="151" spans="1:11">
      <c r="A151" s="16"/>
      <c r="B151" s="17"/>
      <c r="C151" s="17"/>
      <c r="D151" s="17"/>
      <c r="E151" s="17"/>
      <c r="F151" s="17"/>
      <c r="G151" s="17"/>
      <c r="H151" s="31"/>
      <c r="I151" s="17"/>
      <c r="J151" s="17"/>
      <c r="K151" s="31"/>
    </row>
    <row r="152" spans="1:11">
      <c r="A152" s="16"/>
      <c r="B152" s="17"/>
      <c r="C152" s="17"/>
      <c r="D152" s="17"/>
      <c r="E152" s="17"/>
      <c r="F152" s="17"/>
      <c r="G152" s="17"/>
      <c r="H152" s="31"/>
      <c r="I152" s="17"/>
      <c r="J152" s="17"/>
      <c r="K152" s="31"/>
    </row>
    <row r="153" spans="1:11">
      <c r="A153" s="16"/>
      <c r="B153" s="17"/>
      <c r="C153" s="17"/>
      <c r="D153" s="17"/>
      <c r="E153" s="17"/>
      <c r="F153" s="17"/>
      <c r="G153" s="17"/>
      <c r="H153" s="31"/>
      <c r="I153" s="17"/>
      <c r="J153" s="17"/>
      <c r="K153" s="31"/>
    </row>
    <row r="154" spans="1:11">
      <c r="A154" s="16"/>
      <c r="B154" s="17"/>
      <c r="C154" s="17"/>
      <c r="D154" s="17"/>
      <c r="E154" s="17"/>
      <c r="F154" s="17"/>
      <c r="G154" s="17"/>
      <c r="H154" s="31"/>
      <c r="I154" s="17"/>
      <c r="J154" s="17"/>
      <c r="K154" s="31"/>
    </row>
    <row r="155" spans="1:11">
      <c r="A155" s="16"/>
      <c r="B155" s="17"/>
      <c r="C155" s="17"/>
      <c r="D155" s="17"/>
      <c r="E155" s="17"/>
      <c r="F155" s="17"/>
      <c r="G155" s="17"/>
      <c r="H155" s="31"/>
      <c r="I155" s="17"/>
      <c r="J155" s="17"/>
      <c r="K155" s="31"/>
    </row>
    <row r="156" spans="1:11">
      <c r="A156" s="16"/>
      <c r="B156" s="17"/>
      <c r="C156" s="17"/>
      <c r="D156" s="17"/>
      <c r="E156" s="17"/>
      <c r="F156" s="17"/>
      <c r="G156" s="17"/>
      <c r="H156" s="31"/>
      <c r="I156" s="17"/>
      <c r="J156" s="17"/>
      <c r="K156" s="31"/>
    </row>
    <row r="157" spans="1:11">
      <c r="A157" s="16"/>
      <c r="B157" s="17"/>
      <c r="C157" s="17"/>
      <c r="D157" s="17"/>
      <c r="E157" s="17"/>
      <c r="F157" s="17"/>
      <c r="G157" s="17"/>
      <c r="H157" s="31"/>
      <c r="I157" s="17"/>
      <c r="J157" s="17"/>
      <c r="K157" s="31"/>
    </row>
    <row r="158" spans="1:11">
      <c r="A158" s="16"/>
      <c r="B158" s="17"/>
      <c r="C158" s="17"/>
      <c r="D158" s="17"/>
      <c r="E158" s="17"/>
      <c r="F158" s="17"/>
      <c r="G158" s="17"/>
      <c r="H158" s="31"/>
      <c r="I158" s="17"/>
      <c r="J158" s="17"/>
      <c r="K158" s="31"/>
    </row>
    <row r="159" spans="1:11">
      <c r="A159" s="16"/>
      <c r="B159" s="17"/>
      <c r="C159" s="17"/>
      <c r="D159" s="17"/>
      <c r="E159" s="17"/>
      <c r="F159" s="17"/>
      <c r="G159" s="17"/>
      <c r="H159" s="31"/>
      <c r="I159" s="17"/>
      <c r="J159" s="17"/>
      <c r="K159" s="31"/>
    </row>
    <row r="160" spans="1:11">
      <c r="A160" s="16"/>
      <c r="B160" s="17"/>
      <c r="C160" s="17"/>
      <c r="D160" s="17"/>
      <c r="E160" s="17"/>
      <c r="F160" s="17"/>
      <c r="G160" s="17"/>
      <c r="H160" s="31"/>
      <c r="I160" s="17"/>
      <c r="J160" s="17"/>
      <c r="K160" s="31"/>
    </row>
    <row r="161" spans="1:11">
      <c r="A161" s="16"/>
      <c r="B161" s="17"/>
      <c r="C161" s="17"/>
      <c r="D161" s="17"/>
      <c r="E161" s="17"/>
      <c r="F161" s="17"/>
      <c r="G161" s="17"/>
      <c r="H161" s="31"/>
      <c r="I161" s="17"/>
      <c r="J161" s="17"/>
      <c r="K161" s="31"/>
    </row>
    <row r="162" spans="1:11">
      <c r="A162" s="16"/>
      <c r="B162" s="17"/>
      <c r="C162" s="17"/>
      <c r="D162" s="17"/>
      <c r="E162" s="17"/>
      <c r="F162" s="17"/>
      <c r="G162" s="17"/>
      <c r="H162" s="31"/>
      <c r="I162" s="17"/>
      <c r="J162" s="17"/>
      <c r="K162" s="31"/>
    </row>
    <row r="163" spans="1:11">
      <c r="A163" s="16"/>
      <c r="B163" s="17"/>
      <c r="C163" s="17"/>
      <c r="D163" s="17"/>
      <c r="E163" s="17"/>
      <c r="F163" s="17"/>
      <c r="G163" s="17"/>
      <c r="H163" s="31"/>
      <c r="I163" s="17"/>
      <c r="J163" s="17"/>
      <c r="K163" s="31"/>
    </row>
    <row r="164" spans="1:11">
      <c r="A164" s="16"/>
      <c r="B164" s="17"/>
      <c r="C164" s="17"/>
      <c r="D164" s="17"/>
      <c r="E164" s="17"/>
      <c r="F164" s="17"/>
      <c r="G164" s="17"/>
      <c r="H164" s="31"/>
      <c r="I164" s="17"/>
      <c r="J164" s="17"/>
      <c r="K164" s="31"/>
    </row>
    <row r="165" spans="1:11">
      <c r="A165" s="16"/>
      <c r="B165" s="17"/>
      <c r="C165" s="17"/>
      <c r="D165" s="17"/>
      <c r="E165" s="17"/>
      <c r="F165" s="17"/>
      <c r="G165" s="17"/>
      <c r="H165" s="31"/>
      <c r="I165" s="17"/>
      <c r="J165" s="17"/>
      <c r="K165" s="31"/>
    </row>
    <row r="166" spans="1:11">
      <c r="A166" s="16"/>
      <c r="B166" s="17"/>
      <c r="C166" s="17"/>
      <c r="D166" s="17"/>
      <c r="E166" s="17"/>
      <c r="F166" s="17"/>
      <c r="G166" s="17"/>
      <c r="H166" s="31"/>
      <c r="I166" s="17"/>
      <c r="J166" s="17"/>
      <c r="K166" s="31"/>
    </row>
    <row r="167" spans="1:11">
      <c r="A167" s="16"/>
      <c r="B167" s="17"/>
      <c r="C167" s="17"/>
      <c r="D167" s="17"/>
      <c r="E167" s="17"/>
      <c r="F167" s="17"/>
      <c r="G167" s="17"/>
      <c r="H167" s="31"/>
      <c r="I167" s="17"/>
      <c r="J167" s="17"/>
      <c r="K167" s="31"/>
    </row>
    <row r="168" spans="1:11">
      <c r="A168" s="16"/>
      <c r="B168" s="17"/>
      <c r="C168" s="17"/>
      <c r="D168" s="17"/>
      <c r="E168" s="17"/>
      <c r="F168" s="17"/>
      <c r="G168" s="17"/>
      <c r="H168" s="31"/>
      <c r="I168" s="17"/>
      <c r="J168" s="17"/>
      <c r="K168" s="31"/>
    </row>
    <row r="169" spans="1:11">
      <c r="A169" s="16"/>
      <c r="B169" s="17"/>
      <c r="C169" s="17"/>
      <c r="D169" s="17"/>
      <c r="E169" s="17"/>
      <c r="F169" s="17"/>
      <c r="G169" s="17"/>
      <c r="H169" s="31"/>
      <c r="I169" s="17"/>
      <c r="J169" s="17"/>
      <c r="K169" s="31"/>
    </row>
    <row r="170" spans="1:11">
      <c r="A170" s="16"/>
      <c r="B170" s="17"/>
      <c r="C170" s="17"/>
      <c r="D170" s="17"/>
      <c r="E170" s="17"/>
      <c r="F170" s="17"/>
      <c r="G170" s="17"/>
      <c r="H170" s="31"/>
      <c r="I170" s="17"/>
      <c r="J170" s="17"/>
      <c r="K170" s="31"/>
    </row>
    <row r="171" spans="1:11">
      <c r="A171" s="16"/>
      <c r="B171" s="17"/>
      <c r="C171" s="17"/>
      <c r="D171" s="17"/>
      <c r="E171" s="17"/>
      <c r="F171" s="17"/>
      <c r="G171" s="17"/>
      <c r="H171" s="31"/>
      <c r="I171" s="17"/>
      <c r="J171" s="17"/>
      <c r="K171" s="31"/>
    </row>
    <row r="172" spans="1:11">
      <c r="A172" s="16"/>
      <c r="B172" s="17"/>
      <c r="C172" s="17"/>
      <c r="D172" s="17"/>
      <c r="E172" s="17"/>
      <c r="F172" s="17"/>
      <c r="G172" s="17"/>
      <c r="H172" s="31"/>
      <c r="I172" s="17"/>
      <c r="J172" s="17"/>
      <c r="K172" s="31"/>
    </row>
    <row r="173" spans="1:11">
      <c r="A173" s="16"/>
      <c r="B173" s="17"/>
      <c r="C173" s="17"/>
      <c r="D173" s="17"/>
      <c r="E173" s="17"/>
      <c r="F173" s="17"/>
      <c r="G173" s="17"/>
      <c r="H173" s="31"/>
      <c r="I173" s="17"/>
      <c r="J173" s="17"/>
      <c r="K173" s="31"/>
    </row>
    <row r="174" spans="1:11">
      <c r="A174" s="16"/>
      <c r="B174" s="17"/>
      <c r="C174" s="17"/>
      <c r="D174" s="17"/>
      <c r="E174" s="17"/>
      <c r="F174" s="17"/>
      <c r="G174" s="17"/>
      <c r="H174" s="31"/>
      <c r="I174" s="17"/>
      <c r="J174" s="17"/>
      <c r="K174" s="31"/>
    </row>
    <row r="175" spans="1:11">
      <c r="A175" s="16"/>
      <c r="B175" s="17"/>
      <c r="C175" s="17"/>
      <c r="D175" s="17"/>
      <c r="E175" s="17"/>
      <c r="F175" s="17"/>
      <c r="G175" s="17"/>
      <c r="H175" s="31"/>
      <c r="I175" s="17"/>
      <c r="J175" s="17"/>
      <c r="K175" s="31"/>
    </row>
    <row r="176" spans="1:11">
      <c r="A176" s="16"/>
      <c r="B176" s="17"/>
      <c r="C176" s="17"/>
      <c r="D176" s="17"/>
      <c r="E176" s="17"/>
      <c r="F176" s="17"/>
      <c r="G176" s="17"/>
      <c r="H176" s="31"/>
      <c r="I176" s="17"/>
      <c r="J176" s="17"/>
      <c r="K176" s="31"/>
    </row>
    <row r="177" spans="1:11">
      <c r="A177" s="16"/>
      <c r="B177" s="17"/>
      <c r="C177" s="17"/>
      <c r="D177" s="17"/>
      <c r="E177" s="17"/>
      <c r="F177" s="17"/>
      <c r="G177" s="17"/>
      <c r="H177" s="31"/>
      <c r="I177" s="17"/>
      <c r="J177" s="17"/>
      <c r="K177" s="31"/>
    </row>
    <row r="178" spans="1:11">
      <c r="A178" s="16"/>
      <c r="B178" s="17"/>
      <c r="C178" s="17"/>
      <c r="D178" s="17"/>
      <c r="E178" s="17"/>
      <c r="F178" s="17"/>
      <c r="G178" s="17"/>
      <c r="H178" s="31"/>
      <c r="I178" s="17"/>
      <c r="J178" s="17"/>
      <c r="K178" s="31"/>
    </row>
    <row r="179" spans="1:11">
      <c r="A179" s="16"/>
      <c r="B179" s="17"/>
      <c r="C179" s="17"/>
      <c r="D179" s="17"/>
      <c r="E179" s="17"/>
      <c r="F179" s="17"/>
      <c r="G179" s="17"/>
      <c r="H179" s="31"/>
      <c r="I179" s="17"/>
      <c r="J179" s="17"/>
      <c r="K179" s="31"/>
    </row>
    <row r="180" spans="1:11">
      <c r="A180" s="16"/>
      <c r="B180" s="17"/>
      <c r="C180" s="17"/>
      <c r="D180" s="17"/>
      <c r="E180" s="17"/>
      <c r="F180" s="17"/>
      <c r="G180" s="17"/>
      <c r="H180" s="31"/>
      <c r="I180" s="17"/>
      <c r="J180" s="17"/>
      <c r="K180" s="31"/>
    </row>
    <row r="181" spans="1:11">
      <c r="A181" s="16"/>
      <c r="B181" s="17"/>
      <c r="C181" s="17"/>
      <c r="D181" s="17"/>
      <c r="E181" s="17"/>
      <c r="F181" s="17"/>
      <c r="G181" s="17"/>
      <c r="H181" s="31"/>
      <c r="I181" s="17"/>
      <c r="J181" s="17"/>
      <c r="K181" s="31"/>
    </row>
    <row r="182" spans="1:11">
      <c r="A182" s="16"/>
      <c r="B182" s="17"/>
      <c r="C182" s="17"/>
      <c r="D182" s="17"/>
      <c r="E182" s="17"/>
      <c r="F182" s="17"/>
      <c r="G182" s="17"/>
      <c r="H182" s="31"/>
      <c r="I182" s="17"/>
      <c r="J182" s="17"/>
      <c r="K182" s="31"/>
    </row>
    <row r="183" spans="1:11">
      <c r="A183" s="16"/>
      <c r="B183" s="17"/>
      <c r="C183" s="17"/>
      <c r="D183" s="17"/>
      <c r="E183" s="17"/>
      <c r="F183" s="17"/>
      <c r="G183" s="17"/>
      <c r="H183" s="31"/>
      <c r="I183" s="17"/>
      <c r="J183" s="17"/>
      <c r="K183" s="31"/>
    </row>
    <row r="184" spans="1:11">
      <c r="A184" s="16"/>
      <c r="B184" s="17"/>
      <c r="C184" s="17"/>
      <c r="D184" s="17"/>
      <c r="E184" s="17"/>
      <c r="F184" s="17"/>
      <c r="G184" s="17"/>
      <c r="H184" s="31"/>
      <c r="I184" s="17"/>
      <c r="J184" s="17"/>
      <c r="K184" s="31"/>
    </row>
    <row r="185" spans="1:11">
      <c r="A185" s="16"/>
      <c r="B185" s="17"/>
      <c r="C185" s="17"/>
      <c r="D185" s="17"/>
      <c r="E185" s="17"/>
      <c r="F185" s="17"/>
      <c r="G185" s="17"/>
      <c r="H185" s="31"/>
      <c r="I185" s="17"/>
      <c r="J185" s="17"/>
      <c r="K185" s="31"/>
    </row>
    <row r="186" spans="1:11">
      <c r="A186" s="16"/>
      <c r="B186" s="17"/>
      <c r="C186" s="17"/>
      <c r="D186" s="17"/>
      <c r="E186" s="17"/>
      <c r="F186" s="17"/>
      <c r="G186" s="17"/>
      <c r="H186" s="31"/>
      <c r="I186" s="17"/>
      <c r="J186" s="17"/>
      <c r="K186" s="31"/>
    </row>
    <row r="187" spans="1:11">
      <c r="A187" s="16"/>
      <c r="B187" s="17"/>
      <c r="C187" s="17"/>
      <c r="D187" s="17"/>
      <c r="E187" s="17"/>
      <c r="F187" s="17"/>
      <c r="G187" s="17"/>
      <c r="H187" s="31"/>
      <c r="I187" s="17"/>
      <c r="J187" s="17"/>
      <c r="K187" s="31"/>
    </row>
    <row r="188" spans="1:11">
      <c r="A188" s="16"/>
      <c r="B188" s="17"/>
      <c r="C188" s="17"/>
      <c r="D188" s="17"/>
      <c r="E188" s="17"/>
      <c r="F188" s="17"/>
      <c r="G188" s="17"/>
      <c r="H188" s="31"/>
      <c r="I188" s="17"/>
      <c r="J188" s="17"/>
      <c r="K188" s="31"/>
    </row>
    <row r="189" spans="1:11">
      <c r="A189" s="16"/>
      <c r="B189" s="17"/>
      <c r="C189" s="17"/>
      <c r="D189" s="17"/>
      <c r="E189" s="17"/>
      <c r="F189" s="17"/>
      <c r="G189" s="17"/>
      <c r="H189" s="31"/>
      <c r="I189" s="17"/>
      <c r="J189" s="17"/>
      <c r="K189" s="31"/>
    </row>
    <row r="190" spans="1:11">
      <c r="A190" s="16"/>
      <c r="B190" s="17"/>
      <c r="C190" s="17"/>
      <c r="D190" s="17"/>
      <c r="E190" s="17"/>
      <c r="F190" s="17"/>
      <c r="G190" s="17"/>
      <c r="H190" s="31"/>
      <c r="I190" s="17"/>
      <c r="J190" s="17"/>
      <c r="K190" s="31"/>
    </row>
    <row r="191" spans="1:11">
      <c r="A191" s="16"/>
      <c r="B191" s="17"/>
      <c r="C191" s="17"/>
      <c r="D191" s="17"/>
      <c r="E191" s="17"/>
      <c r="F191" s="17"/>
      <c r="G191" s="17"/>
      <c r="H191" s="31"/>
      <c r="I191" s="17"/>
      <c r="J191" s="17"/>
      <c r="K191" s="31"/>
    </row>
    <row r="192" spans="1:11">
      <c r="A192" s="16"/>
      <c r="B192" s="17"/>
      <c r="C192" s="17"/>
      <c r="D192" s="17"/>
      <c r="E192" s="17"/>
      <c r="F192" s="17"/>
      <c r="G192" s="17"/>
      <c r="H192" s="31"/>
      <c r="I192" s="17"/>
      <c r="J192" s="17"/>
      <c r="K192" s="31"/>
    </row>
    <row r="193" spans="1:11">
      <c r="A193" s="16"/>
      <c r="B193" s="17"/>
      <c r="C193" s="17"/>
      <c r="D193" s="17"/>
      <c r="E193" s="17"/>
      <c r="F193" s="17"/>
      <c r="G193" s="17"/>
      <c r="H193" s="31"/>
      <c r="I193" s="17"/>
      <c r="J193" s="17"/>
      <c r="K193" s="31"/>
    </row>
    <row r="194" spans="1:11">
      <c r="A194" s="16"/>
      <c r="B194" s="17"/>
      <c r="C194" s="17"/>
      <c r="D194" s="17"/>
      <c r="E194" s="17"/>
      <c r="F194" s="17"/>
      <c r="G194" s="17"/>
      <c r="H194" s="31"/>
      <c r="I194" s="17"/>
      <c r="J194" s="17"/>
      <c r="K194" s="31"/>
    </row>
    <row r="195" spans="1:11">
      <c r="A195" s="16"/>
      <c r="B195" s="17"/>
      <c r="C195" s="17"/>
      <c r="D195" s="17"/>
      <c r="E195" s="17"/>
      <c r="F195" s="17"/>
      <c r="G195" s="17"/>
      <c r="H195" s="31"/>
      <c r="I195" s="17"/>
      <c r="J195" s="17"/>
      <c r="K195" s="31"/>
    </row>
    <row r="196" spans="1:11">
      <c r="A196" s="16"/>
      <c r="B196" s="17"/>
      <c r="C196" s="17"/>
      <c r="D196" s="17"/>
      <c r="E196" s="17"/>
      <c r="F196" s="17"/>
      <c r="G196" s="17"/>
      <c r="H196" s="31"/>
      <c r="I196" s="17"/>
      <c r="J196" s="17"/>
      <c r="K196" s="31"/>
    </row>
    <row r="197" spans="1:11">
      <c r="A197" s="16"/>
      <c r="B197" s="17"/>
      <c r="C197" s="17"/>
      <c r="D197" s="17"/>
      <c r="E197" s="17"/>
      <c r="F197" s="17"/>
      <c r="G197" s="17"/>
      <c r="H197" s="31"/>
      <c r="I197" s="17"/>
      <c r="J197" s="17"/>
      <c r="K197" s="31"/>
    </row>
    <row r="198" spans="1:11">
      <c r="A198" s="16"/>
      <c r="B198" s="17"/>
      <c r="C198" s="17"/>
      <c r="D198" s="17"/>
      <c r="E198" s="17"/>
      <c r="F198" s="17"/>
      <c r="G198" s="17"/>
      <c r="H198" s="31"/>
      <c r="I198" s="17"/>
      <c r="J198" s="17"/>
      <c r="K198" s="31"/>
    </row>
    <row r="199" spans="1:11">
      <c r="A199" s="16"/>
      <c r="B199" s="17"/>
      <c r="C199" s="17"/>
      <c r="D199" s="17"/>
      <c r="E199" s="17"/>
      <c r="F199" s="17"/>
      <c r="G199" s="17"/>
      <c r="H199" s="31"/>
      <c r="I199" s="17"/>
      <c r="J199" s="17"/>
      <c r="K199" s="31"/>
    </row>
    <row r="200" spans="1:11">
      <c r="A200" s="16"/>
      <c r="B200" s="17"/>
      <c r="C200" s="17"/>
      <c r="D200" s="17"/>
      <c r="E200" s="17"/>
      <c r="F200" s="17"/>
      <c r="G200" s="17"/>
      <c r="H200" s="31"/>
      <c r="I200" s="17"/>
      <c r="J200" s="17"/>
      <c r="K200" s="31"/>
    </row>
    <row r="201" spans="1:11">
      <c r="A201" s="16"/>
      <c r="B201" s="17"/>
      <c r="C201" s="17"/>
      <c r="D201" s="17"/>
      <c r="E201" s="17"/>
      <c r="F201" s="17"/>
      <c r="G201" s="17"/>
      <c r="H201" s="31"/>
      <c r="I201" s="17"/>
      <c r="J201" s="17"/>
      <c r="K201" s="31"/>
    </row>
    <row r="202" spans="1:11">
      <c r="A202" s="16"/>
      <c r="B202" s="17"/>
      <c r="C202" s="17"/>
      <c r="D202" s="17"/>
      <c r="E202" s="17"/>
      <c r="F202" s="17"/>
      <c r="G202" s="17"/>
      <c r="H202" s="31"/>
      <c r="I202" s="17"/>
      <c r="J202" s="17"/>
      <c r="K202" s="31"/>
    </row>
    <row r="203" spans="1:11">
      <c r="A203" s="16"/>
      <c r="B203" s="17"/>
      <c r="C203" s="17"/>
      <c r="D203" s="17"/>
      <c r="E203" s="17"/>
      <c r="F203" s="17"/>
      <c r="G203" s="17"/>
      <c r="H203" s="31"/>
      <c r="I203" s="17"/>
      <c r="J203" s="17"/>
      <c r="K203" s="31"/>
    </row>
    <row r="204" spans="1:11">
      <c r="A204" s="16"/>
      <c r="B204" s="17"/>
      <c r="C204" s="17"/>
      <c r="D204" s="17"/>
      <c r="E204" s="17"/>
      <c r="F204" s="17"/>
      <c r="G204" s="17"/>
      <c r="H204" s="31"/>
      <c r="I204" s="17"/>
      <c r="J204" s="17"/>
      <c r="K204" s="31"/>
    </row>
    <row r="205" spans="1:11">
      <c r="A205" s="16"/>
      <c r="B205" s="17"/>
      <c r="C205" s="17"/>
      <c r="D205" s="17"/>
      <c r="E205" s="17"/>
      <c r="F205" s="17"/>
      <c r="G205" s="17"/>
      <c r="H205" s="31"/>
      <c r="I205" s="17"/>
      <c r="J205" s="17"/>
      <c r="K205" s="31"/>
    </row>
    <row r="206" spans="1:11">
      <c r="A206" s="16"/>
      <c r="B206" s="17"/>
      <c r="C206" s="17"/>
      <c r="D206" s="17"/>
      <c r="E206" s="17"/>
      <c r="F206" s="17"/>
      <c r="G206" s="17"/>
      <c r="H206" s="31"/>
      <c r="I206" s="17"/>
      <c r="J206" s="17"/>
      <c r="K206" s="31"/>
    </row>
    <row r="207" spans="1:11">
      <c r="A207" s="16"/>
      <c r="B207" s="17"/>
      <c r="C207" s="17"/>
      <c r="D207" s="17"/>
      <c r="E207" s="17"/>
      <c r="F207" s="17"/>
      <c r="G207" s="17"/>
      <c r="H207" s="31"/>
      <c r="I207" s="17"/>
      <c r="J207" s="17"/>
      <c r="K207" s="31"/>
    </row>
    <row r="208" spans="1:11">
      <c r="A208" s="16"/>
      <c r="B208" s="17"/>
      <c r="C208" s="17"/>
      <c r="D208" s="17"/>
      <c r="E208" s="17"/>
      <c r="F208" s="17"/>
      <c r="G208" s="17"/>
      <c r="H208" s="31"/>
      <c r="I208" s="17"/>
      <c r="J208" s="17"/>
      <c r="K208" s="31"/>
    </row>
    <row r="209" spans="1:11">
      <c r="A209" s="16"/>
      <c r="B209" s="17"/>
      <c r="C209" s="17"/>
      <c r="D209" s="17"/>
      <c r="E209" s="17"/>
      <c r="F209" s="17"/>
      <c r="G209" s="17"/>
      <c r="H209" s="31"/>
      <c r="I209" s="17"/>
      <c r="J209" s="17"/>
      <c r="K209" s="31"/>
    </row>
    <row r="210" spans="1:11">
      <c r="A210" s="16"/>
      <c r="B210" s="17"/>
      <c r="C210" s="17"/>
      <c r="D210" s="17"/>
      <c r="E210" s="17"/>
      <c r="F210" s="17"/>
      <c r="G210" s="17"/>
      <c r="H210" s="31"/>
      <c r="I210" s="17"/>
      <c r="J210" s="17"/>
      <c r="K210" s="31"/>
    </row>
    <row r="211" spans="1:11">
      <c r="A211" s="16"/>
      <c r="B211" s="17"/>
      <c r="C211" s="17"/>
      <c r="D211" s="17"/>
      <c r="E211" s="17"/>
      <c r="F211" s="17"/>
      <c r="G211" s="17"/>
      <c r="H211" s="31"/>
      <c r="I211" s="17"/>
      <c r="J211" s="17"/>
      <c r="K211" s="31"/>
    </row>
    <row r="212" spans="1:11">
      <c r="A212" s="16"/>
      <c r="B212" s="17"/>
      <c r="C212" s="17"/>
      <c r="D212" s="17"/>
      <c r="E212" s="17"/>
      <c r="F212" s="17"/>
      <c r="G212" s="17"/>
      <c r="H212" s="31"/>
      <c r="I212" s="17"/>
      <c r="J212" s="17"/>
      <c r="K212" s="31"/>
    </row>
    <row r="213" spans="1:11">
      <c r="A213" s="16"/>
      <c r="B213" s="17"/>
      <c r="C213" s="17"/>
      <c r="D213" s="17"/>
      <c r="E213" s="17"/>
      <c r="F213" s="17"/>
      <c r="G213" s="17"/>
      <c r="H213" s="31"/>
      <c r="I213" s="17"/>
      <c r="J213" s="17"/>
      <c r="K213" s="31"/>
    </row>
    <row r="214" spans="1:11">
      <c r="A214" s="16"/>
      <c r="B214" s="17"/>
      <c r="C214" s="17"/>
      <c r="D214" s="17"/>
      <c r="E214" s="17"/>
      <c r="F214" s="17"/>
      <c r="G214" s="17"/>
      <c r="H214" s="31"/>
      <c r="I214" s="17"/>
      <c r="J214" s="17"/>
      <c r="K214" s="31"/>
    </row>
    <row r="215" spans="1:11">
      <c r="A215" s="16"/>
      <c r="B215" s="17"/>
      <c r="C215" s="17"/>
      <c r="D215" s="17"/>
      <c r="E215" s="17"/>
      <c r="F215" s="17"/>
      <c r="G215" s="17"/>
      <c r="H215" s="31"/>
      <c r="I215" s="17"/>
      <c r="J215" s="17"/>
      <c r="K215" s="31"/>
    </row>
    <row r="216" spans="1:11">
      <c r="A216" s="16"/>
      <c r="B216" s="17"/>
      <c r="C216" s="17"/>
      <c r="D216" s="17"/>
      <c r="E216" s="17"/>
      <c r="F216" s="17"/>
      <c r="G216" s="17"/>
      <c r="H216" s="31"/>
      <c r="I216" s="17"/>
      <c r="J216" s="17"/>
      <c r="K216" s="31"/>
    </row>
    <row r="217" spans="1:11">
      <c r="A217" s="16"/>
      <c r="B217" s="17"/>
      <c r="C217" s="17"/>
      <c r="D217" s="17"/>
      <c r="E217" s="17"/>
      <c r="F217" s="17"/>
      <c r="G217" s="17"/>
      <c r="H217" s="31"/>
      <c r="I217" s="17"/>
      <c r="J217" s="17"/>
      <c r="K217" s="31"/>
    </row>
    <row r="218" spans="1:11">
      <c r="A218" s="16"/>
      <c r="B218" s="17"/>
      <c r="C218" s="17"/>
      <c r="D218" s="17"/>
      <c r="E218" s="17"/>
      <c r="F218" s="17"/>
      <c r="G218" s="17"/>
      <c r="H218" s="31"/>
      <c r="I218" s="17"/>
      <c r="J218" s="17"/>
      <c r="K218" s="31"/>
    </row>
    <row r="219" spans="1:11">
      <c r="A219" s="16"/>
      <c r="B219" s="17"/>
      <c r="C219" s="17"/>
      <c r="D219" s="17"/>
      <c r="E219" s="17"/>
      <c r="F219" s="17"/>
      <c r="G219" s="17"/>
      <c r="H219" s="31"/>
      <c r="I219" s="17"/>
      <c r="J219" s="17"/>
      <c r="K219" s="31"/>
    </row>
    <row r="220" spans="1:11">
      <c r="A220" s="16"/>
      <c r="B220" s="17"/>
      <c r="C220" s="17"/>
      <c r="D220" s="17"/>
      <c r="E220" s="17"/>
      <c r="F220" s="17"/>
      <c r="G220" s="17"/>
      <c r="H220" s="31"/>
      <c r="I220" s="17"/>
      <c r="J220" s="17"/>
      <c r="K220" s="31"/>
    </row>
    <row r="221" spans="1:11">
      <c r="A221" s="16"/>
      <c r="B221" s="17"/>
      <c r="C221" s="17"/>
      <c r="D221" s="17"/>
      <c r="E221" s="17"/>
      <c r="F221" s="17"/>
      <c r="G221" s="17"/>
      <c r="H221" s="31"/>
      <c r="I221" s="17"/>
      <c r="J221" s="17"/>
      <c r="K221" s="31"/>
    </row>
    <row r="222" spans="1:11">
      <c r="A222" s="16"/>
      <c r="B222" s="17"/>
      <c r="C222" s="17"/>
      <c r="D222" s="17"/>
      <c r="E222" s="17"/>
      <c r="F222" s="17"/>
      <c r="G222" s="17"/>
      <c r="H222" s="31"/>
      <c r="I222" s="17"/>
      <c r="J222" s="17"/>
      <c r="K222" s="31"/>
    </row>
    <row r="223" spans="1:11">
      <c r="A223" s="16"/>
      <c r="B223" s="17"/>
      <c r="C223" s="17"/>
      <c r="D223" s="17"/>
      <c r="E223" s="17"/>
      <c r="F223" s="17"/>
      <c r="G223" s="17"/>
      <c r="H223" s="31"/>
      <c r="I223" s="17"/>
      <c r="J223" s="17"/>
      <c r="K223" s="31"/>
    </row>
    <row r="224" spans="1:11">
      <c r="A224" s="16"/>
      <c r="B224" s="17"/>
      <c r="C224" s="17"/>
      <c r="D224" s="17"/>
      <c r="E224" s="17"/>
      <c r="F224" s="17"/>
      <c r="G224" s="17"/>
      <c r="H224" s="31"/>
      <c r="I224" s="17"/>
      <c r="J224" s="17"/>
      <c r="K224" s="31"/>
    </row>
    <row r="225" spans="1:11">
      <c r="A225" s="16"/>
      <c r="B225" s="17"/>
      <c r="C225" s="17"/>
      <c r="D225" s="17"/>
      <c r="E225" s="17"/>
      <c r="F225" s="17"/>
      <c r="G225" s="17"/>
      <c r="H225" s="31"/>
      <c r="I225" s="17"/>
      <c r="J225" s="17"/>
      <c r="K225" s="31"/>
    </row>
    <row r="226" spans="1:11">
      <c r="A226" s="16"/>
      <c r="B226" s="17"/>
      <c r="C226" s="17"/>
      <c r="D226" s="17"/>
      <c r="E226" s="17"/>
      <c r="F226" s="17"/>
      <c r="G226" s="17"/>
      <c r="H226" s="31"/>
      <c r="I226" s="17"/>
      <c r="J226" s="17"/>
      <c r="K226" s="31"/>
    </row>
    <row r="227" spans="1:11">
      <c r="A227" s="16"/>
      <c r="B227" s="17"/>
      <c r="C227" s="17"/>
      <c r="D227" s="17"/>
      <c r="E227" s="17"/>
      <c r="F227" s="17"/>
      <c r="G227" s="17"/>
      <c r="H227" s="31"/>
      <c r="I227" s="17"/>
      <c r="J227" s="17"/>
      <c r="K227" s="31"/>
    </row>
    <row r="228" spans="1:11">
      <c r="A228" s="16"/>
      <c r="B228" s="17"/>
      <c r="C228" s="17"/>
      <c r="D228" s="17"/>
      <c r="E228" s="17"/>
      <c r="F228" s="17"/>
      <c r="G228" s="17"/>
      <c r="H228" s="31"/>
      <c r="I228" s="17"/>
      <c r="J228" s="17"/>
      <c r="K228" s="31"/>
    </row>
    <row r="229" spans="1:11">
      <c r="A229" s="16"/>
      <c r="B229" s="17"/>
      <c r="C229" s="17"/>
      <c r="D229" s="17"/>
      <c r="E229" s="17"/>
      <c r="F229" s="17"/>
      <c r="G229" s="17"/>
      <c r="H229" s="31"/>
      <c r="I229" s="17"/>
      <c r="J229" s="17"/>
      <c r="K229" s="31"/>
    </row>
    <row r="230" spans="1:11">
      <c r="A230" s="16"/>
      <c r="B230" s="17"/>
      <c r="C230" s="17"/>
      <c r="D230" s="17"/>
      <c r="E230" s="17"/>
      <c r="F230" s="17"/>
      <c r="G230" s="17"/>
      <c r="H230" s="31"/>
      <c r="I230" s="17"/>
      <c r="J230" s="17"/>
      <c r="K230" s="31"/>
    </row>
    <row r="231" spans="1:11">
      <c r="A231" s="16"/>
      <c r="B231" s="17"/>
      <c r="C231" s="17"/>
      <c r="D231" s="17"/>
      <c r="E231" s="17"/>
      <c r="F231" s="17"/>
      <c r="G231" s="17"/>
      <c r="H231" s="31"/>
      <c r="I231" s="17"/>
      <c r="J231" s="17"/>
      <c r="K231" s="31"/>
    </row>
    <row r="232" spans="1:11">
      <c r="A232" s="16"/>
      <c r="B232" s="17"/>
      <c r="C232" s="17"/>
      <c r="D232" s="17"/>
      <c r="E232" s="17"/>
      <c r="F232" s="17"/>
      <c r="G232" s="17"/>
      <c r="H232" s="31"/>
      <c r="I232" s="17"/>
      <c r="J232" s="17"/>
      <c r="K232" s="31"/>
    </row>
    <row r="233" spans="1:11">
      <c r="A233" s="16"/>
      <c r="B233" s="17"/>
      <c r="C233" s="17"/>
      <c r="D233" s="17"/>
      <c r="E233" s="17"/>
      <c r="F233" s="17"/>
      <c r="G233" s="17"/>
      <c r="H233" s="31"/>
      <c r="I233" s="17"/>
      <c r="J233" s="17"/>
      <c r="K233" s="31"/>
    </row>
    <row r="234" spans="1:11">
      <c r="A234" s="16"/>
      <c r="B234" s="17"/>
      <c r="C234" s="17"/>
      <c r="D234" s="17"/>
      <c r="E234" s="17"/>
      <c r="F234" s="17"/>
      <c r="G234" s="17"/>
      <c r="H234" s="31"/>
      <c r="I234" s="17"/>
      <c r="J234" s="17"/>
      <c r="K234" s="31"/>
    </row>
    <row r="235" spans="1:11">
      <c r="A235" s="16"/>
      <c r="B235" s="17"/>
      <c r="C235" s="17"/>
      <c r="D235" s="17"/>
      <c r="E235" s="17"/>
      <c r="F235" s="17"/>
      <c r="G235" s="17"/>
      <c r="H235" s="31"/>
      <c r="I235" s="17"/>
      <c r="J235" s="17"/>
      <c r="K235" s="31"/>
    </row>
    <row r="236" spans="1:11">
      <c r="A236" s="16"/>
      <c r="B236" s="17"/>
      <c r="C236" s="17"/>
      <c r="D236" s="17"/>
      <c r="E236" s="17"/>
      <c r="F236" s="17"/>
      <c r="G236" s="17"/>
      <c r="H236" s="31"/>
      <c r="I236" s="17"/>
      <c r="J236" s="17"/>
      <c r="K236" s="31"/>
    </row>
    <row r="237" spans="1:11">
      <c r="A237" s="16"/>
      <c r="B237" s="17"/>
      <c r="C237" s="17"/>
      <c r="D237" s="17"/>
      <c r="E237" s="17"/>
      <c r="F237" s="17"/>
      <c r="G237" s="17"/>
      <c r="H237" s="31"/>
      <c r="I237" s="17"/>
      <c r="J237" s="17"/>
      <c r="K237" s="31"/>
    </row>
    <row r="238" spans="1:11">
      <c r="A238" s="16"/>
      <c r="B238" s="17"/>
      <c r="C238" s="17"/>
      <c r="D238" s="17"/>
      <c r="E238" s="17"/>
      <c r="F238" s="17"/>
      <c r="G238" s="17"/>
      <c r="H238" s="31"/>
      <c r="I238" s="17"/>
      <c r="J238" s="17"/>
      <c r="K238" s="31"/>
    </row>
    <row r="239" spans="1:11">
      <c r="A239" s="16"/>
      <c r="B239" s="17"/>
      <c r="C239" s="17"/>
      <c r="D239" s="17"/>
      <c r="E239" s="17"/>
      <c r="F239" s="17"/>
      <c r="G239" s="17"/>
      <c r="H239" s="31"/>
      <c r="I239" s="17"/>
      <c r="J239" s="17"/>
      <c r="K239" s="31"/>
    </row>
    <row r="240" spans="1:11">
      <c r="A240" s="16"/>
      <c r="B240" s="17"/>
      <c r="C240" s="17"/>
      <c r="D240" s="17"/>
      <c r="E240" s="17"/>
      <c r="F240" s="17"/>
      <c r="G240" s="17"/>
      <c r="H240" s="31"/>
      <c r="I240" s="17"/>
      <c r="J240" s="17"/>
      <c r="K240" s="31"/>
    </row>
    <row r="241" spans="1:11">
      <c r="A241" s="16"/>
      <c r="B241" s="17"/>
      <c r="C241" s="17"/>
      <c r="D241" s="17"/>
      <c r="E241" s="17"/>
      <c r="F241" s="17"/>
      <c r="G241" s="17"/>
      <c r="H241" s="31"/>
      <c r="I241" s="17"/>
      <c r="J241" s="17"/>
      <c r="K241" s="31"/>
    </row>
    <row r="242" spans="1:11">
      <c r="A242" s="16"/>
      <c r="B242" s="17"/>
      <c r="C242" s="17"/>
      <c r="D242" s="17"/>
      <c r="E242" s="17"/>
      <c r="F242" s="17"/>
      <c r="G242" s="17"/>
      <c r="H242" s="31"/>
      <c r="I242" s="17"/>
      <c r="J242" s="17"/>
      <c r="K242" s="31"/>
    </row>
    <row r="243" spans="1:11">
      <c r="A243" s="16"/>
      <c r="B243" s="17"/>
      <c r="C243" s="17"/>
      <c r="D243" s="17"/>
      <c r="E243" s="17"/>
      <c r="F243" s="17"/>
      <c r="G243" s="17"/>
      <c r="H243" s="31"/>
      <c r="I243" s="17"/>
      <c r="J243" s="17"/>
      <c r="K243" s="31"/>
    </row>
    <row r="244" spans="1:11">
      <c r="A244" s="16"/>
      <c r="B244" s="17"/>
      <c r="C244" s="17"/>
      <c r="D244" s="17"/>
      <c r="E244" s="17"/>
      <c r="F244" s="17"/>
      <c r="G244" s="17"/>
      <c r="H244" s="31"/>
      <c r="I244" s="17"/>
      <c r="J244" s="17"/>
      <c r="K244" s="31"/>
    </row>
    <row r="245" spans="1:11">
      <c r="A245" s="16"/>
      <c r="B245" s="17"/>
      <c r="C245" s="17"/>
      <c r="D245" s="17"/>
      <c r="E245" s="17"/>
      <c r="F245" s="17"/>
      <c r="G245" s="17"/>
      <c r="H245" s="31"/>
      <c r="I245" s="17"/>
      <c r="J245" s="17"/>
      <c r="K245" s="31"/>
    </row>
    <row r="246" spans="1:11">
      <c r="A246" s="16"/>
      <c r="B246" s="17"/>
      <c r="C246" s="17"/>
      <c r="D246" s="17"/>
      <c r="E246" s="17"/>
      <c r="F246" s="17"/>
      <c r="G246" s="17"/>
      <c r="H246" s="31"/>
      <c r="I246" s="17"/>
      <c r="J246" s="17"/>
      <c r="K246" s="31"/>
    </row>
    <row r="247" spans="1:11">
      <c r="A247" s="16"/>
      <c r="B247" s="17"/>
      <c r="C247" s="17"/>
      <c r="D247" s="17"/>
      <c r="E247" s="17"/>
      <c r="F247" s="17"/>
      <c r="G247" s="17"/>
      <c r="H247" s="31"/>
      <c r="I247" s="17"/>
      <c r="J247" s="17"/>
      <c r="K247" s="31"/>
    </row>
    <row r="248" spans="1:11">
      <c r="A248" s="16"/>
      <c r="B248" s="17"/>
      <c r="C248" s="17"/>
      <c r="D248" s="17"/>
      <c r="E248" s="17"/>
      <c r="F248" s="17"/>
      <c r="G248" s="17"/>
      <c r="H248" s="31"/>
      <c r="I248" s="17"/>
      <c r="J248" s="17"/>
      <c r="K248" s="31"/>
    </row>
    <row r="249" spans="1:11">
      <c r="A249" s="16"/>
      <c r="B249" s="17"/>
      <c r="C249" s="17"/>
      <c r="D249" s="17"/>
      <c r="E249" s="17"/>
      <c r="F249" s="17"/>
      <c r="G249" s="17"/>
      <c r="H249" s="31"/>
      <c r="I249" s="17"/>
      <c r="J249" s="17"/>
      <c r="K249" s="31"/>
    </row>
    <row r="250" spans="1:11">
      <c r="A250" s="16"/>
      <c r="B250" s="17"/>
      <c r="C250" s="17"/>
      <c r="D250" s="17"/>
      <c r="E250" s="17"/>
      <c r="F250" s="17"/>
      <c r="G250" s="17"/>
      <c r="H250" s="31"/>
      <c r="I250" s="17"/>
      <c r="J250" s="17"/>
      <c r="K250" s="31"/>
    </row>
    <row r="251" spans="1:11">
      <c r="A251" s="16"/>
      <c r="B251" s="17"/>
      <c r="C251" s="17"/>
      <c r="D251" s="17"/>
      <c r="E251" s="17"/>
      <c r="F251" s="17"/>
      <c r="G251" s="17"/>
      <c r="H251" s="31"/>
      <c r="I251" s="17"/>
      <c r="J251" s="17"/>
      <c r="K251" s="31"/>
    </row>
    <row r="252" spans="1:11">
      <c r="A252" s="16"/>
      <c r="B252" s="17"/>
      <c r="C252" s="17"/>
      <c r="D252" s="17"/>
      <c r="E252" s="17"/>
      <c r="F252" s="17"/>
      <c r="G252" s="17"/>
      <c r="H252" s="31"/>
      <c r="I252" s="17"/>
      <c r="J252" s="17"/>
      <c r="K252" s="31"/>
    </row>
    <row r="253" spans="1:11">
      <c r="A253" s="16"/>
      <c r="B253" s="17"/>
      <c r="C253" s="17"/>
      <c r="D253" s="17"/>
      <c r="E253" s="17"/>
      <c r="F253" s="17"/>
      <c r="G253" s="17"/>
      <c r="H253" s="31"/>
      <c r="I253" s="17"/>
      <c r="J253" s="17"/>
      <c r="K253" s="31"/>
    </row>
    <row r="254" spans="1:11">
      <c r="A254" s="16"/>
      <c r="B254" s="17"/>
      <c r="C254" s="17"/>
      <c r="D254" s="17"/>
      <c r="E254" s="17"/>
      <c r="F254" s="17"/>
      <c r="G254" s="17"/>
      <c r="H254" s="31"/>
      <c r="I254" s="17"/>
      <c r="J254" s="17"/>
      <c r="K254" s="31"/>
    </row>
    <row r="255" spans="1:11">
      <c r="A255" s="16"/>
      <c r="B255" s="17"/>
      <c r="C255" s="17"/>
      <c r="D255" s="17"/>
      <c r="E255" s="17"/>
      <c r="F255" s="17"/>
      <c r="G255" s="17"/>
      <c r="H255" s="31"/>
      <c r="I255" s="17"/>
      <c r="J255" s="17"/>
      <c r="K255" s="31"/>
    </row>
    <row r="256" spans="1:11">
      <c r="A256" s="16"/>
      <c r="B256" s="17"/>
      <c r="C256" s="17"/>
      <c r="D256" s="17"/>
      <c r="E256" s="17"/>
      <c r="F256" s="17"/>
      <c r="G256" s="17"/>
      <c r="H256" s="31"/>
      <c r="I256" s="17"/>
      <c r="J256" s="17"/>
      <c r="K256" s="31"/>
    </row>
    <row r="257" spans="1:11">
      <c r="A257" s="16"/>
      <c r="B257" s="17"/>
      <c r="C257" s="17"/>
      <c r="D257" s="17"/>
      <c r="E257" s="17"/>
      <c r="F257" s="17"/>
      <c r="G257" s="17"/>
      <c r="H257" s="31"/>
      <c r="I257" s="17"/>
      <c r="J257" s="17"/>
      <c r="K257" s="31"/>
    </row>
    <row r="258" spans="1:11">
      <c r="A258" s="16"/>
      <c r="B258" s="17"/>
      <c r="C258" s="17"/>
      <c r="D258" s="17"/>
      <c r="E258" s="17"/>
      <c r="F258" s="17"/>
      <c r="G258" s="17"/>
      <c r="H258" s="31"/>
      <c r="I258" s="17"/>
      <c r="J258" s="17"/>
      <c r="K258" s="31"/>
    </row>
    <row r="259" spans="1:11">
      <c r="A259" s="16"/>
      <c r="B259" s="17"/>
      <c r="C259" s="17"/>
      <c r="D259" s="17"/>
      <c r="E259" s="17"/>
      <c r="F259" s="17"/>
      <c r="G259" s="17"/>
      <c r="H259" s="31"/>
      <c r="I259" s="17"/>
      <c r="J259" s="17"/>
      <c r="K259" s="31"/>
    </row>
    <row r="260" spans="1:11">
      <c r="A260" s="16"/>
      <c r="B260" s="17"/>
      <c r="C260" s="17"/>
      <c r="D260" s="17"/>
      <c r="E260" s="17"/>
      <c r="F260" s="17"/>
      <c r="G260" s="17"/>
      <c r="H260" s="31"/>
      <c r="I260" s="17"/>
      <c r="J260" s="17"/>
      <c r="K260" s="31"/>
    </row>
    <row r="261" spans="1:11">
      <c r="A261" s="16"/>
      <c r="B261" s="17"/>
      <c r="C261" s="17"/>
      <c r="D261" s="17"/>
      <c r="E261" s="17"/>
      <c r="F261" s="17"/>
      <c r="G261" s="17"/>
      <c r="H261" s="31"/>
      <c r="I261" s="17"/>
      <c r="J261" s="17"/>
      <c r="K261" s="31"/>
    </row>
    <row r="262" spans="1:11">
      <c r="A262" s="16"/>
      <c r="B262" s="17"/>
      <c r="C262" s="17"/>
      <c r="D262" s="17"/>
      <c r="E262" s="17"/>
      <c r="F262" s="17"/>
      <c r="G262" s="17"/>
      <c r="H262" s="31"/>
      <c r="I262" s="17"/>
      <c r="J262" s="17"/>
      <c r="K262" s="31"/>
    </row>
    <row r="263" spans="1:11">
      <c r="A263" s="16"/>
      <c r="B263" s="17"/>
      <c r="C263" s="17"/>
      <c r="D263" s="17"/>
      <c r="E263" s="17"/>
      <c r="F263" s="17"/>
      <c r="G263" s="17"/>
      <c r="H263" s="31"/>
      <c r="I263" s="17"/>
      <c r="J263" s="17"/>
      <c r="K263" s="31"/>
    </row>
    <row r="264" spans="1:11">
      <c r="A264" s="16"/>
      <c r="B264" s="17"/>
      <c r="C264" s="17"/>
      <c r="D264" s="17"/>
      <c r="E264" s="17"/>
      <c r="F264" s="17"/>
      <c r="G264" s="17"/>
      <c r="H264" s="31"/>
      <c r="I264" s="17"/>
      <c r="J264" s="17"/>
      <c r="K264" s="31"/>
    </row>
    <row r="265" spans="1:11">
      <c r="A265" s="16"/>
      <c r="B265" s="17"/>
      <c r="C265" s="17"/>
      <c r="D265" s="17"/>
      <c r="E265" s="17"/>
      <c r="F265" s="17"/>
      <c r="G265" s="17"/>
      <c r="H265" s="31"/>
      <c r="I265" s="17"/>
      <c r="J265" s="17"/>
      <c r="K265" s="31"/>
    </row>
    <row r="266" spans="1:11">
      <c r="A266" s="16"/>
      <c r="B266" s="17"/>
      <c r="C266" s="17"/>
      <c r="D266" s="17"/>
      <c r="E266" s="17"/>
      <c r="F266" s="17"/>
      <c r="G266" s="17"/>
      <c r="H266" s="31"/>
      <c r="I266" s="17"/>
      <c r="J266" s="17"/>
      <c r="K266" s="31"/>
    </row>
    <row r="267" spans="1:11">
      <c r="A267" s="16"/>
      <c r="B267" s="17"/>
      <c r="C267" s="17"/>
      <c r="D267" s="17"/>
      <c r="E267" s="17"/>
      <c r="F267" s="17"/>
      <c r="G267" s="17"/>
      <c r="H267" s="31"/>
    </row>
    <row r="268" spans="1:11">
      <c r="A268" s="16"/>
      <c r="B268" s="17"/>
      <c r="C268" s="17"/>
      <c r="D268" s="17"/>
      <c r="E268" s="17"/>
      <c r="F268" s="17"/>
      <c r="G268" s="17"/>
      <c r="H268" s="31"/>
    </row>
    <row r="269" spans="1:11">
      <c r="A269" s="16"/>
      <c r="B269" s="17"/>
      <c r="C269" s="17"/>
      <c r="D269" s="17"/>
      <c r="E269" s="17"/>
      <c r="F269" s="17"/>
      <c r="G269" s="17"/>
      <c r="H269" s="31"/>
    </row>
    <row r="270" spans="1:11">
      <c r="A270" s="16"/>
      <c r="B270" s="17"/>
      <c r="C270" s="17"/>
      <c r="D270" s="17"/>
      <c r="E270" s="17"/>
      <c r="F270" s="17"/>
      <c r="G270" s="17"/>
      <c r="H270" s="31"/>
    </row>
    <row r="271" spans="1:11">
      <c r="A271" s="16"/>
      <c r="B271" s="17"/>
      <c r="C271" s="17"/>
      <c r="D271" s="17"/>
      <c r="E271" s="17"/>
      <c r="F271" s="17"/>
      <c r="G271" s="17"/>
      <c r="H271" s="31"/>
    </row>
    <row r="272" spans="1:11">
      <c r="A272" s="16"/>
      <c r="B272" s="17"/>
      <c r="C272" s="17"/>
      <c r="D272" s="17"/>
      <c r="E272" s="17"/>
      <c r="F272" s="17"/>
      <c r="G272" s="17"/>
    </row>
    <row r="273" spans="1:7">
      <c r="A273" s="16"/>
      <c r="B273" s="17"/>
      <c r="C273" s="17"/>
      <c r="D273" s="17"/>
      <c r="E273" s="17"/>
      <c r="F273" s="17"/>
      <c r="G273" s="17"/>
    </row>
    <row r="274" spans="1:7">
      <c r="A274" s="16"/>
      <c r="B274" s="17"/>
      <c r="C274" s="17"/>
      <c r="D274" s="17"/>
      <c r="E274" s="17"/>
      <c r="F274" s="17"/>
      <c r="G274" s="17"/>
    </row>
    <row r="275" spans="1:7">
      <c r="A275" s="16"/>
      <c r="B275" s="17"/>
      <c r="C275" s="17"/>
      <c r="D275" s="17"/>
      <c r="E275" s="17"/>
      <c r="F275" s="17"/>
      <c r="G275" s="17"/>
    </row>
    <row r="276" spans="1:7">
      <c r="A276" s="16"/>
      <c r="B276" s="17"/>
      <c r="C276" s="17"/>
      <c r="D276" s="17"/>
      <c r="E276" s="17"/>
      <c r="F276" s="17"/>
      <c r="G276" s="17"/>
    </row>
    <row r="277" spans="1:7">
      <c r="A277" s="16"/>
      <c r="B277" s="17"/>
      <c r="C277" s="17"/>
      <c r="D277" s="17"/>
      <c r="E277" s="17"/>
      <c r="F277" s="17"/>
      <c r="G277" s="17"/>
    </row>
    <row r="278" spans="1:7">
      <c r="A278" s="16"/>
      <c r="B278" s="17"/>
      <c r="C278" s="17"/>
      <c r="D278" s="17"/>
      <c r="E278" s="17"/>
      <c r="F278" s="17"/>
      <c r="G278" s="17"/>
    </row>
    <row r="279" spans="1:7">
      <c r="A279" s="16"/>
      <c r="B279" s="17"/>
      <c r="C279" s="17"/>
      <c r="D279" s="17"/>
      <c r="E279" s="17"/>
      <c r="F279" s="17"/>
      <c r="G279" s="17"/>
    </row>
    <row r="280" spans="1:7">
      <c r="A280" s="16"/>
      <c r="B280" s="17"/>
      <c r="C280" s="17"/>
      <c r="D280" s="17"/>
      <c r="E280" s="17"/>
      <c r="F280" s="17"/>
      <c r="G280" s="17"/>
    </row>
    <row r="281" spans="1:7">
      <c r="A281" s="16"/>
      <c r="B281" s="17"/>
      <c r="C281" s="17"/>
      <c r="D281" s="17"/>
      <c r="E281" s="17"/>
      <c r="F281" s="17"/>
      <c r="G281" s="17"/>
    </row>
    <row r="282" spans="1:7">
      <c r="A282" s="16"/>
      <c r="B282" s="17"/>
      <c r="C282" s="17"/>
      <c r="D282" s="17"/>
      <c r="E282" s="17"/>
      <c r="F282" s="17"/>
      <c r="G282" s="17"/>
    </row>
    <row r="283" spans="1:7">
      <c r="A283" s="16"/>
      <c r="B283" s="17"/>
      <c r="C283" s="17"/>
      <c r="D283" s="17"/>
      <c r="E283" s="17"/>
      <c r="F283" s="17"/>
      <c r="G283" s="17"/>
    </row>
    <row r="284" spans="1:7">
      <c r="A284" s="16"/>
      <c r="B284" s="17"/>
      <c r="C284" s="17"/>
      <c r="D284" s="17"/>
      <c r="E284" s="17"/>
      <c r="F284" s="17"/>
      <c r="G284" s="17"/>
    </row>
    <row r="285" spans="1:7">
      <c r="A285" s="16"/>
      <c r="B285" s="17"/>
      <c r="C285" s="17"/>
      <c r="D285" s="17"/>
      <c r="E285" s="17"/>
      <c r="F285" s="17"/>
      <c r="G285" s="17"/>
    </row>
    <row r="286" spans="1:7">
      <c r="A286" s="16"/>
      <c r="B286" s="17"/>
      <c r="C286" s="17"/>
      <c r="D286" s="17"/>
      <c r="E286" s="17"/>
      <c r="F286" s="17"/>
      <c r="G286" s="17"/>
    </row>
    <row r="287" spans="1:7">
      <c r="A287" s="16"/>
      <c r="B287" s="17"/>
      <c r="C287" s="17"/>
      <c r="D287" s="17"/>
      <c r="E287" s="17"/>
      <c r="F287" s="17"/>
      <c r="G287" s="17"/>
    </row>
    <row r="288" spans="1:7">
      <c r="A288" s="16"/>
      <c r="B288" s="17"/>
      <c r="C288" s="17"/>
      <c r="D288" s="17"/>
      <c r="E288" s="17"/>
      <c r="F288" s="17"/>
      <c r="G288" s="17"/>
    </row>
    <row r="289" spans="1:7">
      <c r="A289" s="16"/>
      <c r="B289" s="17"/>
      <c r="C289" s="17"/>
      <c r="D289" s="17"/>
      <c r="E289" s="17"/>
      <c r="F289" s="17"/>
      <c r="G289" s="17"/>
    </row>
    <row r="290" spans="1:7">
      <c r="A290" s="16"/>
      <c r="B290" s="17"/>
      <c r="C290" s="17"/>
      <c r="D290" s="17"/>
      <c r="E290" s="17"/>
      <c r="F290" s="17"/>
      <c r="G290" s="17"/>
    </row>
    <row r="291" spans="1:7">
      <c r="A291" s="16"/>
      <c r="B291" s="17"/>
      <c r="C291" s="17"/>
      <c r="D291" s="17"/>
      <c r="E291" s="17"/>
      <c r="F291" s="17"/>
      <c r="G291" s="17"/>
    </row>
    <row r="292" spans="1:7">
      <c r="A292" s="16"/>
      <c r="B292" s="17"/>
      <c r="C292" s="17"/>
      <c r="D292" s="17"/>
      <c r="E292" s="17"/>
      <c r="F292" s="17"/>
      <c r="G292" s="17"/>
    </row>
    <row r="293" spans="1:7">
      <c r="A293" s="16"/>
      <c r="B293" s="17"/>
      <c r="C293" s="17"/>
      <c r="D293" s="17"/>
      <c r="E293" s="17"/>
      <c r="F293" s="17"/>
      <c r="G293" s="17"/>
    </row>
    <row r="294" spans="1:7">
      <c r="A294" s="16"/>
      <c r="B294" s="17"/>
      <c r="C294" s="17"/>
      <c r="D294" s="17"/>
      <c r="E294" s="17"/>
      <c r="F294" s="17"/>
      <c r="G294" s="17"/>
    </row>
    <row r="295" spans="1:7">
      <c r="A295" s="16"/>
      <c r="B295" s="17"/>
      <c r="C295" s="17"/>
      <c r="D295" s="17"/>
      <c r="E295" s="17"/>
      <c r="F295" s="17"/>
      <c r="G295" s="17"/>
    </row>
    <row r="296" spans="1:7">
      <c r="A296" s="16"/>
      <c r="B296" s="17"/>
      <c r="C296" s="17"/>
      <c r="D296" s="17"/>
      <c r="E296" s="17"/>
      <c r="F296" s="17"/>
      <c r="G296" s="17"/>
    </row>
    <row r="297" spans="1:7">
      <c r="A297" s="16"/>
      <c r="B297" s="17"/>
      <c r="C297" s="17"/>
      <c r="D297" s="17"/>
      <c r="E297" s="17"/>
      <c r="F297" s="17"/>
      <c r="G297" s="17"/>
    </row>
    <row r="298" spans="1:7">
      <c r="A298" s="16"/>
      <c r="B298" s="17"/>
      <c r="C298" s="17"/>
      <c r="D298" s="17"/>
      <c r="E298" s="17"/>
      <c r="F298" s="17"/>
      <c r="G298" s="17"/>
    </row>
    <row r="299" spans="1:7">
      <c r="A299" s="16"/>
      <c r="B299" s="17"/>
      <c r="C299" s="17"/>
      <c r="D299" s="17"/>
      <c r="E299" s="17"/>
      <c r="F299" s="17"/>
      <c r="G299" s="17"/>
    </row>
    <row r="300" spans="1:7">
      <c r="A300" s="16"/>
      <c r="B300" s="17"/>
      <c r="C300" s="17"/>
      <c r="D300" s="17"/>
      <c r="E300" s="17"/>
      <c r="F300" s="17"/>
      <c r="G300" s="17"/>
    </row>
    <row r="301" spans="1:7">
      <c r="A301" s="16"/>
      <c r="B301" s="17"/>
      <c r="C301" s="17"/>
      <c r="D301" s="17"/>
      <c r="E301" s="17"/>
      <c r="F301" s="17"/>
      <c r="G301" s="17"/>
    </row>
    <row r="302" spans="1:7">
      <c r="A302" s="16"/>
      <c r="B302" s="17"/>
      <c r="C302" s="17"/>
      <c r="D302" s="17"/>
      <c r="E302" s="17"/>
      <c r="F302" s="17"/>
      <c r="G302" s="17"/>
    </row>
    <row r="303" spans="1:7">
      <c r="A303" s="16"/>
      <c r="B303" s="17"/>
      <c r="C303" s="17"/>
      <c r="D303" s="17"/>
      <c r="E303" s="17"/>
      <c r="F303" s="17"/>
      <c r="G303" s="17"/>
    </row>
    <row r="304" spans="1:7">
      <c r="A304" s="16"/>
      <c r="B304" s="17"/>
      <c r="C304" s="17"/>
      <c r="D304" s="17"/>
      <c r="E304" s="17"/>
      <c r="F304" s="17"/>
      <c r="G304" s="17"/>
    </row>
    <row r="305" spans="1:7">
      <c r="A305" s="16"/>
      <c r="B305" s="17"/>
      <c r="C305" s="17"/>
      <c r="D305" s="17"/>
      <c r="E305" s="17"/>
      <c r="F305" s="17"/>
      <c r="G305" s="17"/>
    </row>
    <row r="306" spans="1:7">
      <c r="A306" s="16"/>
      <c r="B306" s="17"/>
      <c r="C306" s="17"/>
      <c r="D306" s="17"/>
      <c r="E306" s="17"/>
      <c r="F306" s="17"/>
      <c r="G306" s="17"/>
    </row>
    <row r="307" spans="1:7">
      <c r="A307" s="16"/>
      <c r="B307" s="17"/>
      <c r="C307" s="17"/>
      <c r="D307" s="17"/>
      <c r="E307" s="17"/>
      <c r="F307" s="17"/>
      <c r="G307" s="17"/>
    </row>
    <row r="308" spans="1:7">
      <c r="A308" s="16"/>
      <c r="B308" s="17"/>
      <c r="C308" s="17"/>
      <c r="D308" s="17"/>
      <c r="E308" s="17"/>
      <c r="F308" s="17"/>
      <c r="G308" s="17"/>
    </row>
    <row r="309" spans="1:7">
      <c r="A309" s="16"/>
      <c r="B309" s="17"/>
      <c r="C309" s="17"/>
      <c r="D309" s="17"/>
      <c r="E309" s="17"/>
      <c r="F309" s="17"/>
      <c r="G309" s="17"/>
    </row>
    <row r="310" spans="1:7">
      <c r="A310" s="16"/>
      <c r="B310" s="17"/>
      <c r="C310" s="17"/>
      <c r="D310" s="17"/>
      <c r="E310" s="17"/>
      <c r="F310" s="17"/>
      <c r="G310" s="17"/>
    </row>
    <row r="311" spans="1:7">
      <c r="A311" s="16"/>
      <c r="B311" s="17"/>
      <c r="C311" s="17"/>
      <c r="D311" s="17"/>
      <c r="E311" s="17"/>
      <c r="F311" s="17"/>
      <c r="G311" s="17"/>
    </row>
    <row r="312" spans="1:7">
      <c r="A312" s="16"/>
      <c r="B312" s="17"/>
      <c r="C312" s="17"/>
      <c r="D312" s="17"/>
      <c r="E312" s="17"/>
      <c r="F312" s="17"/>
      <c r="G312" s="17"/>
    </row>
    <row r="313" spans="1:7">
      <c r="A313" s="16"/>
      <c r="B313" s="17"/>
      <c r="C313" s="17"/>
      <c r="D313" s="17"/>
      <c r="E313" s="17"/>
      <c r="F313" s="17"/>
      <c r="G313" s="17"/>
    </row>
    <row r="314" spans="1:7">
      <c r="A314" s="16"/>
      <c r="B314" s="17"/>
      <c r="C314" s="17"/>
      <c r="D314" s="17"/>
      <c r="E314" s="17"/>
      <c r="F314" s="17"/>
      <c r="G314" s="17"/>
    </row>
    <row r="315" spans="1:7">
      <c r="A315" s="16"/>
      <c r="B315" s="17"/>
      <c r="C315" s="17"/>
      <c r="D315" s="17"/>
      <c r="E315" s="17"/>
      <c r="F315" s="17"/>
      <c r="G315" s="17"/>
    </row>
    <row r="316" spans="1:7">
      <c r="A316" s="16"/>
      <c r="B316" s="17"/>
      <c r="C316" s="17"/>
      <c r="D316" s="17"/>
      <c r="E316" s="17"/>
      <c r="F316" s="17"/>
      <c r="G316" s="17"/>
    </row>
    <row r="317" spans="1:7">
      <c r="A317" s="16"/>
      <c r="B317" s="17"/>
      <c r="C317" s="17"/>
      <c r="D317" s="17"/>
      <c r="E317" s="17"/>
      <c r="F317" s="17"/>
      <c r="G317" s="17"/>
    </row>
    <row r="318" spans="1:7">
      <c r="A318" s="16"/>
      <c r="B318" s="17"/>
      <c r="C318" s="17"/>
      <c r="D318" s="17"/>
      <c r="E318" s="17"/>
      <c r="F318" s="17"/>
      <c r="G318" s="17"/>
    </row>
    <row r="319" spans="1:7">
      <c r="A319" s="16"/>
      <c r="B319" s="17"/>
      <c r="C319" s="17"/>
      <c r="D319" s="17"/>
      <c r="E319" s="17"/>
      <c r="F319" s="17"/>
      <c r="G319" s="17"/>
    </row>
    <row r="320" spans="1:7">
      <c r="A320" s="16"/>
      <c r="B320" s="17"/>
      <c r="C320" s="17"/>
      <c r="D320" s="17"/>
      <c r="E320" s="17"/>
      <c r="F320" s="17"/>
      <c r="G320" s="17"/>
    </row>
    <row r="321" spans="1:7">
      <c r="A321" s="16"/>
      <c r="B321" s="17"/>
      <c r="C321" s="17"/>
      <c r="D321" s="17"/>
      <c r="E321" s="17"/>
      <c r="F321" s="17"/>
      <c r="G321" s="17"/>
    </row>
    <row r="322" spans="1:7">
      <c r="A322" s="16"/>
      <c r="B322" s="17"/>
      <c r="C322" s="17"/>
      <c r="D322" s="17"/>
      <c r="E322" s="17"/>
      <c r="F322" s="17"/>
      <c r="G322" s="17"/>
    </row>
    <row r="323" spans="1:7">
      <c r="A323" s="16"/>
      <c r="B323" s="17"/>
      <c r="C323" s="17"/>
      <c r="D323" s="17"/>
      <c r="E323" s="17"/>
      <c r="F323" s="17"/>
      <c r="G323" s="17"/>
    </row>
    <row r="324" spans="1:7">
      <c r="A324" s="16"/>
      <c r="B324" s="17"/>
      <c r="C324" s="17"/>
      <c r="D324" s="17"/>
      <c r="E324" s="17"/>
      <c r="F324" s="17"/>
      <c r="G324" s="17"/>
    </row>
    <row r="325" spans="1:7">
      <c r="A325" s="16"/>
      <c r="B325" s="17"/>
      <c r="C325" s="17"/>
      <c r="D325" s="17"/>
      <c r="E325" s="17"/>
      <c r="F325" s="17"/>
      <c r="G325" s="17"/>
    </row>
    <row r="326" spans="1:7">
      <c r="A326" s="16"/>
      <c r="B326" s="17"/>
      <c r="C326" s="17"/>
      <c r="D326" s="17"/>
      <c r="E326" s="17"/>
      <c r="F326" s="17"/>
      <c r="G326" s="17"/>
    </row>
    <row r="327" spans="1:7">
      <c r="A327" s="16"/>
      <c r="B327" s="17"/>
      <c r="C327" s="17"/>
      <c r="D327" s="17"/>
      <c r="E327" s="17"/>
      <c r="F327" s="17"/>
      <c r="G327" s="17"/>
    </row>
    <row r="328" spans="1:7">
      <c r="A328" s="16"/>
      <c r="B328" s="17"/>
      <c r="C328" s="17"/>
      <c r="D328" s="17"/>
      <c r="E328" s="17"/>
      <c r="F328" s="17"/>
      <c r="G328" s="17"/>
    </row>
    <row r="329" spans="1:7">
      <c r="A329" s="16"/>
      <c r="B329" s="17"/>
      <c r="C329" s="17"/>
      <c r="D329" s="17"/>
      <c r="E329" s="17"/>
      <c r="F329" s="17"/>
      <c r="G329" s="17"/>
    </row>
    <row r="330" spans="1:7">
      <c r="A330" s="16"/>
      <c r="B330" s="17"/>
      <c r="C330" s="17"/>
      <c r="D330" s="17"/>
      <c r="E330" s="17"/>
      <c r="F330" s="17"/>
      <c r="G330" s="17"/>
    </row>
    <row r="331" spans="1:7">
      <c r="A331" s="16"/>
      <c r="B331" s="17"/>
      <c r="C331" s="17"/>
      <c r="D331" s="17"/>
      <c r="E331" s="17"/>
      <c r="F331" s="17"/>
      <c r="G331" s="17"/>
    </row>
    <row r="332" spans="1:7">
      <c r="A332" s="16"/>
      <c r="B332" s="17"/>
      <c r="C332" s="17"/>
      <c r="D332" s="17"/>
      <c r="E332" s="17"/>
      <c r="F332" s="17"/>
      <c r="G332" s="17"/>
    </row>
    <row r="333" spans="1:7">
      <c r="A333" s="16"/>
      <c r="B333" s="17"/>
      <c r="C333" s="17"/>
      <c r="D333" s="17"/>
      <c r="E333" s="17"/>
      <c r="F333" s="17"/>
      <c r="G333" s="17"/>
    </row>
    <row r="334" spans="1:7">
      <c r="A334" s="16"/>
      <c r="B334" s="17"/>
      <c r="C334" s="17"/>
      <c r="D334" s="17"/>
      <c r="E334" s="17"/>
      <c r="F334" s="17"/>
      <c r="G334" s="17"/>
    </row>
    <row r="335" spans="1:7">
      <c r="A335" s="16"/>
      <c r="B335" s="17"/>
      <c r="C335" s="17"/>
      <c r="D335" s="17"/>
      <c r="E335" s="17"/>
      <c r="F335" s="17"/>
      <c r="G335" s="17"/>
    </row>
    <row r="336" spans="1:7">
      <c r="A336" s="16"/>
      <c r="B336" s="17"/>
      <c r="C336" s="17"/>
      <c r="D336" s="17"/>
      <c r="E336" s="17"/>
      <c r="F336" s="17"/>
      <c r="G336" s="17"/>
    </row>
    <row r="337" spans="1:7">
      <c r="A337" s="16"/>
      <c r="B337" s="17"/>
      <c r="C337" s="17"/>
      <c r="D337" s="17"/>
      <c r="E337" s="17"/>
      <c r="F337" s="17"/>
      <c r="G337" s="17"/>
    </row>
    <row r="338" spans="1:7">
      <c r="A338" s="16"/>
      <c r="B338" s="17"/>
      <c r="C338" s="17"/>
      <c r="D338" s="17"/>
      <c r="E338" s="17"/>
      <c r="F338" s="17"/>
      <c r="G338" s="17"/>
    </row>
    <row r="339" spans="1:7">
      <c r="A339" s="16"/>
      <c r="B339" s="17"/>
      <c r="C339" s="17"/>
      <c r="D339" s="17"/>
      <c r="E339" s="17"/>
      <c r="F339" s="17"/>
      <c r="G339" s="17"/>
    </row>
    <row r="340" spans="1:7">
      <c r="A340" s="16"/>
      <c r="B340" s="17"/>
      <c r="C340" s="17"/>
      <c r="D340" s="17"/>
      <c r="E340" s="17"/>
      <c r="F340" s="17"/>
      <c r="G340" s="17"/>
    </row>
    <row r="341" spans="1:7">
      <c r="A341" s="16"/>
      <c r="B341" s="17"/>
      <c r="C341" s="17"/>
      <c r="D341" s="17"/>
      <c r="E341" s="17"/>
      <c r="F341" s="17"/>
      <c r="G341" s="17"/>
    </row>
    <row r="342" spans="1:7">
      <c r="A342" s="16"/>
      <c r="B342" s="17"/>
      <c r="C342" s="17"/>
      <c r="D342" s="17"/>
      <c r="E342" s="17"/>
      <c r="F342" s="17"/>
      <c r="G342" s="17"/>
    </row>
    <row r="343" spans="1:7">
      <c r="A343" s="16"/>
      <c r="B343" s="17"/>
      <c r="C343" s="17"/>
      <c r="D343" s="17"/>
      <c r="E343" s="17"/>
      <c r="F343" s="17"/>
      <c r="G343" s="17"/>
    </row>
    <row r="344" spans="1:7">
      <c r="A344" s="16"/>
      <c r="B344" s="17"/>
      <c r="C344" s="17"/>
      <c r="D344" s="17"/>
      <c r="E344" s="17"/>
      <c r="F344" s="17"/>
      <c r="G344" s="17"/>
    </row>
    <row r="345" spans="1:7">
      <c r="A345" s="16"/>
      <c r="B345" s="17"/>
      <c r="C345" s="17"/>
      <c r="D345" s="17"/>
      <c r="E345" s="17"/>
      <c r="F345" s="17"/>
      <c r="G345" s="17"/>
    </row>
    <row r="346" spans="1:7">
      <c r="A346" s="16"/>
      <c r="B346" s="17"/>
      <c r="C346" s="17"/>
      <c r="D346" s="17"/>
      <c r="E346" s="17"/>
      <c r="F346" s="17"/>
      <c r="G346" s="17"/>
    </row>
    <row r="347" spans="1:7">
      <c r="A347" s="16"/>
      <c r="B347" s="17"/>
      <c r="C347" s="17"/>
      <c r="D347" s="17"/>
      <c r="E347" s="17"/>
      <c r="F347" s="17"/>
      <c r="G347" s="17"/>
    </row>
    <row r="348" spans="1:7">
      <c r="A348" s="16"/>
      <c r="B348" s="17"/>
      <c r="C348" s="17"/>
      <c r="D348" s="17"/>
      <c r="E348" s="17"/>
      <c r="F348" s="17"/>
      <c r="G348" s="17"/>
    </row>
    <row r="349" spans="1:7">
      <c r="A349" s="16"/>
      <c r="B349" s="17"/>
      <c r="C349" s="17"/>
      <c r="D349" s="17"/>
      <c r="E349" s="17"/>
      <c r="F349" s="17"/>
      <c r="G349" s="17"/>
    </row>
    <row r="350" spans="1:7">
      <c r="A350" s="16"/>
      <c r="B350" s="17"/>
      <c r="C350" s="17"/>
      <c r="D350" s="17"/>
      <c r="E350" s="17"/>
      <c r="F350" s="17"/>
      <c r="G350" s="17"/>
    </row>
    <row r="351" spans="1:7">
      <c r="A351" s="16"/>
      <c r="B351" s="17"/>
      <c r="C351" s="17"/>
      <c r="D351" s="17"/>
      <c r="E351" s="17"/>
      <c r="F351" s="17"/>
      <c r="G351" s="17"/>
    </row>
    <row r="352" spans="1:7">
      <c r="A352" s="16"/>
      <c r="B352" s="17"/>
      <c r="C352" s="17"/>
      <c r="D352" s="17"/>
      <c r="E352" s="17"/>
      <c r="F352" s="17"/>
      <c r="G352" s="17"/>
    </row>
    <row r="353" spans="1:7">
      <c r="A353" s="16"/>
      <c r="B353" s="17"/>
      <c r="C353" s="17"/>
      <c r="D353" s="17"/>
      <c r="E353" s="17"/>
      <c r="F353" s="17"/>
      <c r="G353" s="17"/>
    </row>
    <row r="354" spans="1:7">
      <c r="A354" s="16"/>
      <c r="B354" s="17"/>
      <c r="C354" s="17"/>
      <c r="D354" s="17"/>
      <c r="E354" s="17"/>
      <c r="F354" s="17"/>
      <c r="G354" s="17"/>
    </row>
    <row r="355" spans="1:7">
      <c r="A355" s="16"/>
      <c r="B355" s="17"/>
      <c r="C355" s="17"/>
      <c r="D355" s="17"/>
      <c r="E355" s="17"/>
      <c r="F355" s="17"/>
      <c r="G355" s="17"/>
    </row>
    <row r="356" spans="1:7">
      <c r="A356" s="16"/>
      <c r="B356" s="17"/>
      <c r="C356" s="17"/>
      <c r="D356" s="17"/>
      <c r="E356" s="17"/>
      <c r="F356" s="17"/>
      <c r="G356" s="17"/>
    </row>
    <row r="357" spans="1:7">
      <c r="A357" s="16"/>
      <c r="B357" s="17"/>
      <c r="C357" s="17"/>
      <c r="D357" s="17"/>
      <c r="E357" s="17"/>
      <c r="F357" s="17"/>
      <c r="G357" s="17"/>
    </row>
    <row r="358" spans="1:7">
      <c r="A358" s="16"/>
      <c r="B358" s="17"/>
      <c r="C358" s="17"/>
      <c r="D358" s="17"/>
      <c r="E358" s="17"/>
      <c r="F358" s="17"/>
      <c r="G358" s="17"/>
    </row>
    <row r="359" spans="1:7">
      <c r="A359" s="16"/>
      <c r="B359" s="17"/>
      <c r="C359" s="17"/>
      <c r="D359" s="17"/>
      <c r="E359" s="17"/>
      <c r="F359" s="17"/>
      <c r="G359" s="17"/>
    </row>
    <row r="360" spans="1:7">
      <c r="A360" s="16"/>
      <c r="B360" s="17"/>
      <c r="C360" s="17"/>
      <c r="D360" s="17"/>
      <c r="E360" s="17"/>
      <c r="F360" s="17"/>
      <c r="G360" s="17"/>
    </row>
    <row r="361" spans="1:7">
      <c r="A361" s="16"/>
      <c r="B361" s="17"/>
      <c r="C361" s="17"/>
      <c r="D361" s="17"/>
      <c r="E361" s="17"/>
      <c r="F361" s="17"/>
      <c r="G361" s="17"/>
    </row>
    <row r="362" spans="1:7">
      <c r="A362" s="16"/>
      <c r="B362" s="17"/>
      <c r="C362" s="17"/>
      <c r="D362" s="17"/>
      <c r="E362" s="17"/>
      <c r="F362" s="17"/>
      <c r="G362" s="17"/>
    </row>
    <row r="363" spans="1:7">
      <c r="A363" s="16"/>
      <c r="B363" s="17"/>
      <c r="C363" s="17"/>
      <c r="D363" s="17"/>
      <c r="E363" s="17"/>
      <c r="F363" s="17"/>
      <c r="G363" s="17"/>
    </row>
    <row r="364" spans="1:7">
      <c r="A364" s="16"/>
      <c r="B364" s="17"/>
      <c r="C364" s="17"/>
      <c r="D364" s="17"/>
      <c r="E364" s="17"/>
      <c r="F364" s="17"/>
      <c r="G364" s="17"/>
    </row>
    <row r="365" spans="1:7">
      <c r="A365" s="16"/>
      <c r="B365" s="17"/>
      <c r="C365" s="17"/>
      <c r="D365" s="17"/>
      <c r="E365" s="17"/>
      <c r="F365" s="17"/>
      <c r="G365" s="17"/>
    </row>
    <row r="366" spans="1:7">
      <c r="A366" s="16"/>
      <c r="B366" s="17"/>
      <c r="C366" s="17"/>
      <c r="D366" s="17"/>
      <c r="E366" s="17"/>
      <c r="F366" s="17"/>
      <c r="G366" s="17"/>
    </row>
    <row r="367" spans="1:7">
      <c r="A367" s="16"/>
      <c r="B367" s="17"/>
      <c r="C367" s="17"/>
      <c r="D367" s="17"/>
      <c r="E367" s="17"/>
      <c r="F367" s="17"/>
      <c r="G367" s="17"/>
    </row>
    <row r="368" spans="1:7">
      <c r="A368" s="16"/>
      <c r="B368" s="17"/>
      <c r="C368" s="17"/>
      <c r="D368" s="17"/>
      <c r="E368" s="17"/>
      <c r="F368" s="17"/>
      <c r="G368" s="17"/>
    </row>
    <row r="369" spans="1:7">
      <c r="A369" s="16"/>
      <c r="B369" s="17"/>
      <c r="C369" s="17"/>
      <c r="D369" s="17"/>
      <c r="E369" s="17"/>
      <c r="F369" s="17"/>
      <c r="G369" s="17"/>
    </row>
    <row r="370" spans="1:7">
      <c r="A370" s="16"/>
      <c r="B370" s="17"/>
      <c r="C370" s="17"/>
      <c r="D370" s="17"/>
      <c r="E370" s="17"/>
      <c r="F370" s="17"/>
      <c r="G370" s="17"/>
    </row>
    <row r="371" spans="1:7">
      <c r="A371" s="16"/>
      <c r="B371" s="17"/>
      <c r="C371" s="17"/>
      <c r="D371" s="17"/>
      <c r="E371" s="17"/>
      <c r="F371" s="17"/>
      <c r="G371" s="17"/>
    </row>
    <row r="372" spans="1:7">
      <c r="A372" s="16"/>
      <c r="B372" s="17"/>
      <c r="C372" s="17"/>
      <c r="D372" s="17"/>
      <c r="E372" s="17"/>
      <c r="F372" s="17"/>
      <c r="G372" s="17"/>
    </row>
    <row r="373" spans="1:7">
      <c r="A373" s="16"/>
      <c r="B373" s="17"/>
      <c r="C373" s="17"/>
      <c r="D373" s="17"/>
      <c r="E373" s="17"/>
      <c r="F373" s="17"/>
      <c r="G373" s="17"/>
    </row>
    <row r="374" spans="1:7">
      <c r="A374" s="16"/>
      <c r="B374" s="17"/>
      <c r="C374" s="17"/>
      <c r="D374" s="17"/>
      <c r="E374" s="17"/>
      <c r="F374" s="17"/>
      <c r="G374" s="17"/>
    </row>
    <row r="375" spans="1:7">
      <c r="A375" s="16"/>
      <c r="B375" s="17"/>
      <c r="C375" s="17"/>
      <c r="D375" s="17"/>
      <c r="E375" s="17"/>
      <c r="F375" s="17"/>
      <c r="G375" s="17"/>
    </row>
    <row r="376" spans="1:7">
      <c r="A376" s="16"/>
      <c r="B376" s="17"/>
      <c r="C376" s="17"/>
      <c r="D376" s="17"/>
      <c r="E376" s="17"/>
      <c r="F376" s="17"/>
      <c r="G376" s="17"/>
    </row>
    <row r="377" spans="1:7">
      <c r="A377" s="16"/>
      <c r="B377" s="17"/>
      <c r="C377" s="17"/>
      <c r="D377" s="17"/>
      <c r="E377" s="17"/>
      <c r="F377" s="17"/>
      <c r="G377" s="17"/>
    </row>
    <row r="378" spans="1:7">
      <c r="A378" s="16"/>
      <c r="B378" s="17"/>
      <c r="C378" s="17"/>
      <c r="D378" s="17"/>
      <c r="E378" s="17"/>
      <c r="F378" s="17"/>
      <c r="G378" s="17"/>
    </row>
    <row r="379" spans="1:7">
      <c r="A379" s="16"/>
      <c r="B379" s="17"/>
      <c r="C379" s="17"/>
      <c r="D379" s="17"/>
      <c r="E379" s="17"/>
      <c r="F379" s="17"/>
      <c r="G379" s="17"/>
    </row>
    <row r="380" spans="1:7">
      <c r="A380" s="16"/>
      <c r="B380" s="17"/>
      <c r="C380" s="17"/>
      <c r="D380" s="17"/>
      <c r="E380" s="17"/>
      <c r="F380" s="17"/>
      <c r="G380" s="17"/>
    </row>
    <row r="381" spans="1:7">
      <c r="A381" s="16"/>
      <c r="B381" s="17"/>
      <c r="C381" s="17"/>
      <c r="D381" s="17"/>
      <c r="E381" s="17"/>
      <c r="F381" s="17"/>
      <c r="G381" s="17"/>
    </row>
    <row r="382" spans="1:7">
      <c r="A382" s="16"/>
      <c r="B382" s="17"/>
      <c r="C382" s="17"/>
      <c r="D382" s="17"/>
      <c r="E382" s="17"/>
      <c r="F382" s="17"/>
      <c r="G382" s="17"/>
    </row>
    <row r="383" spans="1:7">
      <c r="A383" s="16"/>
      <c r="B383" s="17"/>
      <c r="C383" s="17"/>
      <c r="D383" s="17"/>
      <c r="E383" s="17"/>
      <c r="F383" s="17"/>
      <c r="G383" s="17"/>
    </row>
    <row r="384" spans="1:7">
      <c r="A384" s="16"/>
      <c r="B384" s="17"/>
      <c r="C384" s="17"/>
      <c r="D384" s="17"/>
      <c r="E384" s="17"/>
      <c r="F384" s="17"/>
      <c r="G384" s="17"/>
    </row>
    <row r="385" spans="1:7">
      <c r="A385" s="16"/>
      <c r="B385" s="17"/>
      <c r="C385" s="17"/>
      <c r="D385" s="17"/>
      <c r="E385" s="17"/>
      <c r="F385" s="17"/>
      <c r="G385" s="17"/>
    </row>
    <row r="386" spans="1:7">
      <c r="A386" s="16"/>
      <c r="B386" s="17"/>
      <c r="C386" s="17"/>
      <c r="D386" s="17"/>
      <c r="E386" s="17"/>
      <c r="F386" s="17"/>
      <c r="G386" s="17"/>
    </row>
    <row r="387" spans="1:7">
      <c r="A387" s="16"/>
      <c r="B387" s="17"/>
      <c r="C387" s="17"/>
      <c r="D387" s="17"/>
      <c r="E387" s="17"/>
      <c r="F387" s="17"/>
      <c r="G387" s="17"/>
    </row>
    <row r="388" spans="1:7">
      <c r="A388" s="16"/>
      <c r="B388" s="17"/>
      <c r="C388" s="17"/>
      <c r="D388" s="17"/>
      <c r="E388" s="17"/>
      <c r="F388" s="17"/>
      <c r="G388" s="17"/>
    </row>
    <row r="389" spans="1:7">
      <c r="A389" s="16"/>
      <c r="B389" s="17"/>
      <c r="C389" s="17"/>
      <c r="D389" s="17"/>
      <c r="E389" s="17"/>
      <c r="F389" s="17"/>
      <c r="G389" s="17"/>
    </row>
    <row r="390" spans="1:7">
      <c r="A390" s="16"/>
      <c r="B390" s="17"/>
      <c r="C390" s="17"/>
      <c r="D390" s="17"/>
      <c r="E390" s="17"/>
      <c r="F390" s="17"/>
      <c r="G390" s="17"/>
    </row>
    <row r="391" spans="1:7">
      <c r="A391" s="16"/>
      <c r="B391" s="17"/>
      <c r="C391" s="17"/>
      <c r="D391" s="17"/>
      <c r="E391" s="17"/>
      <c r="F391" s="17"/>
      <c r="G391" s="17"/>
    </row>
    <row r="392" spans="1:7">
      <c r="A392" s="16"/>
      <c r="B392" s="17"/>
      <c r="C392" s="17"/>
      <c r="D392" s="17"/>
      <c r="E392" s="17"/>
      <c r="F392" s="17"/>
      <c r="G392" s="17"/>
    </row>
    <row r="393" spans="1:7">
      <c r="A393" s="16"/>
      <c r="B393" s="17"/>
      <c r="C393" s="17"/>
      <c r="D393" s="17"/>
      <c r="E393" s="17"/>
      <c r="F393" s="17"/>
      <c r="G393" s="17"/>
    </row>
    <row r="394" spans="1:7">
      <c r="A394" s="16"/>
      <c r="B394" s="17"/>
      <c r="C394" s="17"/>
      <c r="D394" s="17"/>
      <c r="E394" s="17"/>
      <c r="F394" s="17"/>
      <c r="G394" s="17"/>
    </row>
    <row r="395" spans="1:7">
      <c r="A395" s="16"/>
      <c r="B395" s="17"/>
      <c r="C395" s="17"/>
      <c r="D395" s="17"/>
      <c r="E395" s="17"/>
      <c r="F395" s="17"/>
      <c r="G395" s="17"/>
    </row>
    <row r="396" spans="1:7">
      <c r="A396" s="16"/>
      <c r="B396" s="17"/>
      <c r="C396" s="17"/>
      <c r="D396" s="17"/>
      <c r="E396" s="17"/>
      <c r="F396" s="17"/>
      <c r="G396" s="17"/>
    </row>
    <row r="397" spans="1:7">
      <c r="A397" s="16"/>
      <c r="B397" s="17"/>
      <c r="C397" s="17"/>
      <c r="D397" s="17"/>
      <c r="E397" s="17"/>
      <c r="F397" s="17"/>
      <c r="G397" s="17"/>
    </row>
    <row r="398" spans="1:7">
      <c r="A398" s="16"/>
      <c r="B398" s="17"/>
      <c r="C398" s="17"/>
      <c r="D398" s="17"/>
      <c r="E398" s="17"/>
      <c r="F398" s="17"/>
      <c r="G398" s="17"/>
    </row>
    <row r="399" spans="1:7">
      <c r="A399" s="16"/>
      <c r="B399" s="17"/>
      <c r="C399" s="17"/>
      <c r="D399" s="17"/>
      <c r="E399" s="17"/>
      <c r="F399" s="17"/>
      <c r="G399" s="17"/>
    </row>
    <row r="400" spans="1:7">
      <c r="A400" s="16"/>
      <c r="B400" s="17"/>
      <c r="C400" s="17"/>
      <c r="D400" s="17"/>
      <c r="E400" s="17"/>
      <c r="F400" s="17"/>
      <c r="G400" s="17"/>
    </row>
    <row r="401" spans="1:7">
      <c r="A401" s="16"/>
      <c r="B401" s="17"/>
      <c r="C401" s="17"/>
      <c r="D401" s="17"/>
      <c r="E401" s="17"/>
      <c r="F401" s="17"/>
      <c r="G401" s="17"/>
    </row>
    <row r="402" spans="1:7">
      <c r="A402" s="16"/>
      <c r="B402" s="17"/>
      <c r="C402" s="17"/>
      <c r="D402" s="17"/>
      <c r="E402" s="17"/>
      <c r="F402" s="17"/>
      <c r="G402" s="17"/>
    </row>
    <row r="403" spans="1:7">
      <c r="A403" s="16"/>
      <c r="B403" s="17"/>
      <c r="C403" s="17"/>
      <c r="D403" s="17"/>
      <c r="E403" s="17"/>
      <c r="F403" s="17"/>
      <c r="G403" s="17"/>
    </row>
    <row r="404" spans="1:7">
      <c r="A404" s="16"/>
      <c r="B404" s="17"/>
      <c r="C404" s="17"/>
      <c r="D404" s="17"/>
      <c r="E404" s="17"/>
      <c r="F404" s="17"/>
      <c r="G404" s="17"/>
    </row>
    <row r="405" spans="1:7">
      <c r="A405" s="16"/>
      <c r="B405" s="17"/>
      <c r="C405" s="17"/>
      <c r="D405" s="17"/>
      <c r="E405" s="17"/>
      <c r="F405" s="17"/>
      <c r="G405" s="17"/>
    </row>
    <row r="406" spans="1:7">
      <c r="A406" s="16"/>
      <c r="B406" s="17"/>
      <c r="C406" s="17"/>
      <c r="D406" s="17"/>
      <c r="E406" s="17"/>
      <c r="F406" s="17"/>
      <c r="G406" s="17"/>
    </row>
    <row r="407" spans="1:7">
      <c r="A407" s="16"/>
      <c r="B407" s="17"/>
      <c r="C407" s="17"/>
      <c r="D407" s="17"/>
      <c r="E407" s="17"/>
      <c r="F407" s="17"/>
      <c r="G407" s="17"/>
    </row>
    <row r="408" spans="1:7">
      <c r="A408" s="16"/>
      <c r="B408" s="17"/>
      <c r="C408" s="17"/>
      <c r="D408" s="17"/>
      <c r="E408" s="17"/>
      <c r="F408" s="17"/>
      <c r="G408" s="17"/>
    </row>
    <row r="409" spans="1:7">
      <c r="A409" s="16"/>
      <c r="B409" s="17"/>
      <c r="C409" s="17"/>
      <c r="D409" s="17"/>
      <c r="E409" s="17"/>
      <c r="F409" s="17"/>
      <c r="G409" s="17"/>
    </row>
    <row r="410" spans="1:7">
      <c r="A410" s="16"/>
      <c r="B410" s="17"/>
      <c r="C410" s="17"/>
      <c r="D410" s="17"/>
      <c r="E410" s="17"/>
      <c r="F410" s="17"/>
      <c r="G410" s="17"/>
    </row>
    <row r="411" spans="1:7">
      <c r="A411" s="16"/>
      <c r="B411" s="17"/>
      <c r="C411" s="17"/>
      <c r="D411" s="17"/>
      <c r="E411" s="17"/>
      <c r="F411" s="17"/>
      <c r="G411" s="17"/>
    </row>
    <row r="412" spans="1:7">
      <c r="A412" s="16"/>
      <c r="B412" s="17"/>
      <c r="C412" s="17"/>
      <c r="D412" s="17"/>
      <c r="E412" s="17"/>
      <c r="F412" s="17"/>
      <c r="G412" s="17"/>
    </row>
    <row r="413" spans="1:7">
      <c r="A413" s="16"/>
      <c r="B413" s="17"/>
      <c r="C413" s="17"/>
      <c r="D413" s="17"/>
      <c r="E413" s="17"/>
      <c r="F413" s="17"/>
      <c r="G413" s="17"/>
    </row>
    <row r="414" spans="1:7">
      <c r="A414" s="16"/>
      <c r="B414" s="17"/>
      <c r="C414" s="17"/>
      <c r="D414" s="17"/>
      <c r="E414" s="17"/>
      <c r="F414" s="17"/>
      <c r="G414" s="17"/>
    </row>
    <row r="415" spans="1:7">
      <c r="A415" s="16"/>
      <c r="B415" s="17"/>
      <c r="C415" s="17"/>
      <c r="D415" s="17"/>
      <c r="E415" s="17"/>
      <c r="F415" s="17"/>
      <c r="G415" s="17"/>
    </row>
    <row r="416" spans="1:7">
      <c r="A416" s="16"/>
      <c r="B416" s="17"/>
      <c r="C416" s="17"/>
      <c r="D416" s="17"/>
      <c r="E416" s="17"/>
      <c r="F416" s="17"/>
      <c r="G416" s="17"/>
    </row>
    <row r="417" spans="1:7">
      <c r="A417" s="16"/>
      <c r="B417" s="17"/>
      <c r="C417" s="17"/>
      <c r="D417" s="17"/>
      <c r="E417" s="17"/>
      <c r="F417" s="17"/>
      <c r="G417" s="17"/>
    </row>
    <row r="418" spans="1:7">
      <c r="A418" s="16"/>
      <c r="B418" s="17"/>
      <c r="C418" s="17"/>
      <c r="D418" s="17"/>
      <c r="E418" s="17"/>
      <c r="F418" s="17"/>
      <c r="G418" s="17"/>
    </row>
    <row r="419" spans="1:7">
      <c r="A419" s="16"/>
      <c r="B419" s="17"/>
      <c r="C419" s="17"/>
      <c r="D419" s="17"/>
      <c r="E419" s="17"/>
      <c r="F419" s="17"/>
      <c r="G419" s="17"/>
    </row>
    <row r="420" spans="1:7">
      <c r="A420" s="16"/>
      <c r="B420" s="17"/>
      <c r="C420" s="17"/>
      <c r="D420" s="17"/>
      <c r="E420" s="17"/>
      <c r="F420" s="17"/>
      <c r="G420" s="17"/>
    </row>
    <row r="421" spans="1:7">
      <c r="A421" s="16"/>
      <c r="B421" s="17"/>
      <c r="C421" s="17"/>
      <c r="D421" s="17"/>
      <c r="E421" s="17"/>
      <c r="F421" s="17"/>
      <c r="G421" s="17"/>
    </row>
    <row r="422" spans="1:7">
      <c r="A422" s="16"/>
      <c r="B422" s="17"/>
      <c r="C422" s="17"/>
      <c r="D422" s="17"/>
      <c r="E422" s="17"/>
      <c r="F422" s="17"/>
      <c r="G422" s="17"/>
    </row>
    <row r="423" spans="1:7">
      <c r="A423" s="16"/>
      <c r="B423" s="17"/>
      <c r="C423" s="17"/>
      <c r="D423" s="17"/>
      <c r="E423" s="17"/>
      <c r="F423" s="17"/>
      <c r="G423" s="17"/>
    </row>
    <row r="424" spans="1:7">
      <c r="A424" s="16"/>
      <c r="B424" s="17"/>
      <c r="C424" s="17"/>
      <c r="D424" s="17"/>
      <c r="E424" s="17"/>
      <c r="F424" s="17"/>
      <c r="G424" s="17"/>
    </row>
    <row r="425" spans="1:7">
      <c r="A425" s="16"/>
      <c r="B425" s="17"/>
      <c r="C425" s="17"/>
      <c r="D425" s="17"/>
      <c r="E425" s="17"/>
      <c r="F425" s="17"/>
      <c r="G425" s="17"/>
    </row>
    <row r="426" spans="1:7">
      <c r="A426" s="16"/>
      <c r="B426" s="17"/>
      <c r="C426" s="17"/>
      <c r="D426" s="17"/>
      <c r="E426" s="17"/>
      <c r="F426" s="17"/>
      <c r="G426" s="17"/>
    </row>
    <row r="427" spans="1:7">
      <c r="A427" s="16"/>
      <c r="B427" s="17"/>
      <c r="C427" s="17"/>
      <c r="D427" s="17"/>
      <c r="E427" s="17"/>
      <c r="F427" s="17"/>
      <c r="G427" s="17"/>
    </row>
    <row r="428" spans="1:7">
      <c r="A428" s="16"/>
      <c r="B428" s="17"/>
      <c r="C428" s="17"/>
      <c r="D428" s="17"/>
      <c r="E428" s="17"/>
      <c r="F428" s="17"/>
      <c r="G428" s="17"/>
    </row>
    <row r="429" spans="1:7">
      <c r="A429" s="16"/>
      <c r="B429" s="17"/>
      <c r="C429" s="17"/>
      <c r="D429" s="17"/>
      <c r="E429" s="17"/>
      <c r="F429" s="17"/>
      <c r="G429" s="17"/>
    </row>
    <row r="430" spans="1:7">
      <c r="A430" s="16"/>
      <c r="B430" s="17"/>
      <c r="C430" s="17"/>
      <c r="D430" s="17"/>
      <c r="E430" s="17"/>
      <c r="F430" s="17"/>
      <c r="G430" s="17"/>
    </row>
    <row r="431" spans="1:7">
      <c r="A431" s="16"/>
      <c r="B431" s="17"/>
      <c r="C431" s="17"/>
      <c r="D431" s="17"/>
      <c r="E431" s="17"/>
      <c r="F431" s="17"/>
      <c r="G431" s="17"/>
    </row>
    <row r="432" spans="1:7">
      <c r="A432" s="16"/>
      <c r="B432" s="17"/>
      <c r="C432" s="17"/>
      <c r="D432" s="17"/>
      <c r="E432" s="17"/>
      <c r="F432" s="17"/>
      <c r="G432" s="17"/>
    </row>
    <row r="433" spans="1:7">
      <c r="A433" s="16"/>
      <c r="B433" s="17"/>
      <c r="C433" s="17"/>
      <c r="D433" s="17"/>
      <c r="E433" s="17"/>
      <c r="F433" s="17"/>
      <c r="G433" s="17"/>
    </row>
    <row r="434" spans="1:7">
      <c r="A434" s="16"/>
      <c r="B434" s="17"/>
      <c r="C434" s="17"/>
      <c r="D434" s="17"/>
      <c r="E434" s="17"/>
      <c r="F434" s="17"/>
      <c r="G434" s="17"/>
    </row>
    <row r="435" spans="1:7">
      <c r="A435" s="16"/>
      <c r="B435" s="17"/>
      <c r="C435" s="17"/>
      <c r="D435" s="17"/>
      <c r="E435" s="17"/>
      <c r="F435" s="17"/>
      <c r="G435" s="17"/>
    </row>
    <row r="436" spans="1:7">
      <c r="A436" s="16"/>
      <c r="B436" s="17"/>
      <c r="C436" s="17"/>
      <c r="D436" s="17"/>
      <c r="E436" s="17"/>
      <c r="F436" s="17"/>
      <c r="G436" s="17"/>
    </row>
    <row r="437" spans="1:7">
      <c r="A437" s="16"/>
      <c r="B437" s="17"/>
      <c r="C437" s="17"/>
      <c r="D437" s="17"/>
      <c r="E437" s="17"/>
      <c r="F437" s="17"/>
      <c r="G437" s="17"/>
    </row>
    <row r="438" spans="1:7">
      <c r="A438" s="16"/>
      <c r="B438" s="17"/>
      <c r="C438" s="17"/>
      <c r="D438" s="17"/>
      <c r="E438" s="17"/>
      <c r="F438" s="17"/>
      <c r="G438" s="17"/>
    </row>
    <row r="439" spans="1:7">
      <c r="A439" s="16"/>
      <c r="B439" s="17"/>
      <c r="C439" s="17"/>
      <c r="D439" s="17"/>
      <c r="E439" s="17"/>
      <c r="F439" s="17"/>
      <c r="G439" s="17"/>
    </row>
    <row r="440" spans="1:7">
      <c r="A440" s="16"/>
      <c r="B440" s="17"/>
      <c r="C440" s="17"/>
      <c r="D440" s="17"/>
      <c r="E440" s="17"/>
      <c r="F440" s="17"/>
      <c r="G440" s="17"/>
    </row>
    <row r="441" spans="1:7">
      <c r="A441" s="16"/>
      <c r="B441" s="17"/>
      <c r="C441" s="17"/>
      <c r="D441" s="17"/>
      <c r="E441" s="17"/>
      <c r="F441" s="17"/>
      <c r="G441" s="17"/>
    </row>
    <row r="442" spans="1:7">
      <c r="A442" s="16"/>
      <c r="B442" s="17"/>
      <c r="C442" s="17"/>
      <c r="D442" s="17"/>
      <c r="E442" s="17"/>
      <c r="F442" s="17"/>
      <c r="G442" s="17"/>
    </row>
    <row r="443" spans="1:7">
      <c r="A443" s="16"/>
      <c r="B443" s="17"/>
      <c r="C443" s="17"/>
      <c r="D443" s="17"/>
      <c r="E443" s="17"/>
      <c r="F443" s="17"/>
      <c r="G443" s="17"/>
    </row>
    <row r="444" spans="1:7">
      <c r="A444" s="16"/>
      <c r="B444" s="17"/>
      <c r="C444" s="17"/>
      <c r="D444" s="17"/>
      <c r="E444" s="17"/>
      <c r="F444" s="17"/>
      <c r="G444" s="17"/>
    </row>
    <row r="445" spans="1:7">
      <c r="A445" s="16"/>
      <c r="B445" s="17"/>
      <c r="C445" s="17"/>
      <c r="D445" s="17"/>
      <c r="E445" s="17"/>
      <c r="F445" s="17"/>
      <c r="G445" s="17"/>
    </row>
    <row r="446" spans="1:7">
      <c r="A446" s="16"/>
      <c r="B446" s="17"/>
      <c r="C446" s="17"/>
      <c r="D446" s="17"/>
      <c r="E446" s="17"/>
      <c r="F446" s="17"/>
      <c r="G446" s="17"/>
    </row>
    <row r="447" spans="1:7">
      <c r="A447" s="16"/>
      <c r="B447" s="17"/>
      <c r="C447" s="17"/>
      <c r="D447" s="17"/>
      <c r="E447" s="17"/>
      <c r="F447" s="17"/>
      <c r="G447" s="17"/>
    </row>
    <row r="448" spans="1:7">
      <c r="A448" s="16"/>
      <c r="B448" s="17"/>
      <c r="C448" s="17"/>
      <c r="D448" s="17"/>
      <c r="E448" s="17"/>
      <c r="F448" s="17"/>
      <c r="G448" s="17"/>
    </row>
    <row r="449" spans="1:7">
      <c r="A449" s="16"/>
      <c r="B449" s="17"/>
      <c r="C449" s="17"/>
      <c r="D449" s="17"/>
      <c r="E449" s="17"/>
      <c r="F449" s="17"/>
      <c r="G449" s="17"/>
    </row>
    <row r="450" spans="1:7">
      <c r="A450" s="16"/>
      <c r="B450" s="17"/>
      <c r="C450" s="17"/>
      <c r="D450" s="17"/>
      <c r="E450" s="17"/>
      <c r="F450" s="17"/>
      <c r="G450" s="17"/>
    </row>
    <row r="451" spans="1:7">
      <c r="A451" s="16"/>
      <c r="B451" s="17"/>
      <c r="C451" s="17"/>
      <c r="D451" s="17"/>
      <c r="E451" s="17"/>
      <c r="F451" s="17"/>
      <c r="G451" s="17"/>
    </row>
    <row r="452" spans="1:7">
      <c r="A452" s="16"/>
      <c r="B452" s="17"/>
      <c r="C452" s="17"/>
      <c r="D452" s="17"/>
      <c r="E452" s="17"/>
      <c r="F452" s="17"/>
      <c r="G452" s="17"/>
    </row>
    <row r="453" spans="1:7">
      <c r="A453" s="16"/>
      <c r="B453" s="17"/>
      <c r="C453" s="17"/>
      <c r="D453" s="17"/>
      <c r="E453" s="17"/>
      <c r="F453" s="17"/>
      <c r="G453" s="17"/>
    </row>
    <row r="454" spans="1:7">
      <c r="A454" s="16"/>
      <c r="B454" s="17"/>
      <c r="C454" s="17"/>
      <c r="D454" s="17"/>
      <c r="E454" s="17"/>
      <c r="F454" s="17"/>
      <c r="G454" s="17"/>
    </row>
    <row r="455" spans="1:7">
      <c r="A455" s="16"/>
      <c r="B455" s="17"/>
      <c r="C455" s="17"/>
      <c r="D455" s="17"/>
      <c r="E455" s="17"/>
      <c r="F455" s="17"/>
      <c r="G455" s="17"/>
    </row>
    <row r="456" spans="1:7">
      <c r="A456" s="16"/>
      <c r="B456" s="17"/>
      <c r="C456" s="17"/>
      <c r="D456" s="17"/>
      <c r="E456" s="17"/>
      <c r="F456" s="17"/>
      <c r="G456" s="17"/>
    </row>
    <row r="457" spans="1:7">
      <c r="A457" s="16"/>
      <c r="B457" s="17"/>
      <c r="C457" s="17"/>
      <c r="D457" s="17"/>
      <c r="E457" s="17"/>
      <c r="F457" s="17"/>
      <c r="G457" s="17"/>
    </row>
    <row r="458" spans="1:7">
      <c r="A458" s="16"/>
      <c r="B458" s="17"/>
      <c r="C458" s="17"/>
      <c r="D458" s="17"/>
      <c r="E458" s="17"/>
      <c r="F458" s="17"/>
      <c r="G458" s="17"/>
    </row>
    <row r="459" spans="1:7">
      <c r="A459" s="16"/>
      <c r="B459" s="17"/>
      <c r="C459" s="17"/>
      <c r="D459" s="17"/>
      <c r="E459" s="17"/>
      <c r="F459" s="17"/>
      <c r="G459" s="17"/>
    </row>
    <row r="460" spans="1:7">
      <c r="A460" s="16"/>
      <c r="B460" s="17"/>
      <c r="C460" s="17"/>
      <c r="D460" s="17"/>
      <c r="E460" s="17"/>
      <c r="F460" s="17"/>
      <c r="G460" s="17"/>
    </row>
    <row r="461" spans="1:7">
      <c r="A461" s="16"/>
      <c r="B461" s="17"/>
      <c r="C461" s="17"/>
      <c r="D461" s="17"/>
      <c r="E461" s="17"/>
      <c r="F461" s="17"/>
      <c r="G461" s="17"/>
    </row>
    <row r="462" spans="1:7">
      <c r="A462" s="16"/>
      <c r="B462" s="17"/>
      <c r="C462" s="17"/>
      <c r="D462" s="17"/>
      <c r="E462" s="17"/>
      <c r="F462" s="17"/>
      <c r="G462" s="17"/>
    </row>
    <row r="463" spans="1:7">
      <c r="A463" s="16"/>
      <c r="B463" s="17"/>
      <c r="C463" s="17"/>
      <c r="D463" s="17"/>
      <c r="E463" s="17"/>
      <c r="F463" s="17"/>
      <c r="G463" s="17"/>
    </row>
    <row r="464" spans="1:7">
      <c r="A464" s="16"/>
      <c r="B464" s="17"/>
      <c r="C464" s="17"/>
      <c r="D464" s="17"/>
      <c r="E464" s="17"/>
      <c r="F464" s="17"/>
      <c r="G464" s="17"/>
    </row>
    <row r="465" spans="1:7">
      <c r="A465" s="16"/>
      <c r="B465" s="17"/>
      <c r="C465" s="17"/>
      <c r="D465" s="17"/>
      <c r="E465" s="17"/>
      <c r="F465" s="17"/>
      <c r="G465" s="17"/>
    </row>
    <row r="466" spans="1:7">
      <c r="A466" s="16"/>
      <c r="B466" s="17"/>
      <c r="C466" s="17"/>
      <c r="D466" s="17"/>
      <c r="E466" s="17"/>
      <c r="F466" s="17"/>
      <c r="G466" s="17"/>
    </row>
    <row r="467" spans="1:7">
      <c r="A467" s="16"/>
      <c r="B467" s="17"/>
      <c r="C467" s="17"/>
      <c r="D467" s="17"/>
      <c r="E467" s="17"/>
      <c r="F467" s="17"/>
      <c r="G467" s="17"/>
    </row>
    <row r="468" spans="1:7">
      <c r="A468" s="16"/>
      <c r="B468" s="17"/>
      <c r="C468" s="17"/>
      <c r="D468" s="17"/>
      <c r="E468" s="17"/>
      <c r="F468" s="17"/>
      <c r="G468" s="17"/>
    </row>
    <row r="469" spans="1:7">
      <c r="A469" s="16"/>
      <c r="B469" s="17"/>
      <c r="C469" s="17"/>
      <c r="D469" s="17"/>
      <c r="E469" s="17"/>
      <c r="F469" s="17"/>
      <c r="G469" s="17"/>
    </row>
    <row r="470" spans="1:7">
      <c r="A470" s="16"/>
      <c r="B470" s="17"/>
      <c r="C470" s="17"/>
      <c r="D470" s="17"/>
      <c r="E470" s="17"/>
      <c r="F470" s="17"/>
      <c r="G470" s="17"/>
    </row>
    <row r="471" spans="1:7">
      <c r="A471" s="16"/>
      <c r="B471" s="17"/>
      <c r="C471" s="17"/>
      <c r="D471" s="17"/>
      <c r="E471" s="17"/>
      <c r="F471" s="17"/>
      <c r="G471" s="17"/>
    </row>
    <row r="472" spans="1:7">
      <c r="A472" s="16"/>
      <c r="B472" s="17"/>
      <c r="C472" s="17"/>
      <c r="D472" s="17"/>
      <c r="E472" s="17"/>
      <c r="F472" s="17"/>
      <c r="G472" s="17"/>
    </row>
    <row r="473" spans="1:7">
      <c r="A473" s="16"/>
      <c r="B473" s="17"/>
      <c r="C473" s="17"/>
      <c r="D473" s="17"/>
      <c r="E473" s="17"/>
      <c r="F473" s="17"/>
      <c r="G473" s="17"/>
    </row>
    <row r="474" spans="1:7">
      <c r="A474" s="16"/>
      <c r="B474" s="17"/>
      <c r="C474" s="17"/>
      <c r="D474" s="17"/>
      <c r="E474" s="17"/>
      <c r="F474" s="17"/>
      <c r="G474" s="17"/>
    </row>
    <row r="475" spans="1:7">
      <c r="A475" s="16"/>
      <c r="B475" s="17"/>
      <c r="C475" s="17"/>
      <c r="D475" s="17"/>
      <c r="E475" s="17"/>
      <c r="F475" s="17"/>
      <c r="G475" s="17"/>
    </row>
    <row r="476" spans="1:7">
      <c r="A476" s="16"/>
      <c r="B476" s="17"/>
      <c r="C476" s="17"/>
      <c r="D476" s="17"/>
      <c r="E476" s="17"/>
      <c r="F476" s="17"/>
      <c r="G476" s="17"/>
    </row>
    <row r="477" spans="1:7">
      <c r="A477" s="16"/>
      <c r="B477" s="17"/>
      <c r="C477" s="17"/>
      <c r="D477" s="17"/>
      <c r="E477" s="17"/>
      <c r="F477" s="17"/>
      <c r="G477" s="17"/>
    </row>
    <row r="478" spans="1:7">
      <c r="A478" s="16"/>
      <c r="B478" s="17"/>
      <c r="C478" s="17"/>
      <c r="D478" s="17"/>
      <c r="E478" s="17"/>
      <c r="F478" s="17"/>
      <c r="G478" s="17"/>
    </row>
    <row r="479" spans="1:7">
      <c r="A479" s="16"/>
      <c r="B479" s="17"/>
      <c r="C479" s="17"/>
      <c r="D479" s="17"/>
      <c r="E479" s="17"/>
      <c r="F479" s="17"/>
      <c r="G479" s="17"/>
    </row>
    <row r="480" spans="1:7">
      <c r="A480" s="16"/>
      <c r="B480" s="17"/>
      <c r="C480" s="17"/>
      <c r="D480" s="17"/>
      <c r="E480" s="17"/>
      <c r="F480" s="17"/>
      <c r="G480" s="17"/>
    </row>
    <row r="481" spans="1:7">
      <c r="A481" s="16"/>
      <c r="B481" s="17"/>
      <c r="C481" s="17"/>
      <c r="D481" s="17"/>
      <c r="E481" s="17"/>
      <c r="F481" s="17"/>
      <c r="G481" s="17"/>
    </row>
    <row r="482" spans="1:7">
      <c r="A482" s="16"/>
      <c r="B482" s="17"/>
      <c r="C482" s="17"/>
      <c r="D482" s="17"/>
      <c r="E482" s="17"/>
      <c r="F482" s="17"/>
      <c r="G482" s="17"/>
    </row>
    <row r="483" spans="1:7">
      <c r="A483" s="16"/>
      <c r="B483" s="17"/>
      <c r="C483" s="17"/>
      <c r="D483" s="17"/>
      <c r="E483" s="17"/>
      <c r="F483" s="17"/>
      <c r="G483" s="17"/>
    </row>
    <row r="484" spans="1:7">
      <c r="A484" s="16"/>
      <c r="B484" s="17"/>
      <c r="C484" s="17"/>
      <c r="D484" s="17"/>
      <c r="E484" s="17"/>
      <c r="F484" s="17"/>
      <c r="G484" s="17"/>
    </row>
    <row r="485" spans="1:7">
      <c r="A485" s="16"/>
      <c r="B485" s="17"/>
      <c r="C485" s="17"/>
      <c r="D485" s="17"/>
      <c r="E485" s="17"/>
      <c r="F485" s="17"/>
      <c r="G485" s="17"/>
    </row>
    <row r="486" spans="1:7">
      <c r="A486" s="16"/>
      <c r="B486" s="17"/>
      <c r="C486" s="17"/>
      <c r="D486" s="17"/>
      <c r="E486" s="17"/>
      <c r="F486" s="17"/>
      <c r="G486" s="17"/>
    </row>
    <row r="487" spans="1:7">
      <c r="A487" s="16"/>
      <c r="B487" s="17"/>
      <c r="C487" s="17"/>
      <c r="D487" s="17"/>
      <c r="E487" s="17"/>
      <c r="F487" s="17"/>
      <c r="G487" s="17"/>
    </row>
    <row r="488" spans="1:7">
      <c r="A488" s="16"/>
      <c r="B488" s="17"/>
      <c r="C488" s="17"/>
      <c r="D488" s="17"/>
      <c r="E488" s="17"/>
      <c r="F488" s="17"/>
      <c r="G488" s="17"/>
    </row>
    <row r="489" spans="1:7">
      <c r="A489" s="16"/>
      <c r="B489" s="17"/>
      <c r="C489" s="17"/>
      <c r="D489" s="17"/>
      <c r="E489" s="17"/>
      <c r="F489" s="17"/>
      <c r="G489" s="17"/>
    </row>
    <row r="490" spans="1:7">
      <c r="A490" s="16"/>
      <c r="B490" s="17"/>
      <c r="C490" s="17"/>
      <c r="D490" s="17"/>
      <c r="E490" s="17"/>
      <c r="F490" s="17"/>
      <c r="G490" s="17"/>
    </row>
    <row r="491" spans="1:7">
      <c r="A491" s="16"/>
      <c r="B491" s="17"/>
      <c r="C491" s="17"/>
      <c r="D491" s="17"/>
      <c r="E491" s="17"/>
      <c r="F491" s="17"/>
      <c r="G491" s="17"/>
    </row>
    <row r="492" spans="1:7">
      <c r="A492" s="16"/>
      <c r="B492" s="17"/>
      <c r="C492" s="17"/>
      <c r="D492" s="17"/>
      <c r="E492" s="17"/>
      <c r="F492" s="17"/>
      <c r="G492" s="17"/>
    </row>
    <row r="493" spans="1:7">
      <c r="A493" s="16"/>
      <c r="B493" s="17"/>
      <c r="C493" s="17"/>
      <c r="D493" s="17"/>
      <c r="E493" s="17"/>
      <c r="F493" s="17"/>
      <c r="G493" s="17"/>
    </row>
    <row r="494" spans="1:7">
      <c r="A494" s="16"/>
      <c r="B494" s="17"/>
      <c r="C494" s="17"/>
      <c r="D494" s="17"/>
      <c r="E494" s="17"/>
      <c r="F494" s="17"/>
      <c r="G494" s="17"/>
    </row>
    <row r="495" spans="1:7">
      <c r="A495" s="16"/>
      <c r="B495" s="17"/>
      <c r="C495" s="17"/>
      <c r="D495" s="17"/>
      <c r="E495" s="17"/>
      <c r="F495" s="17"/>
      <c r="G495" s="17"/>
    </row>
    <row r="496" spans="1:7">
      <c r="A496" s="16"/>
      <c r="B496" s="17"/>
      <c r="C496" s="17"/>
      <c r="D496" s="17"/>
      <c r="E496" s="17"/>
      <c r="F496" s="17"/>
      <c r="G496" s="17"/>
    </row>
    <row r="497" spans="1:7">
      <c r="A497" s="16"/>
      <c r="B497" s="17"/>
      <c r="C497" s="17"/>
      <c r="D497" s="17"/>
      <c r="E497" s="17"/>
      <c r="F497" s="17"/>
      <c r="G497" s="17"/>
    </row>
    <row r="498" spans="1:7">
      <c r="A498" s="16"/>
      <c r="B498" s="17"/>
      <c r="C498" s="17"/>
      <c r="D498" s="17"/>
      <c r="E498" s="17"/>
      <c r="F498" s="17"/>
      <c r="G498" s="17"/>
    </row>
    <row r="499" spans="1:7">
      <c r="A499" s="16"/>
      <c r="B499" s="17"/>
      <c r="C499" s="17"/>
      <c r="D499" s="17"/>
      <c r="E499" s="17"/>
      <c r="F499" s="17"/>
      <c r="G499" s="17"/>
    </row>
    <row r="500" spans="1:7">
      <c r="A500" s="16"/>
      <c r="B500" s="17"/>
      <c r="C500" s="17"/>
      <c r="D500" s="17"/>
      <c r="E500" s="17"/>
      <c r="F500" s="17"/>
      <c r="G500" s="17"/>
    </row>
    <row r="501" spans="1:7">
      <c r="A501" s="16"/>
      <c r="B501" s="17"/>
      <c r="C501" s="17"/>
      <c r="D501" s="17"/>
      <c r="E501" s="17"/>
      <c r="F501" s="17"/>
      <c r="G501" s="17"/>
    </row>
    <row r="502" spans="1:7">
      <c r="A502" s="16"/>
      <c r="B502" s="17"/>
      <c r="C502" s="17"/>
      <c r="D502" s="17"/>
      <c r="E502" s="17"/>
      <c r="F502" s="17"/>
      <c r="G502" s="17"/>
    </row>
    <row r="503" spans="1:7">
      <c r="A503" s="16"/>
      <c r="B503" s="17"/>
      <c r="C503" s="17"/>
      <c r="D503" s="17"/>
      <c r="E503" s="17"/>
      <c r="F503" s="17"/>
      <c r="G503" s="17"/>
    </row>
    <row r="504" spans="1:7">
      <c r="A504" s="16"/>
      <c r="B504" s="17"/>
      <c r="C504" s="17"/>
      <c r="D504" s="17"/>
      <c r="E504" s="17"/>
      <c r="F504" s="17"/>
      <c r="G504" s="17"/>
    </row>
    <row r="505" spans="1:7">
      <c r="A505" s="16"/>
      <c r="B505" s="17"/>
      <c r="C505" s="17"/>
      <c r="D505" s="17"/>
      <c r="E505" s="17"/>
      <c r="F505" s="17"/>
      <c r="G505" s="17"/>
    </row>
    <row r="506" spans="1:7">
      <c r="A506" s="16"/>
      <c r="B506" s="17"/>
      <c r="C506" s="17"/>
      <c r="D506" s="17"/>
      <c r="E506" s="17"/>
      <c r="F506" s="17"/>
      <c r="G506" s="17"/>
    </row>
    <row r="507" spans="1:7">
      <c r="A507" s="16"/>
      <c r="B507" s="17"/>
      <c r="C507" s="17"/>
      <c r="D507" s="17"/>
      <c r="E507" s="17"/>
      <c r="F507" s="17"/>
      <c r="G507" s="17"/>
    </row>
    <row r="508" spans="1:7">
      <c r="A508" s="16"/>
      <c r="B508" s="17"/>
      <c r="C508" s="17"/>
      <c r="D508" s="17"/>
      <c r="E508" s="17"/>
      <c r="F508" s="17"/>
      <c r="G508" s="17"/>
    </row>
    <row r="509" spans="1:7">
      <c r="A509" s="16"/>
      <c r="B509" s="17"/>
      <c r="C509" s="17"/>
      <c r="D509" s="17"/>
      <c r="E509" s="17"/>
      <c r="F509" s="17"/>
      <c r="G509" s="17"/>
    </row>
    <row r="510" spans="1:7">
      <c r="A510" s="16"/>
      <c r="B510" s="17"/>
      <c r="C510" s="17"/>
      <c r="D510" s="17"/>
      <c r="E510" s="17"/>
      <c r="F510" s="17"/>
      <c r="G510" s="17"/>
    </row>
    <row r="511" spans="1:7">
      <c r="A511" s="16"/>
      <c r="B511" s="17"/>
      <c r="C511" s="17"/>
      <c r="D511" s="17"/>
      <c r="E511" s="17"/>
      <c r="F511" s="17"/>
      <c r="G511" s="17"/>
    </row>
    <row r="512" spans="1:7">
      <c r="A512" s="16"/>
      <c r="B512" s="17"/>
      <c r="C512" s="17"/>
      <c r="D512" s="17"/>
      <c r="E512" s="17"/>
      <c r="F512" s="17"/>
      <c r="G512" s="17"/>
    </row>
    <row r="513" spans="1:7">
      <c r="A513" s="16"/>
      <c r="B513" s="17"/>
      <c r="C513" s="17"/>
      <c r="D513" s="17"/>
      <c r="E513" s="17"/>
      <c r="F513" s="17"/>
      <c r="G513" s="17"/>
    </row>
    <row r="514" spans="1:7">
      <c r="A514" s="16"/>
      <c r="B514" s="17"/>
      <c r="C514" s="17"/>
      <c r="D514" s="17"/>
      <c r="E514" s="17"/>
      <c r="F514" s="17"/>
      <c r="G514" s="17"/>
    </row>
    <row r="515" spans="1:7">
      <c r="A515" s="16"/>
      <c r="B515" s="17"/>
      <c r="C515" s="17"/>
      <c r="D515" s="17"/>
      <c r="E515" s="17"/>
      <c r="F515" s="17"/>
      <c r="G515" s="17"/>
    </row>
    <row r="516" spans="1:7">
      <c r="A516" s="16"/>
      <c r="B516" s="17"/>
      <c r="C516" s="17"/>
      <c r="D516" s="17"/>
      <c r="E516" s="17"/>
      <c r="F516" s="17"/>
      <c r="G516" s="17"/>
    </row>
    <row r="517" spans="1:7">
      <c r="A517" s="16"/>
      <c r="B517" s="17"/>
      <c r="C517" s="17"/>
      <c r="D517" s="17"/>
      <c r="E517" s="17"/>
      <c r="F517" s="17"/>
      <c r="G517" s="17"/>
    </row>
    <row r="518" spans="1:7">
      <c r="A518" s="16"/>
      <c r="B518" s="17"/>
      <c r="C518" s="17"/>
      <c r="D518" s="17"/>
      <c r="E518" s="17"/>
      <c r="F518" s="17"/>
      <c r="G518" s="17"/>
    </row>
    <row r="519" spans="1:7">
      <c r="A519" s="16"/>
      <c r="B519" s="17"/>
      <c r="C519" s="17"/>
      <c r="D519" s="17"/>
      <c r="E519" s="17"/>
      <c r="F519" s="17"/>
      <c r="G519" s="17"/>
    </row>
    <row r="520" spans="1:7">
      <c r="A520" s="16"/>
      <c r="B520" s="17"/>
      <c r="C520" s="17"/>
      <c r="D520" s="17"/>
      <c r="E520" s="17"/>
      <c r="F520" s="17"/>
      <c r="G520" s="17"/>
    </row>
    <row r="521" spans="1:7">
      <c r="A521" s="16"/>
      <c r="B521" s="17"/>
      <c r="C521" s="17"/>
      <c r="D521" s="17"/>
      <c r="E521" s="17"/>
      <c r="F521" s="17"/>
      <c r="G521" s="17"/>
    </row>
    <row r="522" spans="1:7">
      <c r="A522" s="16"/>
      <c r="B522" s="17"/>
      <c r="C522" s="17"/>
      <c r="D522" s="17"/>
      <c r="E522" s="17"/>
      <c r="F522" s="17"/>
      <c r="G522" s="17"/>
    </row>
    <row r="523" spans="1:7">
      <c r="A523" s="16"/>
      <c r="B523" s="17"/>
      <c r="C523" s="17"/>
      <c r="D523" s="17"/>
      <c r="E523" s="17"/>
      <c r="F523" s="17"/>
      <c r="G523" s="17"/>
    </row>
    <row r="524" spans="1:7">
      <c r="A524" s="16"/>
      <c r="B524" s="17"/>
      <c r="C524" s="17"/>
      <c r="D524" s="17"/>
      <c r="E524" s="17"/>
      <c r="F524" s="17"/>
      <c r="G524" s="17"/>
    </row>
    <row r="525" spans="1:7">
      <c r="A525" s="16"/>
      <c r="B525" s="17"/>
      <c r="C525" s="17"/>
      <c r="D525" s="17"/>
      <c r="E525" s="17"/>
      <c r="F525" s="17"/>
      <c r="G525" s="17"/>
    </row>
    <row r="526" spans="1:7">
      <c r="A526" s="16"/>
      <c r="B526" s="17"/>
      <c r="C526" s="17"/>
      <c r="D526" s="17"/>
      <c r="E526" s="17"/>
      <c r="F526" s="17"/>
      <c r="G526" s="17"/>
    </row>
    <row r="527" spans="1:7">
      <c r="A527" s="16"/>
      <c r="B527" s="17"/>
      <c r="C527" s="17"/>
      <c r="D527" s="17"/>
      <c r="E527" s="17"/>
      <c r="F527" s="17"/>
      <c r="G527" s="17"/>
    </row>
    <row r="528" spans="1:7">
      <c r="A528" s="16"/>
      <c r="B528" s="17"/>
      <c r="C528" s="17"/>
      <c r="D528" s="17"/>
      <c r="E528" s="17"/>
      <c r="F528" s="17"/>
      <c r="G528" s="17"/>
    </row>
    <row r="529" spans="1:7">
      <c r="A529" s="16"/>
      <c r="B529" s="17"/>
      <c r="C529" s="17"/>
      <c r="D529" s="17"/>
      <c r="E529" s="17"/>
      <c r="F529" s="17"/>
      <c r="G529" s="17"/>
    </row>
    <row r="530" spans="1:7">
      <c r="A530" s="16"/>
      <c r="B530" s="17"/>
      <c r="C530" s="17"/>
      <c r="D530" s="17"/>
      <c r="E530" s="17"/>
      <c r="F530" s="17"/>
      <c r="G530" s="17"/>
    </row>
    <row r="531" spans="1:7">
      <c r="A531" s="16"/>
      <c r="B531" s="17"/>
      <c r="C531" s="17"/>
      <c r="D531" s="17"/>
      <c r="E531" s="17"/>
      <c r="F531" s="17"/>
      <c r="G531" s="17"/>
    </row>
    <row r="532" spans="1:7">
      <c r="A532" s="16"/>
      <c r="B532" s="17"/>
      <c r="C532" s="17"/>
      <c r="D532" s="17"/>
      <c r="E532" s="17"/>
      <c r="F532" s="17"/>
      <c r="G532" s="17"/>
    </row>
    <row r="533" spans="1:7">
      <c r="A533" s="16"/>
      <c r="B533" s="17"/>
      <c r="C533" s="17"/>
      <c r="D533" s="17"/>
      <c r="E533" s="17"/>
      <c r="F533" s="17"/>
      <c r="G533" s="17"/>
    </row>
    <row r="534" spans="1:7">
      <c r="A534" s="16"/>
      <c r="B534" s="17"/>
      <c r="C534" s="17"/>
      <c r="D534" s="17"/>
      <c r="E534" s="17"/>
      <c r="F534" s="17"/>
      <c r="G534" s="17"/>
    </row>
    <row r="535" spans="1:7">
      <c r="A535" s="16"/>
      <c r="B535" s="17"/>
      <c r="C535" s="17"/>
      <c r="D535" s="17"/>
      <c r="E535" s="17"/>
      <c r="F535" s="17"/>
      <c r="G535" s="17"/>
    </row>
    <row r="536" spans="1:7">
      <c r="A536" s="16"/>
      <c r="B536" s="17"/>
      <c r="C536" s="17"/>
      <c r="D536" s="17"/>
      <c r="E536" s="17"/>
      <c r="F536" s="17"/>
      <c r="G536" s="17"/>
    </row>
    <row r="537" spans="1:7">
      <c r="A537" s="16"/>
      <c r="B537" s="17"/>
      <c r="C537" s="17"/>
      <c r="D537" s="17"/>
      <c r="E537" s="17"/>
      <c r="F537" s="17"/>
      <c r="G537" s="17"/>
    </row>
    <row r="538" spans="1:7">
      <c r="A538" s="16"/>
      <c r="B538" s="17"/>
      <c r="C538" s="17"/>
      <c r="D538" s="17"/>
      <c r="E538" s="17"/>
      <c r="F538" s="17"/>
      <c r="G538" s="17"/>
    </row>
    <row r="539" spans="1:7">
      <c r="A539" s="16"/>
      <c r="B539" s="17"/>
      <c r="C539" s="17"/>
      <c r="D539" s="17"/>
      <c r="E539" s="17"/>
      <c r="F539" s="17"/>
      <c r="G539" s="17"/>
    </row>
    <row r="540" spans="1:7">
      <c r="A540" s="16"/>
      <c r="B540" s="17"/>
      <c r="C540" s="17"/>
      <c r="D540" s="17"/>
      <c r="E540" s="17"/>
      <c r="F540" s="17"/>
      <c r="G540" s="17"/>
    </row>
    <row r="541" spans="1:7">
      <c r="A541" s="16"/>
      <c r="B541" s="17"/>
      <c r="C541" s="17"/>
      <c r="D541" s="17"/>
      <c r="E541" s="17"/>
      <c r="F541" s="17"/>
      <c r="G541" s="17"/>
    </row>
    <row r="542" spans="1:7">
      <c r="A542" s="16"/>
      <c r="B542" s="17"/>
      <c r="C542" s="17"/>
      <c r="D542" s="17"/>
      <c r="E542" s="17"/>
      <c r="F542" s="17"/>
      <c r="G542" s="17"/>
    </row>
    <row r="543" spans="1:7">
      <c r="A543" s="16"/>
      <c r="B543" s="17"/>
      <c r="C543" s="17"/>
      <c r="D543" s="17"/>
      <c r="E543" s="17"/>
      <c r="F543" s="17"/>
      <c r="G543" s="17"/>
    </row>
    <row r="544" spans="1:7">
      <c r="A544" s="16"/>
      <c r="B544" s="17"/>
      <c r="C544" s="17"/>
      <c r="D544" s="17"/>
      <c r="E544" s="17"/>
      <c r="F544" s="17"/>
      <c r="G544" s="17"/>
    </row>
    <row r="545" spans="1:7">
      <c r="A545" s="16"/>
      <c r="B545" s="17"/>
      <c r="C545" s="17"/>
      <c r="D545" s="17"/>
      <c r="E545" s="17"/>
      <c r="F545" s="17"/>
      <c r="G545" s="17"/>
    </row>
    <row r="546" spans="1:7">
      <c r="A546" s="16"/>
      <c r="B546" s="17"/>
      <c r="C546" s="17"/>
      <c r="D546" s="17"/>
      <c r="E546" s="17"/>
      <c r="F546" s="17"/>
      <c r="G546" s="17"/>
    </row>
    <row r="547" spans="1:7">
      <c r="A547" s="16"/>
      <c r="B547" s="17"/>
      <c r="C547" s="17"/>
      <c r="D547" s="17"/>
      <c r="E547" s="17"/>
      <c r="F547" s="17"/>
      <c r="G547" s="17"/>
    </row>
    <row r="548" spans="1:7">
      <c r="A548" s="16"/>
      <c r="B548" s="17"/>
      <c r="C548" s="17"/>
      <c r="D548" s="17"/>
      <c r="E548" s="17"/>
      <c r="F548" s="17"/>
      <c r="G548" s="17"/>
    </row>
    <row r="549" spans="1:7">
      <c r="A549" s="16"/>
      <c r="B549" s="17"/>
      <c r="C549" s="17"/>
      <c r="D549" s="17"/>
      <c r="E549" s="17"/>
      <c r="F549" s="17"/>
      <c r="G549" s="17"/>
    </row>
    <row r="550" spans="1:7">
      <c r="A550" s="16"/>
      <c r="B550" s="17"/>
      <c r="C550" s="17"/>
      <c r="D550" s="17"/>
      <c r="E550" s="17"/>
      <c r="F550" s="17"/>
      <c r="G550" s="17"/>
    </row>
    <row r="551" spans="1:7">
      <c r="A551" s="16"/>
      <c r="B551" s="17"/>
      <c r="C551" s="17"/>
      <c r="D551" s="17"/>
      <c r="E551" s="17"/>
      <c r="F551" s="17"/>
      <c r="G551" s="17"/>
    </row>
    <row r="552" spans="1:7">
      <c r="A552" s="16"/>
      <c r="B552" s="17"/>
      <c r="C552" s="17"/>
      <c r="D552" s="17"/>
      <c r="E552" s="17"/>
      <c r="F552" s="17"/>
      <c r="G552" s="17"/>
    </row>
  </sheetData>
  <mergeCells count="26">
    <mergeCell ref="C15:E15"/>
    <mergeCell ref="C5:E5"/>
    <mergeCell ref="C6:E6"/>
    <mergeCell ref="C7:E7"/>
    <mergeCell ref="F7:F9"/>
    <mergeCell ref="C8:E8"/>
    <mergeCell ref="C9:E9"/>
    <mergeCell ref="C10:E10"/>
    <mergeCell ref="C11:E11"/>
    <mergeCell ref="C12:E12"/>
    <mergeCell ref="C13:E13"/>
    <mergeCell ref="C14:E14"/>
    <mergeCell ref="I24:K24"/>
    <mergeCell ref="I25:K25"/>
    <mergeCell ref="C28:E28"/>
    <mergeCell ref="C16:E16"/>
    <mergeCell ref="C17:E17"/>
    <mergeCell ref="C18:E18"/>
    <mergeCell ref="C19:E19"/>
    <mergeCell ref="C20:E20"/>
    <mergeCell ref="C21:E21"/>
    <mergeCell ref="F29:H29"/>
    <mergeCell ref="B30:G30"/>
    <mergeCell ref="C22:E22"/>
    <mergeCell ref="C23:E23"/>
    <mergeCell ref="C24:E2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WSO-UV_WUVS_122nm</vt:lpstr>
      <vt:lpstr>WSO-UV_WUVS_check</vt:lpstr>
      <vt:lpstr>WSO-UV_WUVS_130nm</vt:lpstr>
      <vt:lpstr>WSO-UV_UVSPEX_10h</vt:lpstr>
      <vt:lpstr>WSO-UV_UVSPEX_50h</vt:lpstr>
      <vt:lpstr>Detectable_range</vt:lpstr>
      <vt:lpstr>WSO-UV_normal_Ly-alpha_bg</vt:lpstr>
      <vt:lpstr>WSO-UV_funnel_Ly-alpha_bg</vt:lpstr>
      <vt:lpstr>WSO-UV_funnel_Ly-alpha_jupiter</vt:lpstr>
      <vt:lpstr>data_rate</vt:lpstr>
      <vt:lpstr>WSO-UV_130nm_high</vt:lpstr>
      <vt:lpstr>WSO-UV_130nm_nature</vt:lpstr>
      <vt:lpstr>WSO-UV_130nm_nominal</vt:lpstr>
      <vt:lpstr>WSO-UV_130nm_requirement</vt:lpstr>
      <vt:lpstr>WSO-UV_HST_oxygen_20201022</vt:lpstr>
      <vt:lpstr>LAPUTA_130nm_high</vt:lpstr>
      <vt:lpstr>photocoding_20220704</vt:lpstr>
      <vt:lpstr>ワースト_40cm</vt:lpstr>
      <vt:lpstr>LAPYUTA_目標値_常温成膜</vt:lpstr>
      <vt:lpstr>LAPYUTA_目標値</vt:lpstr>
      <vt:lpstr>ノミナル</vt:lpstr>
      <vt:lpstr>LAPYUTA_ベースライン_20230830</vt:lpstr>
      <vt:lpstr>UVSPEX_baseline</vt:lpstr>
      <vt:lpstr>HST</vt:lpstr>
      <vt:lpstr>Comparison</vt:lpstr>
      <vt:lpstr>LAPYUTA_Ly-alpha_bg</vt:lpstr>
      <vt:lpstr>LAPYUTA_test</vt:lpstr>
      <vt:lpstr>Summary</vt:lpstr>
      <vt:lpstr>LAPYUTA_ベースライン_20240328</vt:lpstr>
      <vt:lpstr>LAPYUTA_for_stellar_20240830</vt:lpstr>
      <vt:lpstr>LAPYUTA_Ly-alpha_bg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堀越寛己</dc:creator>
  <cp:lastModifiedBy>土屋　史紀</cp:lastModifiedBy>
  <dcterms:created xsi:type="dcterms:W3CDTF">2016-11-18T01:52:29Z</dcterms:created>
  <dcterms:modified xsi:type="dcterms:W3CDTF">2025-01-20T04:45:37Z</dcterms:modified>
</cp:coreProperties>
</file>