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ortfolio\ua_bonds\"/>
    </mc:Choice>
  </mc:AlternateContent>
  <xr:revisionPtr revIDLastSave="0" documentId="8_{3D165A3B-05F4-4E61-9EE3-3F143B8FCC5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onds_Info" sheetId="1" r:id="rId1"/>
    <sheet name="Portfolio_UAH" sheetId="2" r:id="rId2"/>
    <sheet name="Portfolio_USD" sheetId="3" r:id="rId3"/>
    <sheet name="USD_UAH" sheetId="4" r:id="rId4"/>
    <sheet name="Dashboar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" i="3" l="1"/>
  <c r="Q1" i="2"/>
  <c r="R4" i="3"/>
  <c r="S4" i="3"/>
  <c r="R5" i="3"/>
  <c r="S5" i="3"/>
  <c r="R6" i="3"/>
  <c r="S6" i="3"/>
  <c r="R7" i="3"/>
  <c r="S7" i="3"/>
  <c r="R8" i="3"/>
  <c r="S8" i="3"/>
  <c r="R9" i="3"/>
  <c r="S9" i="3"/>
  <c r="R10" i="3"/>
  <c r="S10" i="3"/>
  <c r="R11" i="3"/>
  <c r="S11" i="3"/>
  <c r="R12" i="3"/>
  <c r="S12" i="3"/>
  <c r="R13" i="3"/>
  <c r="S13" i="3"/>
  <c r="R14" i="3"/>
  <c r="S14" i="3"/>
  <c r="R15" i="3"/>
  <c r="S15" i="3"/>
  <c r="R16" i="3"/>
  <c r="S16" i="3"/>
  <c r="R17" i="3"/>
  <c r="S17" i="3"/>
  <c r="R18" i="3"/>
  <c r="S18" i="3"/>
  <c r="R19" i="3"/>
  <c r="S19" i="3"/>
  <c r="R20" i="3"/>
  <c r="S20" i="3"/>
  <c r="R21" i="3"/>
  <c r="S21" i="3"/>
  <c r="R22" i="3"/>
  <c r="S22" i="3"/>
  <c r="R23" i="3"/>
  <c r="S23" i="3"/>
  <c r="R24" i="3"/>
  <c r="S24" i="3"/>
  <c r="S3" i="3"/>
  <c r="R3" i="3"/>
  <c r="G4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5" i="3"/>
  <c r="G6" i="3"/>
  <c r="G7" i="3"/>
  <c r="G3" i="3"/>
  <c r="F1" i="3"/>
  <c r="F1" i="2"/>
  <c r="E3" i="3"/>
  <c r="E1" i="3" s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3" i="3"/>
  <c r="E6" i="3"/>
  <c r="E10" i="3"/>
  <c r="E14" i="3"/>
  <c r="E18" i="3"/>
  <c r="E22" i="3"/>
  <c r="H19" i="3"/>
  <c r="H23" i="3"/>
  <c r="H3" i="3"/>
  <c r="A4" i="3"/>
  <c r="E4" i="3" s="1"/>
  <c r="B4" i="3"/>
  <c r="C4" i="3"/>
  <c r="D4" i="3"/>
  <c r="A5" i="3"/>
  <c r="B5" i="3"/>
  <c r="C5" i="3"/>
  <c r="D5" i="3"/>
  <c r="A6" i="3"/>
  <c r="B6" i="3"/>
  <c r="C6" i="3"/>
  <c r="D6" i="3"/>
  <c r="F6" i="3" s="1"/>
  <c r="A7" i="3"/>
  <c r="B7" i="3"/>
  <c r="C7" i="3"/>
  <c r="D7" i="3"/>
  <c r="A8" i="3"/>
  <c r="E8" i="3" s="1"/>
  <c r="B8" i="3"/>
  <c r="C8" i="3"/>
  <c r="D8" i="3"/>
  <c r="A9" i="3"/>
  <c r="B9" i="3"/>
  <c r="C9" i="3"/>
  <c r="D9" i="3"/>
  <c r="A10" i="3"/>
  <c r="B10" i="3"/>
  <c r="C10" i="3"/>
  <c r="D10" i="3"/>
  <c r="F10" i="3" s="1"/>
  <c r="A11" i="3"/>
  <c r="B11" i="3"/>
  <c r="C11" i="3"/>
  <c r="D11" i="3"/>
  <c r="A12" i="3"/>
  <c r="E12" i="3" s="1"/>
  <c r="B12" i="3"/>
  <c r="C12" i="3"/>
  <c r="D12" i="3"/>
  <c r="A13" i="3"/>
  <c r="B13" i="3"/>
  <c r="C13" i="3"/>
  <c r="D13" i="3"/>
  <c r="A14" i="3"/>
  <c r="B14" i="3"/>
  <c r="C14" i="3"/>
  <c r="D14" i="3"/>
  <c r="F14" i="3" s="1"/>
  <c r="A15" i="3"/>
  <c r="B15" i="3"/>
  <c r="C15" i="3"/>
  <c r="D15" i="3"/>
  <c r="A16" i="3"/>
  <c r="E16" i="3" s="1"/>
  <c r="B16" i="3"/>
  <c r="C16" i="3"/>
  <c r="D16" i="3"/>
  <c r="A17" i="3"/>
  <c r="B17" i="3"/>
  <c r="C17" i="3"/>
  <c r="D17" i="3"/>
  <c r="A18" i="3"/>
  <c r="B18" i="3"/>
  <c r="C18" i="3"/>
  <c r="D18" i="3"/>
  <c r="F18" i="3" s="1"/>
  <c r="A19" i="3"/>
  <c r="B19" i="3"/>
  <c r="C19" i="3"/>
  <c r="D19" i="3"/>
  <c r="A20" i="3"/>
  <c r="E20" i="3" s="1"/>
  <c r="B20" i="3"/>
  <c r="C20" i="3"/>
  <c r="D20" i="3"/>
  <c r="A21" i="3"/>
  <c r="B21" i="3"/>
  <c r="C21" i="3"/>
  <c r="D21" i="3"/>
  <c r="A22" i="3"/>
  <c r="B22" i="3"/>
  <c r="C22" i="3"/>
  <c r="D22" i="3"/>
  <c r="F22" i="3" s="1"/>
  <c r="A23" i="3"/>
  <c r="B23" i="3"/>
  <c r="C23" i="3"/>
  <c r="D23" i="3"/>
  <c r="A24" i="3"/>
  <c r="E24" i="3" s="1"/>
  <c r="B24" i="3"/>
  <c r="C24" i="3"/>
  <c r="D24" i="3"/>
  <c r="C3" i="3"/>
  <c r="D3" i="3"/>
  <c r="B3" i="3"/>
  <c r="A3" i="3"/>
  <c r="H3" i="2"/>
  <c r="M24" i="2" a="1"/>
  <c r="M24" i="2" s="1"/>
  <c r="M24" i="3" s="1"/>
  <c r="L24" i="2" a="1"/>
  <c r="L24" i="2" s="1"/>
  <c r="L24" i="3" s="1"/>
  <c r="K24" i="2" a="1"/>
  <c r="K24" i="2" s="1"/>
  <c r="K24" i="3" s="1"/>
  <c r="J24" i="2" a="1"/>
  <c r="J24" i="2" s="1"/>
  <c r="J24" i="3" s="1"/>
  <c r="I24" i="2"/>
  <c r="I24" i="3" s="1"/>
  <c r="H24" i="2"/>
  <c r="Q24" i="2" s="1"/>
  <c r="F24" i="2"/>
  <c r="M23" i="2" a="1"/>
  <c r="M23" i="2" s="1"/>
  <c r="M23" i="3" s="1"/>
  <c r="L23" i="2" a="1"/>
  <c r="L23" i="2" s="1"/>
  <c r="L23" i="3" s="1"/>
  <c r="K23" i="2" a="1"/>
  <c r="K23" i="2" s="1"/>
  <c r="K23" i="3" s="1"/>
  <c r="J23" i="2" a="1"/>
  <c r="J23" i="2" s="1"/>
  <c r="J23" i="3" s="1"/>
  <c r="I23" i="2"/>
  <c r="I23" i="3" s="1"/>
  <c r="H23" i="2"/>
  <c r="Q23" i="2" s="1"/>
  <c r="F23" i="2"/>
  <c r="M22" i="2" a="1"/>
  <c r="M22" i="2" s="1"/>
  <c r="M22" i="3" s="1"/>
  <c r="L22" i="2" a="1"/>
  <c r="L22" i="2" s="1"/>
  <c r="L22" i="3" s="1"/>
  <c r="K22" i="2" a="1"/>
  <c r="K22" i="2" s="1"/>
  <c r="K22" i="3" s="1"/>
  <c r="J22" i="2" a="1"/>
  <c r="J22" i="2" s="1"/>
  <c r="J22" i="3" s="1"/>
  <c r="H22" i="2"/>
  <c r="Q22" i="2" s="1"/>
  <c r="F22" i="2"/>
  <c r="M21" i="2" a="1"/>
  <c r="M21" i="2" s="1"/>
  <c r="M21" i="3" s="1"/>
  <c r="L21" i="2" a="1"/>
  <c r="L21" i="2" s="1"/>
  <c r="L21" i="3" s="1"/>
  <c r="K21" i="2" a="1"/>
  <c r="K21" i="2" s="1"/>
  <c r="K21" i="3" s="1"/>
  <c r="J21" i="2" a="1"/>
  <c r="J21" i="2" s="1"/>
  <c r="J21" i="3" s="1"/>
  <c r="H21" i="2"/>
  <c r="Q21" i="2" s="1"/>
  <c r="F21" i="2"/>
  <c r="M20" i="2" a="1"/>
  <c r="M20" i="2" s="1"/>
  <c r="M20" i="3" s="1"/>
  <c r="L20" i="2" a="1"/>
  <c r="L20" i="2" s="1"/>
  <c r="L20" i="3" s="1"/>
  <c r="K20" i="2" a="1"/>
  <c r="K20" i="2" s="1"/>
  <c r="K20" i="3" s="1"/>
  <c r="J20" i="2" a="1"/>
  <c r="J20" i="2" s="1"/>
  <c r="J20" i="3" s="1"/>
  <c r="I20" i="2"/>
  <c r="I20" i="3" s="1"/>
  <c r="H20" i="2"/>
  <c r="Q20" i="2" s="1"/>
  <c r="F20" i="2"/>
  <c r="M19" i="2" a="1"/>
  <c r="M19" i="2" s="1"/>
  <c r="M19" i="3" s="1"/>
  <c r="L19" i="2" a="1"/>
  <c r="L19" i="2" s="1"/>
  <c r="L19" i="3" s="1"/>
  <c r="K19" i="2" a="1"/>
  <c r="K19" i="2" s="1"/>
  <c r="K19" i="3" s="1"/>
  <c r="J19" i="2" a="1"/>
  <c r="J19" i="2" s="1"/>
  <c r="J19" i="3" s="1"/>
  <c r="I19" i="2"/>
  <c r="I19" i="3" s="1"/>
  <c r="H19" i="2"/>
  <c r="Q19" i="2" s="1"/>
  <c r="F19" i="2"/>
  <c r="M18" i="2" a="1"/>
  <c r="M18" i="2" s="1"/>
  <c r="M18" i="3" s="1"/>
  <c r="L18" i="2" a="1"/>
  <c r="L18" i="2" s="1"/>
  <c r="L18" i="3" s="1"/>
  <c r="K18" i="2" a="1"/>
  <c r="K18" i="2" s="1"/>
  <c r="K18" i="3" s="1"/>
  <c r="J18" i="2" a="1"/>
  <c r="J18" i="2" s="1"/>
  <c r="J18" i="3" s="1"/>
  <c r="H18" i="2"/>
  <c r="Q18" i="2" s="1"/>
  <c r="F18" i="2"/>
  <c r="M17" i="2" a="1"/>
  <c r="M17" i="2" s="1"/>
  <c r="M17" i="3" s="1"/>
  <c r="L17" i="2" a="1"/>
  <c r="L17" i="2" s="1"/>
  <c r="L17" i="3" s="1"/>
  <c r="K17" i="2" a="1"/>
  <c r="K17" i="2" s="1"/>
  <c r="K17" i="3" s="1"/>
  <c r="J17" i="2" a="1"/>
  <c r="J17" i="2" s="1"/>
  <c r="J17" i="3" s="1"/>
  <c r="H17" i="2"/>
  <c r="Q17" i="2" s="1"/>
  <c r="F17" i="2"/>
  <c r="M16" i="2" a="1"/>
  <c r="M16" i="2" s="1"/>
  <c r="M16" i="3" s="1"/>
  <c r="L16" i="2" a="1"/>
  <c r="L16" i="2" s="1"/>
  <c r="L16" i="3" s="1"/>
  <c r="K16" i="2" a="1"/>
  <c r="K16" i="2" s="1"/>
  <c r="K16" i="3" s="1"/>
  <c r="J16" i="2" a="1"/>
  <c r="J16" i="2" s="1"/>
  <c r="J16" i="3" s="1"/>
  <c r="I16" i="2"/>
  <c r="I16" i="3" s="1"/>
  <c r="H16" i="2"/>
  <c r="H16" i="3" s="1"/>
  <c r="F16" i="2"/>
  <c r="M15" i="2" a="1"/>
  <c r="M15" i="2" s="1"/>
  <c r="M15" i="3" s="1"/>
  <c r="L15" i="2" a="1"/>
  <c r="L15" i="2" s="1"/>
  <c r="L15" i="3" s="1"/>
  <c r="K15" i="2" a="1"/>
  <c r="K15" i="2" s="1"/>
  <c r="K15" i="3" s="1"/>
  <c r="J15" i="2" a="1"/>
  <c r="J15" i="2" s="1"/>
  <c r="J15" i="3" s="1"/>
  <c r="H15" i="2"/>
  <c r="Q15" i="2" s="1"/>
  <c r="F15" i="2"/>
  <c r="M14" i="2" a="1"/>
  <c r="M14" i="2" s="1"/>
  <c r="M14" i="3" s="1"/>
  <c r="L14" i="2" a="1"/>
  <c r="L14" i="2" s="1"/>
  <c r="L14" i="3" s="1"/>
  <c r="K14" i="2" a="1"/>
  <c r="K14" i="2" s="1"/>
  <c r="K14" i="3" s="1"/>
  <c r="J14" i="2" a="1"/>
  <c r="J14" i="2" s="1"/>
  <c r="J14" i="3" s="1"/>
  <c r="H14" i="2"/>
  <c r="H14" i="3" s="1"/>
  <c r="F14" i="2"/>
  <c r="M13" i="2" a="1"/>
  <c r="M13" i="2" s="1"/>
  <c r="M13" i="3" s="1"/>
  <c r="L13" i="2" a="1"/>
  <c r="L13" i="2" s="1"/>
  <c r="L13" i="3" s="1"/>
  <c r="K13" i="2" a="1"/>
  <c r="K13" i="2" s="1"/>
  <c r="K13" i="3" s="1"/>
  <c r="J13" i="2" a="1"/>
  <c r="J13" i="2" s="1"/>
  <c r="J13" i="3" s="1"/>
  <c r="H13" i="2"/>
  <c r="Q13" i="2" s="1"/>
  <c r="F13" i="2"/>
  <c r="M12" i="2" a="1"/>
  <c r="M12" i="2" s="1"/>
  <c r="M12" i="3" s="1"/>
  <c r="L12" i="2" a="1"/>
  <c r="L12" i="2" s="1"/>
  <c r="L12" i="3" s="1"/>
  <c r="K12" i="2" a="1"/>
  <c r="K12" i="2" s="1"/>
  <c r="K12" i="3" s="1"/>
  <c r="J12" i="2" a="1"/>
  <c r="J12" i="2" s="1"/>
  <c r="J12" i="3" s="1"/>
  <c r="I12" i="2"/>
  <c r="I12" i="3" s="1"/>
  <c r="H12" i="2"/>
  <c r="H12" i="3" s="1"/>
  <c r="F12" i="2"/>
  <c r="M11" i="2" a="1"/>
  <c r="M11" i="2" s="1"/>
  <c r="M11" i="3" s="1"/>
  <c r="L11" i="2" a="1"/>
  <c r="L11" i="2" s="1"/>
  <c r="L11" i="3" s="1"/>
  <c r="K11" i="2" a="1"/>
  <c r="K11" i="2" s="1"/>
  <c r="K11" i="3" s="1"/>
  <c r="J11" i="2" a="1"/>
  <c r="J11" i="2" s="1"/>
  <c r="J11" i="3" s="1"/>
  <c r="I11" i="2"/>
  <c r="I11" i="3" s="1"/>
  <c r="H11" i="2"/>
  <c r="Q11" i="2" s="1"/>
  <c r="F11" i="2"/>
  <c r="M10" i="2" a="1"/>
  <c r="M10" i="2" s="1"/>
  <c r="M10" i="3" s="1"/>
  <c r="L10" i="2" a="1"/>
  <c r="L10" i="2" s="1"/>
  <c r="L10" i="3" s="1"/>
  <c r="K10" i="2" a="1"/>
  <c r="K10" i="2" s="1"/>
  <c r="K10" i="3" s="1"/>
  <c r="J10" i="2" a="1"/>
  <c r="J10" i="2" s="1"/>
  <c r="J10" i="3" s="1"/>
  <c r="H10" i="2"/>
  <c r="Q10" i="2" s="1"/>
  <c r="F10" i="2"/>
  <c r="M9" i="2" a="1"/>
  <c r="M9" i="2" s="1"/>
  <c r="M9" i="3" s="1"/>
  <c r="L9" i="2" a="1"/>
  <c r="L9" i="2" s="1"/>
  <c r="L9" i="3" s="1"/>
  <c r="K9" i="2" a="1"/>
  <c r="K9" i="2" s="1"/>
  <c r="K9" i="3" s="1"/>
  <c r="J9" i="2" a="1"/>
  <c r="J9" i="2" s="1"/>
  <c r="J9" i="3" s="1"/>
  <c r="H9" i="2"/>
  <c r="F9" i="2"/>
  <c r="M8" i="2" a="1"/>
  <c r="M8" i="2" s="1"/>
  <c r="M8" i="3" s="1"/>
  <c r="L8" i="2" a="1"/>
  <c r="L8" i="2" s="1"/>
  <c r="L8" i="3" s="1"/>
  <c r="K8" i="2" a="1"/>
  <c r="K8" i="2" s="1"/>
  <c r="K8" i="3" s="1"/>
  <c r="J8" i="2" a="1"/>
  <c r="J8" i="2" s="1"/>
  <c r="J8" i="3" s="1"/>
  <c r="H8" i="2"/>
  <c r="F8" i="2"/>
  <c r="Q7" i="2"/>
  <c r="M7" i="2" a="1"/>
  <c r="M7" i="2" s="1"/>
  <c r="M7" i="3" s="1"/>
  <c r="L7" i="2" a="1"/>
  <c r="L7" i="2" s="1"/>
  <c r="L7" i="3" s="1"/>
  <c r="K7" i="2" a="1"/>
  <c r="K7" i="2" s="1"/>
  <c r="K7" i="3" s="1"/>
  <c r="J7" i="2" a="1"/>
  <c r="J7" i="2" s="1"/>
  <c r="J7" i="3" s="1"/>
  <c r="I7" i="2"/>
  <c r="I7" i="3" s="1"/>
  <c r="H7" i="2"/>
  <c r="H7" i="3" s="1"/>
  <c r="F7" i="2"/>
  <c r="M6" i="2" a="1"/>
  <c r="M6" i="2" s="1"/>
  <c r="M6" i="3" s="1"/>
  <c r="L6" i="2" a="1"/>
  <c r="L6" i="2" s="1"/>
  <c r="L6" i="3" s="1"/>
  <c r="K6" i="2" a="1"/>
  <c r="K6" i="2" s="1"/>
  <c r="K6" i="3" s="1"/>
  <c r="J6" i="2" a="1"/>
  <c r="J6" i="2" s="1"/>
  <c r="J6" i="3" s="1"/>
  <c r="H6" i="2"/>
  <c r="F6" i="2"/>
  <c r="M5" i="2" a="1"/>
  <c r="M5" i="2" s="1"/>
  <c r="M5" i="3" s="1"/>
  <c r="L5" i="2" a="1"/>
  <c r="L5" i="2" s="1"/>
  <c r="L5" i="3" s="1"/>
  <c r="K5" i="2" a="1"/>
  <c r="K5" i="2" s="1"/>
  <c r="K5" i="3" s="1"/>
  <c r="J5" i="2" a="1"/>
  <c r="J5" i="2" s="1"/>
  <c r="J5" i="3" s="1"/>
  <c r="H5" i="2"/>
  <c r="Q5" i="2" s="1"/>
  <c r="F5" i="2"/>
  <c r="M4" i="2" a="1"/>
  <c r="M4" i="2" s="1"/>
  <c r="M4" i="3" s="1"/>
  <c r="L4" i="2" a="1"/>
  <c r="L4" i="2" s="1"/>
  <c r="L4" i="3" s="1"/>
  <c r="K4" i="2" a="1"/>
  <c r="K4" i="2" s="1"/>
  <c r="K4" i="3" s="1"/>
  <c r="J4" i="2" a="1"/>
  <c r="J4" i="2" s="1"/>
  <c r="J4" i="3" s="1"/>
  <c r="I4" i="2"/>
  <c r="I4" i="3" s="1"/>
  <c r="H4" i="2"/>
  <c r="F4" i="2"/>
  <c r="M3" i="2" a="1"/>
  <c r="M3" i="2" s="1"/>
  <c r="M3" i="3" s="1"/>
  <c r="L3" i="2" a="1"/>
  <c r="L3" i="2" s="1"/>
  <c r="L3" i="3" s="1"/>
  <c r="K3" i="2" a="1"/>
  <c r="K3" i="2" s="1"/>
  <c r="K3" i="3" s="1"/>
  <c r="J3" i="2" a="1"/>
  <c r="J3" i="2" s="1"/>
  <c r="J3" i="3" s="1"/>
  <c r="Q3" i="2"/>
  <c r="F3" i="2"/>
  <c r="S1" i="2"/>
  <c r="R1" i="2"/>
  <c r="G1" i="2"/>
  <c r="E1" i="2"/>
  <c r="N3" i="3" l="1"/>
  <c r="P5" i="3"/>
  <c r="O5" i="3" s="1"/>
  <c r="P9" i="3"/>
  <c r="O9" i="3" s="1"/>
  <c r="P11" i="3"/>
  <c r="O11" i="3" s="1"/>
  <c r="P7" i="3"/>
  <c r="O7" i="3" s="1"/>
  <c r="P13" i="3"/>
  <c r="O13" i="3" s="1"/>
  <c r="P15" i="3"/>
  <c r="O15" i="3" s="1"/>
  <c r="P4" i="3"/>
  <c r="O4" i="3" s="1"/>
  <c r="P6" i="3"/>
  <c r="O6" i="3" s="1"/>
  <c r="P8" i="3"/>
  <c r="O8" i="3" s="1"/>
  <c r="P10" i="3"/>
  <c r="O10" i="3" s="1"/>
  <c r="P12" i="3"/>
  <c r="O12" i="3" s="1"/>
  <c r="P14" i="3"/>
  <c r="O14" i="3" s="1"/>
  <c r="P16" i="3"/>
  <c r="O16" i="3" s="1"/>
  <c r="P17" i="3"/>
  <c r="O17" i="3" s="1"/>
  <c r="P18" i="3"/>
  <c r="O18" i="3" s="1"/>
  <c r="P19" i="3"/>
  <c r="O19" i="3" s="1"/>
  <c r="P20" i="3"/>
  <c r="O20" i="3" s="1"/>
  <c r="P21" i="3"/>
  <c r="O21" i="3" s="1"/>
  <c r="P22" i="3"/>
  <c r="O22" i="3" s="1"/>
  <c r="P23" i="3"/>
  <c r="O23" i="3" s="1"/>
  <c r="P24" i="3"/>
  <c r="O24" i="3" s="1"/>
  <c r="P3" i="3"/>
  <c r="P3" i="2"/>
  <c r="N4" i="3"/>
  <c r="N6" i="3"/>
  <c r="N8" i="3"/>
  <c r="N10" i="3"/>
  <c r="N12" i="3"/>
  <c r="N14" i="3"/>
  <c r="J1" i="3"/>
  <c r="N5" i="3"/>
  <c r="N7" i="3"/>
  <c r="N9" i="3"/>
  <c r="N11" i="3"/>
  <c r="N13" i="3"/>
  <c r="N15" i="3"/>
  <c r="N16" i="3"/>
  <c r="N17" i="3"/>
  <c r="N18" i="3"/>
  <c r="N19" i="3"/>
  <c r="N20" i="3"/>
  <c r="N21" i="3"/>
  <c r="N22" i="3"/>
  <c r="N23" i="3"/>
  <c r="N24" i="3"/>
  <c r="K1" i="3"/>
  <c r="F24" i="3"/>
  <c r="F20" i="3"/>
  <c r="F16" i="3"/>
  <c r="F12" i="3"/>
  <c r="F8" i="3"/>
  <c r="F4" i="3"/>
  <c r="Q8" i="2"/>
  <c r="H8" i="3"/>
  <c r="Q9" i="2"/>
  <c r="I9" i="2"/>
  <c r="I9" i="3" s="1"/>
  <c r="H9" i="3"/>
  <c r="H4" i="3"/>
  <c r="Q4" i="2"/>
  <c r="Q6" i="2"/>
  <c r="H6" i="3"/>
  <c r="I6" i="2"/>
  <c r="I6" i="3" s="1"/>
  <c r="Q14" i="2"/>
  <c r="H21" i="3"/>
  <c r="H17" i="3"/>
  <c r="H15" i="3"/>
  <c r="H13" i="3"/>
  <c r="H11" i="3"/>
  <c r="H5" i="3"/>
  <c r="F3" i="3"/>
  <c r="Q12" i="2"/>
  <c r="I14" i="2"/>
  <c r="I14" i="3" s="1"/>
  <c r="Q16" i="2"/>
  <c r="I18" i="2"/>
  <c r="I18" i="3" s="1"/>
  <c r="I21" i="2"/>
  <c r="I21" i="3" s="1"/>
  <c r="I22" i="2"/>
  <c r="I22" i="3" s="1"/>
  <c r="H24" i="3"/>
  <c r="H22" i="3"/>
  <c r="H20" i="3"/>
  <c r="H18" i="3"/>
  <c r="H10" i="3"/>
  <c r="E23" i="3"/>
  <c r="F23" i="3" s="1"/>
  <c r="E21" i="3"/>
  <c r="F21" i="3" s="1"/>
  <c r="E19" i="3"/>
  <c r="F19" i="3" s="1"/>
  <c r="E17" i="3"/>
  <c r="F17" i="3" s="1"/>
  <c r="E15" i="3"/>
  <c r="F15" i="3" s="1"/>
  <c r="E13" i="3"/>
  <c r="F13" i="3" s="1"/>
  <c r="E11" i="3"/>
  <c r="F11" i="3" s="1"/>
  <c r="E9" i="3"/>
  <c r="F9" i="3" s="1"/>
  <c r="E7" i="3"/>
  <c r="F7" i="3" s="1"/>
  <c r="E5" i="3"/>
  <c r="F5" i="3" s="1"/>
  <c r="P13" i="2"/>
  <c r="O13" i="2" s="1"/>
  <c r="P15" i="2"/>
  <c r="O15" i="2" s="1"/>
  <c r="P17" i="2"/>
  <c r="O17" i="2" s="1"/>
  <c r="P5" i="2"/>
  <c r="O5" i="2" s="1"/>
  <c r="P8" i="2"/>
  <c r="O8" i="2" s="1"/>
  <c r="P10" i="2"/>
  <c r="O10" i="2" s="1"/>
  <c r="J1" i="2"/>
  <c r="L1" i="2"/>
  <c r="P4" i="2"/>
  <c r="O4" i="2" s="1"/>
  <c r="M1" i="2"/>
  <c r="N6" i="2"/>
  <c r="P19" i="2"/>
  <c r="O19" i="2" s="1"/>
  <c r="P21" i="2"/>
  <c r="O21" i="2" s="1"/>
  <c r="P23" i="2"/>
  <c r="O23" i="2" s="1"/>
  <c r="K1" i="2"/>
  <c r="N3" i="2"/>
  <c r="N5" i="2"/>
  <c r="P6" i="2"/>
  <c r="O6" i="2" s="1"/>
  <c r="D1" i="2"/>
  <c r="I3" i="2"/>
  <c r="I3" i="3" s="1"/>
  <c r="N4" i="2"/>
  <c r="I5" i="2"/>
  <c r="I5" i="3" s="1"/>
  <c r="P7" i="2"/>
  <c r="O7" i="2" s="1"/>
  <c r="N7" i="2"/>
  <c r="P9" i="2"/>
  <c r="O9" i="2" s="1"/>
  <c r="P11" i="2"/>
  <c r="O11" i="2" s="1"/>
  <c r="P12" i="2"/>
  <c r="O12" i="2" s="1"/>
  <c r="P14" i="2"/>
  <c r="O14" i="2" s="1"/>
  <c r="P16" i="2"/>
  <c r="O16" i="2" s="1"/>
  <c r="P18" i="2"/>
  <c r="O18" i="2" s="1"/>
  <c r="P20" i="2"/>
  <c r="O20" i="2" s="1"/>
  <c r="P22" i="2"/>
  <c r="O22" i="2" s="1"/>
  <c r="P24" i="2"/>
  <c r="O24" i="2" s="1"/>
  <c r="N8" i="2"/>
  <c r="N10" i="2"/>
  <c r="N12" i="2"/>
  <c r="I13" i="2"/>
  <c r="I13" i="3" s="1"/>
  <c r="N14" i="2"/>
  <c r="I15" i="2"/>
  <c r="I15" i="3" s="1"/>
  <c r="N16" i="2"/>
  <c r="I17" i="2"/>
  <c r="I17" i="3" s="1"/>
  <c r="N18" i="2"/>
  <c r="N20" i="2"/>
  <c r="N22" i="2"/>
  <c r="N24" i="2"/>
  <c r="I8" i="2"/>
  <c r="I8" i="3" s="1"/>
  <c r="N9" i="2"/>
  <c r="I10" i="2"/>
  <c r="I10" i="3" s="1"/>
  <c r="N11" i="2"/>
  <c r="N13" i="2"/>
  <c r="N15" i="2"/>
  <c r="N17" i="2"/>
  <c r="N19" i="2"/>
  <c r="N21" i="2"/>
  <c r="N23" i="2"/>
  <c r="P1" i="2" l="1"/>
  <c r="O1" i="2" s="1"/>
  <c r="O3" i="2"/>
  <c r="N1" i="2"/>
  <c r="P1" i="3"/>
  <c r="O1" i="3" s="1"/>
  <c r="O3" i="3"/>
  <c r="I1" i="3"/>
  <c r="G1" i="3"/>
  <c r="N1" i="3" s="1"/>
</calcChain>
</file>

<file path=xl/sharedStrings.xml><?xml version="1.0" encoding="utf-8"?>
<sst xmlns="http://schemas.openxmlformats.org/spreadsheetml/2006/main" count="479" uniqueCount="78">
  <si>
    <t>ISIN</t>
  </si>
  <si>
    <t>Date of placement</t>
  </si>
  <si>
    <t>Interest payment dates</t>
  </si>
  <si>
    <t>Maturity date</t>
  </si>
  <si>
    <t>Nominal yield level, %.</t>
  </si>
  <si>
    <t>Coupon payment amount per bond</t>
  </si>
  <si>
    <t>Payment</t>
  </si>
  <si>
    <t>UA4000225908</t>
  </si>
  <si>
    <t>#2 2022</t>
  </si>
  <si>
    <t>#1 2023</t>
  </si>
  <si>
    <t>#2 2023</t>
  </si>
  <si>
    <t>UA4000213227</t>
  </si>
  <si>
    <t>#1 2021</t>
  </si>
  <si>
    <t>#2 2021</t>
  </si>
  <si>
    <t>#1 2022</t>
  </si>
  <si>
    <t>UA4000206460</t>
  </si>
  <si>
    <t>#1 2020</t>
  </si>
  <si>
    <t>#2 2020</t>
  </si>
  <si>
    <t>UA4000224380</t>
  </si>
  <si>
    <t>#1 2024</t>
  </si>
  <si>
    <t>UA4000226450</t>
  </si>
  <si>
    <t>UA4000207880</t>
  </si>
  <si>
    <t>UA4000226286</t>
  </si>
  <si>
    <t>UA4000219208</t>
  </si>
  <si>
    <t>#2 2024</t>
  </si>
  <si>
    <t>UA4000227045</t>
  </si>
  <si>
    <t>UA4000186894</t>
  </si>
  <si>
    <t>#1 2015</t>
  </si>
  <si>
    <t>#2 2015</t>
  </si>
  <si>
    <t>#1 2016</t>
  </si>
  <si>
    <t>#2 2016</t>
  </si>
  <si>
    <t>#1 2017</t>
  </si>
  <si>
    <t>#2 2017</t>
  </si>
  <si>
    <t>#1 2018</t>
  </si>
  <si>
    <t>#2 2018</t>
  </si>
  <si>
    <t>#1 2019</t>
  </si>
  <si>
    <t>#2 2019</t>
  </si>
  <si>
    <t>UA4000186803</t>
  </si>
  <si>
    <t>UA4000187207</t>
  </si>
  <si>
    <t>UA4000227094</t>
  </si>
  <si>
    <t>UA4000227656</t>
  </si>
  <si>
    <t>#1 2025</t>
  </si>
  <si>
    <t>UA4000204150</t>
  </si>
  <si>
    <t>UA4000227102</t>
  </si>
  <si>
    <t>UA4000228449</t>
  </si>
  <si>
    <t>UA4000227193</t>
  </si>
  <si>
    <t>#2 2025</t>
  </si>
  <si>
    <t>UA4000227201</t>
  </si>
  <si>
    <t>UA4000227490</t>
  </si>
  <si>
    <t>#1 2026</t>
  </si>
  <si>
    <t>UA4000218531</t>
  </si>
  <si>
    <t>UA4000228043</t>
  </si>
  <si>
    <t>#2 2026</t>
  </si>
  <si>
    <t>UA4000228381</t>
  </si>
  <si>
    <t>UA4000207518</t>
  </si>
  <si>
    <t>#1 2027</t>
  </si>
  <si>
    <t>Total</t>
  </si>
  <si>
    <t>Purchase Date</t>
  </si>
  <si>
    <t>Broker</t>
  </si>
  <si>
    <t>Quantity</t>
  </si>
  <si>
    <t>Price</t>
  </si>
  <si>
    <t>Amount</t>
  </si>
  <si>
    <t>Reinvest</t>
  </si>
  <si>
    <t>Maturity Amont</t>
  </si>
  <si>
    <t>Percentage of yield</t>
  </si>
  <si>
    <t>Annual yield</t>
  </si>
  <si>
    <t>Net yeld</t>
  </si>
  <si>
    <t>Holding Period</t>
  </si>
  <si>
    <t>Bank Fee</t>
  </si>
  <si>
    <t>Broker Fee</t>
  </si>
  <si>
    <t>mono</t>
  </si>
  <si>
    <t>ICU</t>
  </si>
  <si>
    <t>Kinto</t>
  </si>
  <si>
    <t>Dates</t>
  </si>
  <si>
    <t>Rates</t>
  </si>
  <si>
    <t>Weighted Average Yield to Maturity</t>
  </si>
  <si>
    <t>Duration of the Portfolio:</t>
  </si>
  <si>
    <t>вага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</si>
</sst>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.mm\.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  <font>
      <sz val="12"/>
      <color theme="1"/>
      <name val="Segoe UI"/>
      <family val="2"/>
      <charset val="204"/>
    </font>
    <font>
      <sz val="12"/>
      <color rgb="FF0F0F0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2" fillId="0" borderId="0" xfId="0" applyFont="1"/>
    <xf numFmtId="10" fontId="2" fillId="0" borderId="0" xfId="0" applyNumberFormat="1" applyFont="1"/>
    <xf numFmtId="2" fontId="0" fillId="0" borderId="0" xfId="0" applyNumberFormat="1"/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1">
    <cellStyle name="Звичайний" xfId="0" builtinId="0"/>
  </cellStyles>
  <dxfs count="6">
    <dxf>
      <numFmt numFmtId="14" formatCode="0.00%"/>
    </dxf>
    <dxf>
      <numFmt numFmtId="14" formatCode="0.00%"/>
    </dxf>
    <dxf>
      <numFmt numFmtId="164" formatCode="yyyy\-mm\-dd;@"/>
    </dxf>
    <dxf>
      <numFmt numFmtId="2" formatCode="0.00"/>
    </dxf>
    <dxf>
      <numFmt numFmtId="19" formatCode="dd/mm/yyyy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AH" displayName="UAH" ref="A2:S24" totalsRowShown="0" headerRowDxfId="5">
  <autoFilter ref="A2:S24" xr:uid="{00000000-0009-0000-0100-000001000000}"/>
  <tableColumns count="19">
    <tableColumn id="1" xr3:uid="{00000000-0010-0000-0000-000001000000}" name="Purchase Date" dataDxfId="4"/>
    <tableColumn id="2" xr3:uid="{00000000-0010-0000-0000-000002000000}" name="ISIN"/>
    <tableColumn id="3" xr3:uid="{00000000-0010-0000-0000-000003000000}" name="Broker"/>
    <tableColumn id="4" xr3:uid="{00000000-0010-0000-0000-000004000000}" name="Quantity"/>
    <tableColumn id="5" xr3:uid="{00000000-0010-0000-0000-000005000000}" name="Price" dataDxfId="3"/>
    <tableColumn id="6" xr3:uid="{00000000-0010-0000-0000-000006000000}" name="Amount">
      <calculatedColumnFormula>$D3*$E3</calculatedColumnFormula>
    </tableColumn>
    <tableColumn id="7" xr3:uid="{00000000-0010-0000-0000-000007000000}" name="Reinvest"/>
    <tableColumn id="8" xr3:uid="{00000000-0010-0000-0000-000008000000}" name="Maturity date" dataDxfId="2">
      <calculatedColumnFormula>_xlfn.XLOOKUP($B3,Bonds_Info!$A$1:$A$193,Bonds_Info!$D$1:$D$193,,0)</calculatedColumnFormula>
    </tableColumn>
    <tableColumn id="9" xr3:uid="{00000000-0010-0000-0000-000009000000}" name="Maturity Amont">
      <calculatedColumnFormula>IF(TODAY()&gt;=$H3,1000*$D3,"")</calculatedColumnFormula>
    </tableColumn>
    <tableColumn id="10" xr3:uid="{00000000-0010-0000-0000-00000A000000}" name="#1 2023">
      <calculatedColumnFormula array="1">IFERROR(INDEX(Bonds_Info!$F$1:$F$193,MATCH(1,(Portfolio_UAH!$B3=Bonds_Info!$A$1:$A$193)*(Portfolio_UAH!J$2=Bonds_Info!$G$1:$G$193)*($A3&lt;Bonds_Info!$C$1:$C$193)*(TODAY()&gt;=Bonds_Info!$C$1:$C$193),0))*$D3,"-")</calculatedColumnFormula>
    </tableColumn>
    <tableColumn id="11" xr3:uid="{00000000-0010-0000-0000-00000B000000}" name="#2 2023">
      <calculatedColumnFormula array="1">IFERROR(INDEX(Bonds_Info!$F$1:$F$193,MATCH(1,(Portfolio_UAH!$B3=Bonds_Info!$A$1:$A$193)*(Portfolio_UAH!K$2=Bonds_Info!$G$1:$G$193)*($A3&lt;Bonds_Info!$C$1:$C$193)*(TODAY()&gt;=Bonds_Info!$C$1:$C$193),0))*$D3,"-")</calculatedColumnFormula>
    </tableColumn>
    <tableColumn id="12" xr3:uid="{00000000-0010-0000-0000-00000C000000}" name="#1 2024">
      <calculatedColumnFormula array="1">IFERROR(INDEX(Bonds_Info!$F$1:$F$193,MATCH(1,(Portfolio_UAH!$B3=Bonds_Info!$A$1:$A$193)*(Portfolio_UAH!L$2=Bonds_Info!$G$1:$G$193)*($A3&lt;Bonds_Info!$C$1:$C$193)*(TODAY()&gt;=Bonds_Info!$C$1:$C$193),0))*$D3,"-")</calculatedColumnFormula>
    </tableColumn>
    <tableColumn id="13" xr3:uid="{00000000-0010-0000-0000-00000D000000}" name="#2 2024">
      <calculatedColumnFormula array="1">IFERROR(INDEX(Bonds_Info!$F$1:$F$193,MATCH(1,(Portfolio_UAH!$B3=Bonds_Info!$A$1:$A$193)*(Portfolio_UAH!M$2=Bonds_Info!$G$1:$G$193)*($A3&lt;Bonds_Info!$C$1:$C$193)*(TODAY()&gt;=Bonds_Info!$C$1:$C$193),0))*$D3,"-")</calculatedColumnFormula>
    </tableColumn>
    <tableColumn id="18" xr3:uid="{00000000-0010-0000-0000-000012000000}" name="Percentage of yield" dataDxfId="1">
      <calculatedColumnFormula>SUM($J3:$M3)/$F3</calculatedColumnFormula>
    </tableColumn>
    <tableColumn id="19" xr3:uid="{00000000-0010-0000-0000-000013000000}" name="Annual yield" dataDxfId="0">
      <calculatedColumnFormula>$P3/$F3*(365/$Q3)</calculatedColumnFormula>
    </tableColumn>
    <tableColumn id="20" xr3:uid="{00000000-0010-0000-0000-000014000000}" name="Net yeld">
      <calculatedColumnFormula>1000*$D3-$F3+SUM($J3:$M3)</calculatedColumnFormula>
    </tableColumn>
    <tableColumn id="21" xr3:uid="{00000000-0010-0000-0000-000015000000}" name="Holding Period">
      <calculatedColumnFormula>$H3-$A3</calculatedColumnFormula>
    </tableColumn>
    <tableColumn id="22" xr3:uid="{00000000-0010-0000-0000-000016000000}" name="Bank Fee"/>
    <tableColumn id="23" xr3:uid="{00000000-0010-0000-0000-000017000000}" name="Broker Fe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zoomScale="80" zoomScaleNormal="80" workbookViewId="0">
      <selection activeCell="D16" sqref="D16"/>
    </sheetView>
  </sheetViews>
  <sheetFormatPr defaultRowHeight="15" x14ac:dyDescent="0.25"/>
  <cols>
    <col min="1" max="1" width="13.7109375" bestFit="1" customWidth="1"/>
    <col min="2" max="2" width="17.5703125" bestFit="1" customWidth="1"/>
    <col min="3" max="3" width="22" bestFit="1" customWidth="1"/>
    <col min="4" max="4" width="13.28515625" bestFit="1" customWidth="1"/>
    <col min="5" max="5" width="21.85546875" bestFit="1" customWidth="1"/>
    <col min="6" max="6" width="32.5703125" bestFit="1" customWidth="1"/>
    <col min="7" max="7" width="8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44691</v>
      </c>
      <c r="C2" s="2">
        <v>44860</v>
      </c>
      <c r="D2" s="2">
        <v>45224</v>
      </c>
      <c r="E2">
        <v>11.5</v>
      </c>
      <c r="F2">
        <v>57.5</v>
      </c>
      <c r="G2" t="s">
        <v>8</v>
      </c>
    </row>
    <row r="3" spans="1:7" x14ac:dyDescent="0.25">
      <c r="A3" t="s">
        <v>7</v>
      </c>
      <c r="B3" s="2">
        <v>44691</v>
      </c>
      <c r="C3" s="2">
        <v>45042</v>
      </c>
      <c r="D3" s="2">
        <v>45224</v>
      </c>
      <c r="E3">
        <v>11.5</v>
      </c>
      <c r="F3">
        <v>57.5</v>
      </c>
      <c r="G3" t="s">
        <v>9</v>
      </c>
    </row>
    <row r="4" spans="1:7" x14ac:dyDescent="0.25">
      <c r="A4" t="s">
        <v>7</v>
      </c>
      <c r="B4" s="2">
        <v>44691</v>
      </c>
      <c r="C4" s="2">
        <v>45224</v>
      </c>
      <c r="D4" s="2">
        <v>45224</v>
      </c>
      <c r="E4">
        <v>11.5</v>
      </c>
      <c r="F4">
        <v>57.5</v>
      </c>
      <c r="G4" t="s">
        <v>10</v>
      </c>
    </row>
    <row r="5" spans="1:7" x14ac:dyDescent="0.25">
      <c r="A5" t="s">
        <v>11</v>
      </c>
      <c r="B5" s="2">
        <v>44138</v>
      </c>
      <c r="C5" s="2">
        <v>44321</v>
      </c>
      <c r="D5" s="2">
        <v>45231</v>
      </c>
      <c r="E5">
        <v>10.95</v>
      </c>
      <c r="F5">
        <v>54.75</v>
      </c>
      <c r="G5" t="s">
        <v>12</v>
      </c>
    </row>
    <row r="6" spans="1:7" x14ac:dyDescent="0.25">
      <c r="A6" t="s">
        <v>11</v>
      </c>
      <c r="B6" s="2">
        <v>44138</v>
      </c>
      <c r="C6" s="2">
        <v>44503</v>
      </c>
      <c r="D6" s="2">
        <v>45231</v>
      </c>
      <c r="E6">
        <v>10.95</v>
      </c>
      <c r="F6">
        <v>54.75</v>
      </c>
      <c r="G6" t="s">
        <v>13</v>
      </c>
    </row>
    <row r="7" spans="1:7" x14ac:dyDescent="0.25">
      <c r="A7" t="s">
        <v>11</v>
      </c>
      <c r="B7" s="2">
        <v>44138</v>
      </c>
      <c r="C7" s="2">
        <v>44685</v>
      </c>
      <c r="D7" s="2">
        <v>45231</v>
      </c>
      <c r="E7">
        <v>10.95</v>
      </c>
      <c r="F7">
        <v>54.75</v>
      </c>
      <c r="G7" t="s">
        <v>14</v>
      </c>
    </row>
    <row r="8" spans="1:7" x14ac:dyDescent="0.25">
      <c r="A8" t="s">
        <v>11</v>
      </c>
      <c r="B8" s="2">
        <v>44138</v>
      </c>
      <c r="C8" s="2">
        <v>44867</v>
      </c>
      <c r="D8" s="2">
        <v>45231</v>
      </c>
      <c r="E8">
        <v>10.95</v>
      </c>
      <c r="F8">
        <v>54.75</v>
      </c>
      <c r="G8" t="s">
        <v>8</v>
      </c>
    </row>
    <row r="9" spans="1:7" x14ac:dyDescent="0.25">
      <c r="A9" t="s">
        <v>11</v>
      </c>
      <c r="B9" s="2">
        <v>44138</v>
      </c>
      <c r="C9" s="2">
        <v>45049</v>
      </c>
      <c r="D9" s="2">
        <v>45231</v>
      </c>
      <c r="E9">
        <v>10.95</v>
      </c>
      <c r="F9">
        <v>54.75</v>
      </c>
      <c r="G9" t="s">
        <v>9</v>
      </c>
    </row>
    <row r="10" spans="1:7" x14ac:dyDescent="0.25">
      <c r="A10" t="s">
        <v>11</v>
      </c>
      <c r="B10" s="2">
        <v>44138</v>
      </c>
      <c r="C10" s="2">
        <v>45231</v>
      </c>
      <c r="D10" s="2">
        <v>45231</v>
      </c>
      <c r="E10">
        <v>10.95</v>
      </c>
      <c r="F10">
        <v>54.75</v>
      </c>
      <c r="G10" t="s">
        <v>10</v>
      </c>
    </row>
    <row r="11" spans="1:7" x14ac:dyDescent="0.25">
      <c r="A11" t="s">
        <v>15</v>
      </c>
      <c r="B11" s="2">
        <v>43809</v>
      </c>
      <c r="C11" s="2">
        <v>43978</v>
      </c>
      <c r="D11" s="2">
        <v>45252</v>
      </c>
      <c r="E11">
        <v>11.67</v>
      </c>
      <c r="F11">
        <v>58.35</v>
      </c>
      <c r="G11" t="s">
        <v>16</v>
      </c>
    </row>
    <row r="12" spans="1:7" x14ac:dyDescent="0.25">
      <c r="A12" t="s">
        <v>15</v>
      </c>
      <c r="B12" s="2">
        <v>43809</v>
      </c>
      <c r="C12" s="2">
        <v>44160</v>
      </c>
      <c r="D12" s="2">
        <v>45252</v>
      </c>
      <c r="E12">
        <v>11.67</v>
      </c>
      <c r="F12">
        <v>58.35</v>
      </c>
      <c r="G12" t="s">
        <v>17</v>
      </c>
    </row>
    <row r="13" spans="1:7" x14ac:dyDescent="0.25">
      <c r="A13" t="s">
        <v>15</v>
      </c>
      <c r="B13" s="2">
        <v>43809</v>
      </c>
      <c r="C13" s="2">
        <v>44342</v>
      </c>
      <c r="D13" s="2">
        <v>45252</v>
      </c>
      <c r="E13">
        <v>11.67</v>
      </c>
      <c r="F13">
        <v>58.35</v>
      </c>
      <c r="G13" t="s">
        <v>12</v>
      </c>
    </row>
    <row r="14" spans="1:7" x14ac:dyDescent="0.25">
      <c r="A14" t="s">
        <v>15</v>
      </c>
      <c r="B14" s="2">
        <v>43809</v>
      </c>
      <c r="C14" s="2">
        <v>44524</v>
      </c>
      <c r="D14" s="2">
        <v>45252</v>
      </c>
      <c r="E14">
        <v>11.67</v>
      </c>
      <c r="F14">
        <v>58.35</v>
      </c>
      <c r="G14" t="s">
        <v>13</v>
      </c>
    </row>
    <row r="15" spans="1:7" x14ac:dyDescent="0.25">
      <c r="A15" t="s">
        <v>15</v>
      </c>
      <c r="B15" s="2">
        <v>43809</v>
      </c>
      <c r="C15" s="2">
        <v>44706</v>
      </c>
      <c r="D15" s="2">
        <v>45252</v>
      </c>
      <c r="E15">
        <v>11.67</v>
      </c>
      <c r="F15">
        <v>58.35</v>
      </c>
      <c r="G15" t="s">
        <v>14</v>
      </c>
    </row>
    <row r="16" spans="1:7" x14ac:dyDescent="0.25">
      <c r="A16" t="s">
        <v>15</v>
      </c>
      <c r="B16" s="2">
        <v>43809</v>
      </c>
      <c r="C16" s="2">
        <v>44888</v>
      </c>
      <c r="D16" s="2">
        <v>45252</v>
      </c>
      <c r="E16">
        <v>11.67</v>
      </c>
      <c r="F16">
        <v>58.35</v>
      </c>
      <c r="G16" t="s">
        <v>8</v>
      </c>
    </row>
    <row r="17" spans="1:7" x14ac:dyDescent="0.25">
      <c r="A17" t="s">
        <v>15</v>
      </c>
      <c r="B17" s="2">
        <v>43809</v>
      </c>
      <c r="C17" s="2">
        <v>45070</v>
      </c>
      <c r="D17" s="2">
        <v>45252</v>
      </c>
      <c r="E17">
        <v>11.67</v>
      </c>
      <c r="F17">
        <v>58.35</v>
      </c>
      <c r="G17" t="s">
        <v>9</v>
      </c>
    </row>
    <row r="18" spans="1:7" x14ac:dyDescent="0.25">
      <c r="A18" t="s">
        <v>15</v>
      </c>
      <c r="B18" s="2">
        <v>43809</v>
      </c>
      <c r="C18" s="2">
        <v>45252</v>
      </c>
      <c r="D18" s="2">
        <v>45252</v>
      </c>
      <c r="E18">
        <v>11.67</v>
      </c>
      <c r="F18">
        <v>58.35</v>
      </c>
      <c r="G18" t="s">
        <v>10</v>
      </c>
    </row>
    <row r="19" spans="1:7" x14ac:dyDescent="0.25">
      <c r="A19" t="s">
        <v>18</v>
      </c>
      <c r="B19" s="2">
        <v>44572</v>
      </c>
      <c r="C19" s="2">
        <v>44608</v>
      </c>
      <c r="D19" s="2">
        <v>45336</v>
      </c>
      <c r="E19">
        <v>12.94</v>
      </c>
      <c r="F19">
        <v>64.7</v>
      </c>
      <c r="G19" t="s">
        <v>14</v>
      </c>
    </row>
    <row r="20" spans="1:7" x14ac:dyDescent="0.25">
      <c r="A20" t="s">
        <v>18</v>
      </c>
      <c r="B20" s="2">
        <v>44572</v>
      </c>
      <c r="C20" s="2">
        <v>44790</v>
      </c>
      <c r="D20" s="2">
        <v>45336</v>
      </c>
      <c r="E20">
        <v>12.94</v>
      </c>
      <c r="F20">
        <v>64.7</v>
      </c>
      <c r="G20" t="s">
        <v>8</v>
      </c>
    </row>
    <row r="21" spans="1:7" x14ac:dyDescent="0.25">
      <c r="A21" t="s">
        <v>18</v>
      </c>
      <c r="B21" s="2">
        <v>44572</v>
      </c>
      <c r="C21" s="2">
        <v>44972</v>
      </c>
      <c r="D21" s="2">
        <v>45336</v>
      </c>
      <c r="E21">
        <v>12.94</v>
      </c>
      <c r="F21">
        <v>64.7</v>
      </c>
      <c r="G21" t="s">
        <v>9</v>
      </c>
    </row>
    <row r="22" spans="1:7" x14ac:dyDescent="0.25">
      <c r="A22" t="s">
        <v>18</v>
      </c>
      <c r="B22" s="2">
        <v>44572</v>
      </c>
      <c r="C22" s="2">
        <v>45154</v>
      </c>
      <c r="D22" s="2">
        <v>45336</v>
      </c>
      <c r="E22">
        <v>12.94</v>
      </c>
      <c r="F22">
        <v>64.7</v>
      </c>
      <c r="G22" t="s">
        <v>10</v>
      </c>
    </row>
    <row r="23" spans="1:7" x14ac:dyDescent="0.25">
      <c r="A23" t="s">
        <v>18</v>
      </c>
      <c r="B23" s="2">
        <v>44572</v>
      </c>
      <c r="C23" s="2">
        <v>45336</v>
      </c>
      <c r="D23" s="2">
        <v>45336</v>
      </c>
      <c r="E23">
        <v>12.94</v>
      </c>
      <c r="F23">
        <v>64.7</v>
      </c>
      <c r="G23" t="s">
        <v>19</v>
      </c>
    </row>
    <row r="24" spans="1:7" x14ac:dyDescent="0.25">
      <c r="A24" t="s">
        <v>20</v>
      </c>
      <c r="B24" s="2">
        <v>44817</v>
      </c>
      <c r="C24" s="2">
        <v>45000</v>
      </c>
      <c r="D24" s="2">
        <v>45364</v>
      </c>
      <c r="E24">
        <v>16</v>
      </c>
      <c r="F24">
        <v>80</v>
      </c>
      <c r="G24" t="s">
        <v>9</v>
      </c>
    </row>
    <row r="25" spans="1:7" x14ac:dyDescent="0.25">
      <c r="A25" t="s">
        <v>20</v>
      </c>
      <c r="B25" s="2">
        <v>44817</v>
      </c>
      <c r="C25" s="2">
        <v>45182</v>
      </c>
      <c r="D25" s="2">
        <v>45364</v>
      </c>
      <c r="E25">
        <v>16</v>
      </c>
      <c r="F25">
        <v>80</v>
      </c>
      <c r="G25" t="s">
        <v>10</v>
      </c>
    </row>
    <row r="26" spans="1:7" x14ac:dyDescent="0.25">
      <c r="A26" t="s">
        <v>20</v>
      </c>
      <c r="B26" s="2">
        <v>44817</v>
      </c>
      <c r="C26" s="2">
        <v>45364</v>
      </c>
      <c r="D26" s="2">
        <v>45364</v>
      </c>
      <c r="E26">
        <v>16</v>
      </c>
      <c r="F26">
        <v>80</v>
      </c>
      <c r="G26" t="s">
        <v>19</v>
      </c>
    </row>
    <row r="27" spans="1:7" x14ac:dyDescent="0.25">
      <c r="A27" t="s">
        <v>21</v>
      </c>
      <c r="B27" s="2">
        <v>43872</v>
      </c>
      <c r="C27" s="2">
        <v>43978</v>
      </c>
      <c r="D27" s="2">
        <v>45434</v>
      </c>
      <c r="E27">
        <v>9.99</v>
      </c>
      <c r="F27">
        <v>49.95</v>
      </c>
      <c r="G27" t="s">
        <v>16</v>
      </c>
    </row>
    <row r="28" spans="1:7" x14ac:dyDescent="0.25">
      <c r="A28" t="s">
        <v>21</v>
      </c>
      <c r="B28" s="2">
        <v>43872</v>
      </c>
      <c r="C28" s="2">
        <v>44160</v>
      </c>
      <c r="D28" s="2">
        <v>45434</v>
      </c>
      <c r="E28">
        <v>9.99</v>
      </c>
      <c r="F28">
        <v>49.95</v>
      </c>
      <c r="G28" t="s">
        <v>17</v>
      </c>
    </row>
    <row r="29" spans="1:7" x14ac:dyDescent="0.25">
      <c r="A29" t="s">
        <v>21</v>
      </c>
      <c r="B29" s="2">
        <v>43872</v>
      </c>
      <c r="C29" s="2">
        <v>44342</v>
      </c>
      <c r="D29" s="2">
        <v>45434</v>
      </c>
      <c r="E29">
        <v>9.99</v>
      </c>
      <c r="F29">
        <v>49.95</v>
      </c>
      <c r="G29" t="s">
        <v>12</v>
      </c>
    </row>
    <row r="30" spans="1:7" x14ac:dyDescent="0.25">
      <c r="A30" t="s">
        <v>21</v>
      </c>
      <c r="B30" s="2">
        <v>43872</v>
      </c>
      <c r="C30" s="2">
        <v>44524</v>
      </c>
      <c r="D30" s="2">
        <v>45434</v>
      </c>
      <c r="E30">
        <v>9.99</v>
      </c>
      <c r="F30">
        <v>49.95</v>
      </c>
      <c r="G30" t="s">
        <v>13</v>
      </c>
    </row>
    <row r="31" spans="1:7" x14ac:dyDescent="0.25">
      <c r="A31" t="s">
        <v>21</v>
      </c>
      <c r="B31" s="2">
        <v>43872</v>
      </c>
      <c r="C31" s="2">
        <v>44706</v>
      </c>
      <c r="D31" s="2">
        <v>45434</v>
      </c>
      <c r="E31">
        <v>9.99</v>
      </c>
      <c r="F31">
        <v>49.95</v>
      </c>
      <c r="G31" t="s">
        <v>14</v>
      </c>
    </row>
    <row r="32" spans="1:7" x14ac:dyDescent="0.25">
      <c r="A32" t="s">
        <v>21</v>
      </c>
      <c r="B32" s="2">
        <v>43872</v>
      </c>
      <c r="C32" s="2">
        <v>44888</v>
      </c>
      <c r="D32" s="2">
        <v>45434</v>
      </c>
      <c r="E32">
        <v>9.99</v>
      </c>
      <c r="F32">
        <v>49.95</v>
      </c>
      <c r="G32" t="s">
        <v>8</v>
      </c>
    </row>
    <row r="33" spans="1:7" x14ac:dyDescent="0.25">
      <c r="A33" t="s">
        <v>21</v>
      </c>
      <c r="B33" s="2">
        <v>43872</v>
      </c>
      <c r="C33" s="2">
        <v>45070</v>
      </c>
      <c r="D33" s="2">
        <v>45434</v>
      </c>
      <c r="E33">
        <v>9.99</v>
      </c>
      <c r="F33">
        <v>49.95</v>
      </c>
      <c r="G33" t="s">
        <v>9</v>
      </c>
    </row>
    <row r="34" spans="1:7" x14ac:dyDescent="0.25">
      <c r="A34" t="s">
        <v>21</v>
      </c>
      <c r="B34" s="2">
        <v>43872</v>
      </c>
      <c r="C34" s="2">
        <v>45252</v>
      </c>
      <c r="D34" s="2">
        <v>45434</v>
      </c>
      <c r="E34">
        <v>9.99</v>
      </c>
      <c r="F34">
        <v>49.95</v>
      </c>
      <c r="G34" t="s">
        <v>10</v>
      </c>
    </row>
    <row r="35" spans="1:7" x14ac:dyDescent="0.25">
      <c r="A35" t="s">
        <v>21</v>
      </c>
      <c r="B35" s="2">
        <v>43872</v>
      </c>
      <c r="C35" s="2">
        <v>45434</v>
      </c>
      <c r="D35" s="2">
        <v>45434</v>
      </c>
      <c r="E35">
        <v>9.99</v>
      </c>
      <c r="F35">
        <v>49.95</v>
      </c>
      <c r="G35" t="s">
        <v>19</v>
      </c>
    </row>
    <row r="36" spans="1:7" x14ac:dyDescent="0.25">
      <c r="A36" t="s">
        <v>22</v>
      </c>
      <c r="B36" s="2">
        <v>44768</v>
      </c>
      <c r="C36" s="2">
        <v>44923</v>
      </c>
      <c r="D36" s="2">
        <v>45469</v>
      </c>
      <c r="E36">
        <v>14</v>
      </c>
      <c r="F36">
        <v>70</v>
      </c>
      <c r="G36" t="s">
        <v>8</v>
      </c>
    </row>
    <row r="37" spans="1:7" x14ac:dyDescent="0.25">
      <c r="A37" t="s">
        <v>22</v>
      </c>
      <c r="B37" s="2">
        <v>44768</v>
      </c>
      <c r="C37" s="2">
        <v>45105</v>
      </c>
      <c r="D37" s="2">
        <v>45469</v>
      </c>
      <c r="E37">
        <v>14</v>
      </c>
      <c r="F37">
        <v>70</v>
      </c>
      <c r="G37" t="s">
        <v>9</v>
      </c>
    </row>
    <row r="38" spans="1:7" x14ac:dyDescent="0.25">
      <c r="A38" t="s">
        <v>22</v>
      </c>
      <c r="B38" s="2">
        <v>44768</v>
      </c>
      <c r="C38" s="2">
        <v>45287</v>
      </c>
      <c r="D38" s="2">
        <v>45469</v>
      </c>
      <c r="E38">
        <v>14</v>
      </c>
      <c r="F38">
        <v>70</v>
      </c>
      <c r="G38" t="s">
        <v>10</v>
      </c>
    </row>
    <row r="39" spans="1:7" x14ac:dyDescent="0.25">
      <c r="A39" t="s">
        <v>22</v>
      </c>
      <c r="B39" s="2">
        <v>44768</v>
      </c>
      <c r="C39" s="2">
        <v>45469</v>
      </c>
      <c r="D39" s="2">
        <v>45469</v>
      </c>
      <c r="E39">
        <v>14</v>
      </c>
      <c r="F39">
        <v>70</v>
      </c>
      <c r="G39" t="s">
        <v>19</v>
      </c>
    </row>
    <row r="40" spans="1:7" x14ac:dyDescent="0.25">
      <c r="A40" t="s">
        <v>23</v>
      </c>
      <c r="B40" s="2">
        <v>44383</v>
      </c>
      <c r="C40" s="2">
        <v>44566</v>
      </c>
      <c r="D40" s="2">
        <v>45476</v>
      </c>
      <c r="E40">
        <v>12.3</v>
      </c>
      <c r="F40">
        <v>61.5</v>
      </c>
      <c r="G40" t="s">
        <v>14</v>
      </c>
    </row>
    <row r="41" spans="1:7" x14ac:dyDescent="0.25">
      <c r="A41" t="s">
        <v>23</v>
      </c>
      <c r="B41" s="2">
        <v>44383</v>
      </c>
      <c r="C41" s="2">
        <v>44748</v>
      </c>
      <c r="D41" s="2">
        <v>45476</v>
      </c>
      <c r="E41">
        <v>12.3</v>
      </c>
      <c r="F41">
        <v>61.5</v>
      </c>
      <c r="G41" t="s">
        <v>8</v>
      </c>
    </row>
    <row r="42" spans="1:7" x14ac:dyDescent="0.25">
      <c r="A42" t="s">
        <v>23</v>
      </c>
      <c r="B42" s="2">
        <v>44383</v>
      </c>
      <c r="C42" s="2">
        <v>44930</v>
      </c>
      <c r="D42" s="2">
        <v>45476</v>
      </c>
      <c r="E42">
        <v>12.3</v>
      </c>
      <c r="F42">
        <v>61.5</v>
      </c>
      <c r="G42" t="s">
        <v>9</v>
      </c>
    </row>
    <row r="43" spans="1:7" x14ac:dyDescent="0.25">
      <c r="A43" t="s">
        <v>23</v>
      </c>
      <c r="B43" s="2">
        <v>44383</v>
      </c>
      <c r="C43" s="2">
        <v>45112</v>
      </c>
      <c r="D43" s="2">
        <v>45476</v>
      </c>
      <c r="E43">
        <v>12.3</v>
      </c>
      <c r="F43">
        <v>61.5</v>
      </c>
      <c r="G43" t="s">
        <v>10</v>
      </c>
    </row>
    <row r="44" spans="1:7" x14ac:dyDescent="0.25">
      <c r="A44" t="s">
        <v>23</v>
      </c>
      <c r="B44" s="2">
        <v>44383</v>
      </c>
      <c r="C44" s="2">
        <v>45294</v>
      </c>
      <c r="D44" s="2">
        <v>45476</v>
      </c>
      <c r="E44">
        <v>12.3</v>
      </c>
      <c r="F44">
        <v>61.5</v>
      </c>
      <c r="G44" t="s">
        <v>19</v>
      </c>
    </row>
    <row r="45" spans="1:7" x14ac:dyDescent="0.25">
      <c r="A45" t="s">
        <v>23</v>
      </c>
      <c r="B45" s="2">
        <v>44383</v>
      </c>
      <c r="C45" s="2">
        <v>45476</v>
      </c>
      <c r="D45" s="2">
        <v>45476</v>
      </c>
      <c r="E45">
        <v>12.3</v>
      </c>
      <c r="F45">
        <v>61.5</v>
      </c>
      <c r="G45" t="s">
        <v>24</v>
      </c>
    </row>
    <row r="46" spans="1:7" x14ac:dyDescent="0.25">
      <c r="A46" t="s">
        <v>25</v>
      </c>
      <c r="B46" s="2">
        <v>44929</v>
      </c>
      <c r="C46" s="2">
        <v>44965</v>
      </c>
      <c r="D46" s="2">
        <v>45511</v>
      </c>
      <c r="E46">
        <v>19.25</v>
      </c>
      <c r="F46">
        <v>96.25</v>
      </c>
      <c r="G46" t="s">
        <v>9</v>
      </c>
    </row>
    <row r="47" spans="1:7" x14ac:dyDescent="0.25">
      <c r="A47" t="s">
        <v>25</v>
      </c>
      <c r="B47" s="2">
        <v>44929</v>
      </c>
      <c r="C47" s="2">
        <v>45147</v>
      </c>
      <c r="D47" s="2">
        <v>45511</v>
      </c>
      <c r="E47">
        <v>19.25</v>
      </c>
      <c r="F47">
        <v>96.25</v>
      </c>
      <c r="G47" t="s">
        <v>10</v>
      </c>
    </row>
    <row r="48" spans="1:7" x14ac:dyDescent="0.25">
      <c r="A48" t="s">
        <v>25</v>
      </c>
      <c r="B48" s="2">
        <v>44929</v>
      </c>
      <c r="C48" s="2">
        <v>45329</v>
      </c>
      <c r="D48" s="2">
        <v>45511</v>
      </c>
      <c r="E48">
        <v>19.25</v>
      </c>
      <c r="F48">
        <v>96.25</v>
      </c>
      <c r="G48" t="s">
        <v>19</v>
      </c>
    </row>
    <row r="49" spans="1:7" x14ac:dyDescent="0.25">
      <c r="A49" t="s">
        <v>25</v>
      </c>
      <c r="B49" s="2">
        <v>44929</v>
      </c>
      <c r="C49" s="2">
        <v>45511</v>
      </c>
      <c r="D49" s="2">
        <v>45511</v>
      </c>
      <c r="E49">
        <v>19.25</v>
      </c>
      <c r="F49">
        <v>96.25</v>
      </c>
      <c r="G49" t="s">
        <v>24</v>
      </c>
    </row>
    <row r="50" spans="1:7" x14ac:dyDescent="0.25">
      <c r="A50" t="s">
        <v>26</v>
      </c>
      <c r="B50" s="2">
        <v>41913</v>
      </c>
      <c r="C50" s="2">
        <v>42081</v>
      </c>
      <c r="D50" s="2">
        <v>45539</v>
      </c>
      <c r="E50">
        <v>15.5</v>
      </c>
      <c r="F50">
        <v>77.5</v>
      </c>
      <c r="G50" t="s">
        <v>27</v>
      </c>
    </row>
    <row r="51" spans="1:7" x14ac:dyDescent="0.25">
      <c r="A51" t="s">
        <v>26</v>
      </c>
      <c r="B51" s="2">
        <v>41913</v>
      </c>
      <c r="C51" s="2">
        <v>42263</v>
      </c>
      <c r="D51" s="2">
        <v>45539</v>
      </c>
      <c r="E51">
        <v>15.5</v>
      </c>
      <c r="F51">
        <v>77.5</v>
      </c>
      <c r="G51" t="s">
        <v>28</v>
      </c>
    </row>
    <row r="52" spans="1:7" x14ac:dyDescent="0.25">
      <c r="A52" t="s">
        <v>26</v>
      </c>
      <c r="B52" s="2">
        <v>41913</v>
      </c>
      <c r="C52" s="2">
        <v>42445</v>
      </c>
      <c r="D52" s="2">
        <v>45539</v>
      </c>
      <c r="E52">
        <v>15.5</v>
      </c>
      <c r="F52">
        <v>77.5</v>
      </c>
      <c r="G52" t="s">
        <v>29</v>
      </c>
    </row>
    <row r="53" spans="1:7" x14ac:dyDescent="0.25">
      <c r="A53" t="s">
        <v>26</v>
      </c>
      <c r="B53" s="2">
        <v>41913</v>
      </c>
      <c r="C53" s="2">
        <v>42627</v>
      </c>
      <c r="D53" s="2">
        <v>45539</v>
      </c>
      <c r="E53">
        <v>15.5</v>
      </c>
      <c r="F53">
        <v>77.5</v>
      </c>
      <c r="G53" t="s">
        <v>30</v>
      </c>
    </row>
    <row r="54" spans="1:7" x14ac:dyDescent="0.25">
      <c r="A54" t="s">
        <v>26</v>
      </c>
      <c r="B54" s="2">
        <v>41913</v>
      </c>
      <c r="C54" s="2">
        <v>42809</v>
      </c>
      <c r="D54" s="2">
        <v>45539</v>
      </c>
      <c r="E54">
        <v>15.5</v>
      </c>
      <c r="F54">
        <v>77.5</v>
      </c>
      <c r="G54" t="s">
        <v>31</v>
      </c>
    </row>
    <row r="55" spans="1:7" x14ac:dyDescent="0.25">
      <c r="A55" t="s">
        <v>26</v>
      </c>
      <c r="B55" s="2">
        <v>41913</v>
      </c>
      <c r="C55" s="2">
        <v>42991</v>
      </c>
      <c r="D55" s="2">
        <v>45539</v>
      </c>
      <c r="E55">
        <v>15.5</v>
      </c>
      <c r="F55">
        <v>77.5</v>
      </c>
      <c r="G55" t="s">
        <v>32</v>
      </c>
    </row>
    <row r="56" spans="1:7" x14ac:dyDescent="0.25">
      <c r="A56" t="s">
        <v>26</v>
      </c>
      <c r="B56" s="2">
        <v>41913</v>
      </c>
      <c r="C56" s="2">
        <v>43173</v>
      </c>
      <c r="D56" s="2">
        <v>45539</v>
      </c>
      <c r="E56">
        <v>15.5</v>
      </c>
      <c r="F56">
        <v>77.5</v>
      </c>
      <c r="G56" t="s">
        <v>33</v>
      </c>
    </row>
    <row r="57" spans="1:7" x14ac:dyDescent="0.25">
      <c r="A57" t="s">
        <v>26</v>
      </c>
      <c r="B57" s="2">
        <v>41913</v>
      </c>
      <c r="C57" s="2">
        <v>43355</v>
      </c>
      <c r="D57" s="2">
        <v>45539</v>
      </c>
      <c r="E57">
        <v>15.5</v>
      </c>
      <c r="F57">
        <v>77.5</v>
      </c>
      <c r="G57" t="s">
        <v>34</v>
      </c>
    </row>
    <row r="58" spans="1:7" x14ac:dyDescent="0.25">
      <c r="A58" t="s">
        <v>26</v>
      </c>
      <c r="B58" s="2">
        <v>41913</v>
      </c>
      <c r="C58" s="2">
        <v>43537</v>
      </c>
      <c r="D58" s="2">
        <v>45539</v>
      </c>
      <c r="E58">
        <v>15.5</v>
      </c>
      <c r="F58">
        <v>77.5</v>
      </c>
      <c r="G58" t="s">
        <v>35</v>
      </c>
    </row>
    <row r="59" spans="1:7" x14ac:dyDescent="0.25">
      <c r="A59" t="s">
        <v>26</v>
      </c>
      <c r="B59" s="2">
        <v>41913</v>
      </c>
      <c r="C59" s="2">
        <v>43719</v>
      </c>
      <c r="D59" s="2">
        <v>45539</v>
      </c>
      <c r="E59">
        <v>15.5</v>
      </c>
      <c r="F59">
        <v>77.5</v>
      </c>
      <c r="G59" t="s">
        <v>36</v>
      </c>
    </row>
    <row r="60" spans="1:7" x14ac:dyDescent="0.25">
      <c r="A60" t="s">
        <v>26</v>
      </c>
      <c r="B60" s="2">
        <v>41913</v>
      </c>
      <c r="C60" s="2">
        <v>43901</v>
      </c>
      <c r="D60" s="2">
        <v>45539</v>
      </c>
      <c r="E60">
        <v>15.5</v>
      </c>
      <c r="F60">
        <v>77.5</v>
      </c>
      <c r="G60" t="s">
        <v>16</v>
      </c>
    </row>
    <row r="61" spans="1:7" x14ac:dyDescent="0.25">
      <c r="A61" t="s">
        <v>26</v>
      </c>
      <c r="B61" s="2">
        <v>41913</v>
      </c>
      <c r="C61" s="2">
        <v>44083</v>
      </c>
      <c r="D61" s="2">
        <v>45539</v>
      </c>
      <c r="E61">
        <v>15.5</v>
      </c>
      <c r="F61">
        <v>77.5</v>
      </c>
      <c r="G61" t="s">
        <v>17</v>
      </c>
    </row>
    <row r="62" spans="1:7" x14ac:dyDescent="0.25">
      <c r="A62" t="s">
        <v>26</v>
      </c>
      <c r="B62" s="2">
        <v>41913</v>
      </c>
      <c r="C62" s="2">
        <v>44265</v>
      </c>
      <c r="D62" s="2">
        <v>45539</v>
      </c>
      <c r="E62">
        <v>15.5</v>
      </c>
      <c r="F62">
        <v>77.5</v>
      </c>
      <c r="G62" t="s">
        <v>12</v>
      </c>
    </row>
    <row r="63" spans="1:7" x14ac:dyDescent="0.25">
      <c r="A63" t="s">
        <v>26</v>
      </c>
      <c r="B63" s="2">
        <v>41913</v>
      </c>
      <c r="C63" s="2">
        <v>44447</v>
      </c>
      <c r="D63" s="2">
        <v>45539</v>
      </c>
      <c r="E63">
        <v>15.5</v>
      </c>
      <c r="F63">
        <v>77.5</v>
      </c>
      <c r="G63" t="s">
        <v>13</v>
      </c>
    </row>
    <row r="64" spans="1:7" x14ac:dyDescent="0.25">
      <c r="A64" t="s">
        <v>26</v>
      </c>
      <c r="B64" s="2">
        <v>41913</v>
      </c>
      <c r="C64" s="2">
        <v>44629</v>
      </c>
      <c r="D64" s="2">
        <v>45539</v>
      </c>
      <c r="E64">
        <v>15.5</v>
      </c>
      <c r="F64">
        <v>77.5</v>
      </c>
      <c r="G64" t="s">
        <v>14</v>
      </c>
    </row>
    <row r="65" spans="1:7" x14ac:dyDescent="0.25">
      <c r="A65" t="s">
        <v>26</v>
      </c>
      <c r="B65" s="2">
        <v>41913</v>
      </c>
      <c r="C65" s="2">
        <v>44811</v>
      </c>
      <c r="D65" s="2">
        <v>45539</v>
      </c>
      <c r="E65">
        <v>15.5</v>
      </c>
      <c r="F65">
        <v>77.5</v>
      </c>
      <c r="G65" t="s">
        <v>8</v>
      </c>
    </row>
    <row r="66" spans="1:7" x14ac:dyDescent="0.25">
      <c r="A66" t="s">
        <v>26</v>
      </c>
      <c r="B66" s="2">
        <v>41913</v>
      </c>
      <c r="C66" s="2">
        <v>44993</v>
      </c>
      <c r="D66" s="2">
        <v>45539</v>
      </c>
      <c r="E66">
        <v>15.5</v>
      </c>
      <c r="F66">
        <v>77.5</v>
      </c>
      <c r="G66" t="s">
        <v>9</v>
      </c>
    </row>
    <row r="67" spans="1:7" x14ac:dyDescent="0.25">
      <c r="A67" t="s">
        <v>26</v>
      </c>
      <c r="B67" s="2">
        <v>41913</v>
      </c>
      <c r="C67" s="2">
        <v>45175</v>
      </c>
      <c r="D67" s="2">
        <v>45539</v>
      </c>
      <c r="E67">
        <v>15.5</v>
      </c>
      <c r="F67">
        <v>77.5</v>
      </c>
      <c r="G67" t="s">
        <v>10</v>
      </c>
    </row>
    <row r="68" spans="1:7" x14ac:dyDescent="0.25">
      <c r="A68" t="s">
        <v>26</v>
      </c>
      <c r="B68" s="2">
        <v>41913</v>
      </c>
      <c r="C68" s="2">
        <v>45357</v>
      </c>
      <c r="D68" s="2">
        <v>45539</v>
      </c>
      <c r="E68">
        <v>15.5</v>
      </c>
      <c r="F68">
        <v>77.5</v>
      </c>
      <c r="G68" t="s">
        <v>19</v>
      </c>
    </row>
    <row r="69" spans="1:7" x14ac:dyDescent="0.25">
      <c r="A69" t="s">
        <v>26</v>
      </c>
      <c r="B69" s="2">
        <v>41913</v>
      </c>
      <c r="C69" s="2">
        <v>45539</v>
      </c>
      <c r="D69" s="2">
        <v>45539</v>
      </c>
      <c r="E69">
        <v>15.5</v>
      </c>
      <c r="F69">
        <v>77.5</v>
      </c>
      <c r="G69" t="s">
        <v>24</v>
      </c>
    </row>
    <row r="70" spans="1:7" x14ac:dyDescent="0.25">
      <c r="A70" t="s">
        <v>37</v>
      </c>
      <c r="B70" s="2">
        <v>41906</v>
      </c>
      <c r="C70" s="2">
        <v>42088</v>
      </c>
      <c r="D70" s="2">
        <v>45546</v>
      </c>
      <c r="E70">
        <v>15.5</v>
      </c>
      <c r="F70">
        <v>76.650000000000006</v>
      </c>
      <c r="G70" t="s">
        <v>27</v>
      </c>
    </row>
    <row r="71" spans="1:7" x14ac:dyDescent="0.25">
      <c r="A71" t="s">
        <v>37</v>
      </c>
      <c r="B71" s="2">
        <v>41906</v>
      </c>
      <c r="C71" s="2">
        <v>42270</v>
      </c>
      <c r="D71" s="2">
        <v>45546</v>
      </c>
      <c r="E71">
        <v>15.5</v>
      </c>
      <c r="F71">
        <v>77.5</v>
      </c>
      <c r="G71" t="s">
        <v>28</v>
      </c>
    </row>
    <row r="72" spans="1:7" x14ac:dyDescent="0.25">
      <c r="A72" t="s">
        <v>37</v>
      </c>
      <c r="B72" s="2">
        <v>41906</v>
      </c>
      <c r="C72" s="2">
        <v>42452</v>
      </c>
      <c r="D72" s="2">
        <v>45546</v>
      </c>
      <c r="E72">
        <v>15.5</v>
      </c>
      <c r="F72">
        <v>77.5</v>
      </c>
      <c r="G72" t="s">
        <v>29</v>
      </c>
    </row>
    <row r="73" spans="1:7" x14ac:dyDescent="0.25">
      <c r="A73" t="s">
        <v>37</v>
      </c>
      <c r="B73" s="2">
        <v>41906</v>
      </c>
      <c r="C73" s="2">
        <v>42634</v>
      </c>
      <c r="D73" s="2">
        <v>45546</v>
      </c>
      <c r="E73">
        <v>15.5</v>
      </c>
      <c r="F73">
        <v>77.5</v>
      </c>
      <c r="G73" t="s">
        <v>30</v>
      </c>
    </row>
    <row r="74" spans="1:7" x14ac:dyDescent="0.25">
      <c r="A74" t="s">
        <v>37</v>
      </c>
      <c r="B74" s="2">
        <v>41906</v>
      </c>
      <c r="C74" s="2">
        <v>42816</v>
      </c>
      <c r="D74" s="2">
        <v>45546</v>
      </c>
      <c r="E74">
        <v>15.5</v>
      </c>
      <c r="F74">
        <v>77.5</v>
      </c>
      <c r="G74" t="s">
        <v>31</v>
      </c>
    </row>
    <row r="75" spans="1:7" x14ac:dyDescent="0.25">
      <c r="A75" t="s">
        <v>37</v>
      </c>
      <c r="B75" s="2">
        <v>41906</v>
      </c>
      <c r="C75" s="2">
        <v>42998</v>
      </c>
      <c r="D75" s="2">
        <v>45546</v>
      </c>
      <c r="E75">
        <v>15.5</v>
      </c>
      <c r="F75">
        <v>77.5</v>
      </c>
      <c r="G75" t="s">
        <v>32</v>
      </c>
    </row>
    <row r="76" spans="1:7" x14ac:dyDescent="0.25">
      <c r="A76" t="s">
        <v>37</v>
      </c>
      <c r="B76" s="2">
        <v>41906</v>
      </c>
      <c r="C76" s="2">
        <v>43180</v>
      </c>
      <c r="D76" s="2">
        <v>45546</v>
      </c>
      <c r="E76">
        <v>15.5</v>
      </c>
      <c r="F76">
        <v>77.5</v>
      </c>
      <c r="G76" t="s">
        <v>33</v>
      </c>
    </row>
    <row r="77" spans="1:7" x14ac:dyDescent="0.25">
      <c r="A77" t="s">
        <v>37</v>
      </c>
      <c r="B77" s="2">
        <v>41906</v>
      </c>
      <c r="C77" s="2">
        <v>43362</v>
      </c>
      <c r="D77" s="2">
        <v>45546</v>
      </c>
      <c r="E77">
        <v>15.5</v>
      </c>
      <c r="F77">
        <v>77.5</v>
      </c>
      <c r="G77" t="s">
        <v>34</v>
      </c>
    </row>
    <row r="78" spans="1:7" x14ac:dyDescent="0.25">
      <c r="A78" t="s">
        <v>37</v>
      </c>
      <c r="B78" s="2">
        <v>41906</v>
      </c>
      <c r="C78" s="2">
        <v>43544</v>
      </c>
      <c r="D78" s="2">
        <v>45546</v>
      </c>
      <c r="E78">
        <v>15.5</v>
      </c>
      <c r="F78">
        <v>77.5</v>
      </c>
      <c r="G78" t="s">
        <v>35</v>
      </c>
    </row>
    <row r="79" spans="1:7" x14ac:dyDescent="0.25">
      <c r="A79" t="s">
        <v>37</v>
      </c>
      <c r="B79" s="2">
        <v>41906</v>
      </c>
      <c r="C79" s="2">
        <v>43726</v>
      </c>
      <c r="D79" s="2">
        <v>45546</v>
      </c>
      <c r="E79">
        <v>15.5</v>
      </c>
      <c r="F79">
        <v>77.5</v>
      </c>
      <c r="G79" t="s">
        <v>36</v>
      </c>
    </row>
    <row r="80" spans="1:7" x14ac:dyDescent="0.25">
      <c r="A80" t="s">
        <v>37</v>
      </c>
      <c r="B80" s="2">
        <v>41906</v>
      </c>
      <c r="C80" s="2">
        <v>43908</v>
      </c>
      <c r="D80" s="2">
        <v>45546</v>
      </c>
      <c r="E80">
        <v>15.5</v>
      </c>
      <c r="F80">
        <v>77.5</v>
      </c>
      <c r="G80" t="s">
        <v>16</v>
      </c>
    </row>
    <row r="81" spans="1:7" x14ac:dyDescent="0.25">
      <c r="A81" t="s">
        <v>37</v>
      </c>
      <c r="B81" s="2">
        <v>41906</v>
      </c>
      <c r="C81" s="2">
        <v>44090</v>
      </c>
      <c r="D81" s="2">
        <v>45546</v>
      </c>
      <c r="E81">
        <v>15.5</v>
      </c>
      <c r="F81">
        <v>77.5</v>
      </c>
      <c r="G81" t="s">
        <v>17</v>
      </c>
    </row>
    <row r="82" spans="1:7" x14ac:dyDescent="0.25">
      <c r="A82" t="s">
        <v>37</v>
      </c>
      <c r="B82" s="2">
        <v>41906</v>
      </c>
      <c r="C82" s="2">
        <v>44272</v>
      </c>
      <c r="D82" s="2">
        <v>45546</v>
      </c>
      <c r="E82">
        <v>15.5</v>
      </c>
      <c r="F82">
        <v>77.5</v>
      </c>
      <c r="G82" t="s">
        <v>12</v>
      </c>
    </row>
    <row r="83" spans="1:7" x14ac:dyDescent="0.25">
      <c r="A83" t="s">
        <v>37</v>
      </c>
      <c r="B83" s="2">
        <v>41906</v>
      </c>
      <c r="C83" s="2">
        <v>44454</v>
      </c>
      <c r="D83" s="2">
        <v>45546</v>
      </c>
      <c r="E83">
        <v>15.5</v>
      </c>
      <c r="F83">
        <v>77.5</v>
      </c>
      <c r="G83" t="s">
        <v>13</v>
      </c>
    </row>
    <row r="84" spans="1:7" x14ac:dyDescent="0.25">
      <c r="A84" t="s">
        <v>37</v>
      </c>
      <c r="B84" s="2">
        <v>41906</v>
      </c>
      <c r="C84" s="2">
        <v>44636</v>
      </c>
      <c r="D84" s="2">
        <v>45546</v>
      </c>
      <c r="E84">
        <v>15.5</v>
      </c>
      <c r="F84">
        <v>77.5</v>
      </c>
      <c r="G84" t="s">
        <v>14</v>
      </c>
    </row>
    <row r="85" spans="1:7" x14ac:dyDescent="0.25">
      <c r="A85" t="s">
        <v>37</v>
      </c>
      <c r="B85" s="2">
        <v>41906</v>
      </c>
      <c r="C85" s="2">
        <v>44818</v>
      </c>
      <c r="D85" s="2">
        <v>45546</v>
      </c>
      <c r="E85">
        <v>15.5</v>
      </c>
      <c r="F85">
        <v>77.5</v>
      </c>
      <c r="G85" t="s">
        <v>8</v>
      </c>
    </row>
    <row r="86" spans="1:7" x14ac:dyDescent="0.25">
      <c r="A86" t="s">
        <v>37</v>
      </c>
      <c r="B86" s="2">
        <v>41906</v>
      </c>
      <c r="C86" s="2">
        <v>45000</v>
      </c>
      <c r="D86" s="2">
        <v>45546</v>
      </c>
      <c r="E86">
        <v>15.5</v>
      </c>
      <c r="F86">
        <v>77.5</v>
      </c>
      <c r="G86" t="s">
        <v>9</v>
      </c>
    </row>
    <row r="87" spans="1:7" x14ac:dyDescent="0.25">
      <c r="A87" t="s">
        <v>37</v>
      </c>
      <c r="B87" s="2">
        <v>41906</v>
      </c>
      <c r="C87" s="2">
        <v>45182</v>
      </c>
      <c r="D87" s="2">
        <v>45546</v>
      </c>
      <c r="E87">
        <v>15.5</v>
      </c>
      <c r="F87">
        <v>77.5</v>
      </c>
      <c r="G87" t="s">
        <v>10</v>
      </c>
    </row>
    <row r="88" spans="1:7" x14ac:dyDescent="0.25">
      <c r="A88" t="s">
        <v>37</v>
      </c>
      <c r="B88" s="2">
        <v>41906</v>
      </c>
      <c r="C88" s="2">
        <v>45364</v>
      </c>
      <c r="D88" s="2">
        <v>45546</v>
      </c>
      <c r="E88">
        <v>15.5</v>
      </c>
      <c r="F88">
        <v>77.5</v>
      </c>
      <c r="G88" t="s">
        <v>19</v>
      </c>
    </row>
    <row r="89" spans="1:7" x14ac:dyDescent="0.25">
      <c r="A89" t="s">
        <v>37</v>
      </c>
      <c r="B89" s="2">
        <v>41906</v>
      </c>
      <c r="C89" s="2">
        <v>45546</v>
      </c>
      <c r="D89" s="2">
        <v>45546</v>
      </c>
      <c r="E89">
        <v>15.5</v>
      </c>
      <c r="F89">
        <v>77.5</v>
      </c>
      <c r="G89" t="s">
        <v>24</v>
      </c>
    </row>
    <row r="90" spans="1:7" x14ac:dyDescent="0.25">
      <c r="A90" t="s">
        <v>38</v>
      </c>
      <c r="B90" s="2">
        <v>41934</v>
      </c>
      <c r="C90" s="2">
        <v>42109</v>
      </c>
      <c r="D90" s="2">
        <v>45567</v>
      </c>
      <c r="E90">
        <v>15.5</v>
      </c>
      <c r="F90">
        <v>77.5</v>
      </c>
      <c r="G90" t="s">
        <v>27</v>
      </c>
    </row>
    <row r="91" spans="1:7" x14ac:dyDescent="0.25">
      <c r="A91" t="s">
        <v>38</v>
      </c>
      <c r="B91" s="2">
        <v>41934</v>
      </c>
      <c r="C91" s="2">
        <v>42291</v>
      </c>
      <c r="D91" s="2">
        <v>45567</v>
      </c>
      <c r="E91">
        <v>15.5</v>
      </c>
      <c r="F91">
        <v>77.5</v>
      </c>
      <c r="G91" t="s">
        <v>28</v>
      </c>
    </row>
    <row r="92" spans="1:7" x14ac:dyDescent="0.25">
      <c r="A92" t="s">
        <v>38</v>
      </c>
      <c r="B92" s="2">
        <v>41934</v>
      </c>
      <c r="C92" s="2">
        <v>42473</v>
      </c>
      <c r="D92" s="2">
        <v>45567</v>
      </c>
      <c r="E92">
        <v>15.5</v>
      </c>
      <c r="F92">
        <v>77.5</v>
      </c>
      <c r="G92" t="s">
        <v>29</v>
      </c>
    </row>
    <row r="93" spans="1:7" x14ac:dyDescent="0.25">
      <c r="A93" t="s">
        <v>38</v>
      </c>
      <c r="B93" s="2">
        <v>41934</v>
      </c>
      <c r="C93" s="2">
        <v>42655</v>
      </c>
      <c r="D93" s="2">
        <v>45567</v>
      </c>
      <c r="E93">
        <v>15.5</v>
      </c>
      <c r="F93">
        <v>77.5</v>
      </c>
      <c r="G93" t="s">
        <v>30</v>
      </c>
    </row>
    <row r="94" spans="1:7" x14ac:dyDescent="0.25">
      <c r="A94" t="s">
        <v>38</v>
      </c>
      <c r="B94" s="2">
        <v>41934</v>
      </c>
      <c r="C94" s="2">
        <v>42837</v>
      </c>
      <c r="D94" s="2">
        <v>45567</v>
      </c>
      <c r="E94">
        <v>15.5</v>
      </c>
      <c r="F94">
        <v>77.5</v>
      </c>
      <c r="G94" t="s">
        <v>31</v>
      </c>
    </row>
    <row r="95" spans="1:7" x14ac:dyDescent="0.25">
      <c r="A95" t="s">
        <v>38</v>
      </c>
      <c r="B95" s="2">
        <v>41934</v>
      </c>
      <c r="C95" s="2">
        <v>43019</v>
      </c>
      <c r="D95" s="2">
        <v>45567</v>
      </c>
      <c r="E95">
        <v>15.5</v>
      </c>
      <c r="F95">
        <v>77.5</v>
      </c>
      <c r="G95" t="s">
        <v>32</v>
      </c>
    </row>
    <row r="96" spans="1:7" x14ac:dyDescent="0.25">
      <c r="A96" t="s">
        <v>38</v>
      </c>
      <c r="B96" s="2">
        <v>41934</v>
      </c>
      <c r="C96" s="2">
        <v>43201</v>
      </c>
      <c r="D96" s="2">
        <v>45567</v>
      </c>
      <c r="E96">
        <v>15.5</v>
      </c>
      <c r="F96">
        <v>77.5</v>
      </c>
      <c r="G96" t="s">
        <v>33</v>
      </c>
    </row>
    <row r="97" spans="1:7" x14ac:dyDescent="0.25">
      <c r="A97" t="s">
        <v>38</v>
      </c>
      <c r="B97" s="2">
        <v>41934</v>
      </c>
      <c r="C97" s="2">
        <v>43383</v>
      </c>
      <c r="D97" s="2">
        <v>45567</v>
      </c>
      <c r="E97">
        <v>15.5</v>
      </c>
      <c r="F97">
        <v>77.5</v>
      </c>
      <c r="G97" t="s">
        <v>34</v>
      </c>
    </row>
    <row r="98" spans="1:7" x14ac:dyDescent="0.25">
      <c r="A98" t="s">
        <v>38</v>
      </c>
      <c r="B98" s="2">
        <v>41934</v>
      </c>
      <c r="C98" s="2">
        <v>43565</v>
      </c>
      <c r="D98" s="2">
        <v>45567</v>
      </c>
      <c r="E98">
        <v>15.5</v>
      </c>
      <c r="F98">
        <v>77.5</v>
      </c>
      <c r="G98" t="s">
        <v>35</v>
      </c>
    </row>
    <row r="99" spans="1:7" x14ac:dyDescent="0.25">
      <c r="A99" t="s">
        <v>38</v>
      </c>
      <c r="B99" s="2">
        <v>41934</v>
      </c>
      <c r="C99" s="2">
        <v>43747</v>
      </c>
      <c r="D99" s="2">
        <v>45567</v>
      </c>
      <c r="E99">
        <v>15.5</v>
      </c>
      <c r="F99">
        <v>77.5</v>
      </c>
      <c r="G99" t="s">
        <v>36</v>
      </c>
    </row>
    <row r="100" spans="1:7" x14ac:dyDescent="0.25">
      <c r="A100" t="s">
        <v>38</v>
      </c>
      <c r="B100" s="2">
        <v>41934</v>
      </c>
      <c r="C100" s="2">
        <v>43929</v>
      </c>
      <c r="D100" s="2">
        <v>45567</v>
      </c>
      <c r="E100">
        <v>15.5</v>
      </c>
      <c r="F100">
        <v>77.5</v>
      </c>
      <c r="G100" t="s">
        <v>16</v>
      </c>
    </row>
    <row r="101" spans="1:7" x14ac:dyDescent="0.25">
      <c r="A101" t="s">
        <v>38</v>
      </c>
      <c r="B101" s="2">
        <v>41934</v>
      </c>
      <c r="C101" s="2">
        <v>44111</v>
      </c>
      <c r="D101" s="2">
        <v>45567</v>
      </c>
      <c r="E101">
        <v>15.5</v>
      </c>
      <c r="F101">
        <v>77.5</v>
      </c>
      <c r="G101" t="s">
        <v>17</v>
      </c>
    </row>
    <row r="102" spans="1:7" x14ac:dyDescent="0.25">
      <c r="A102" t="s">
        <v>38</v>
      </c>
      <c r="B102" s="2">
        <v>41934</v>
      </c>
      <c r="C102" s="2">
        <v>44293</v>
      </c>
      <c r="D102" s="2">
        <v>45567</v>
      </c>
      <c r="E102">
        <v>15.5</v>
      </c>
      <c r="F102">
        <v>77.5</v>
      </c>
      <c r="G102" t="s">
        <v>12</v>
      </c>
    </row>
    <row r="103" spans="1:7" x14ac:dyDescent="0.25">
      <c r="A103" t="s">
        <v>38</v>
      </c>
      <c r="B103" s="2">
        <v>41934</v>
      </c>
      <c r="C103" s="2">
        <v>44475</v>
      </c>
      <c r="D103" s="2">
        <v>45567</v>
      </c>
      <c r="E103">
        <v>15.5</v>
      </c>
      <c r="F103">
        <v>77.5</v>
      </c>
      <c r="G103" t="s">
        <v>13</v>
      </c>
    </row>
    <row r="104" spans="1:7" x14ac:dyDescent="0.25">
      <c r="A104" t="s">
        <v>38</v>
      </c>
      <c r="B104" s="2">
        <v>41934</v>
      </c>
      <c r="C104" s="2">
        <v>44657</v>
      </c>
      <c r="D104" s="2">
        <v>45567</v>
      </c>
      <c r="E104">
        <v>15.5</v>
      </c>
      <c r="F104">
        <v>77.5</v>
      </c>
      <c r="G104" t="s">
        <v>14</v>
      </c>
    </row>
    <row r="105" spans="1:7" x14ac:dyDescent="0.25">
      <c r="A105" t="s">
        <v>38</v>
      </c>
      <c r="B105" s="2">
        <v>41934</v>
      </c>
      <c r="C105" s="2">
        <v>44839</v>
      </c>
      <c r="D105" s="2">
        <v>45567</v>
      </c>
      <c r="E105">
        <v>15.5</v>
      </c>
      <c r="F105">
        <v>77.5</v>
      </c>
      <c r="G105" t="s">
        <v>8</v>
      </c>
    </row>
    <row r="106" spans="1:7" x14ac:dyDescent="0.25">
      <c r="A106" t="s">
        <v>38</v>
      </c>
      <c r="B106" s="2">
        <v>41934</v>
      </c>
      <c r="C106" s="2">
        <v>45021</v>
      </c>
      <c r="D106" s="2">
        <v>45567</v>
      </c>
      <c r="E106">
        <v>15.5</v>
      </c>
      <c r="F106">
        <v>77.5</v>
      </c>
      <c r="G106" t="s">
        <v>9</v>
      </c>
    </row>
    <row r="107" spans="1:7" x14ac:dyDescent="0.25">
      <c r="A107" t="s">
        <v>38</v>
      </c>
      <c r="B107" s="2">
        <v>41934</v>
      </c>
      <c r="C107" s="2">
        <v>45203</v>
      </c>
      <c r="D107" s="2">
        <v>45567</v>
      </c>
      <c r="E107">
        <v>15.5</v>
      </c>
      <c r="F107">
        <v>77.5</v>
      </c>
      <c r="G107" t="s">
        <v>10</v>
      </c>
    </row>
    <row r="108" spans="1:7" x14ac:dyDescent="0.25">
      <c r="A108" t="s">
        <v>38</v>
      </c>
      <c r="B108" s="2">
        <v>41934</v>
      </c>
      <c r="C108" s="2">
        <v>45385</v>
      </c>
      <c r="D108" s="2">
        <v>45567</v>
      </c>
      <c r="E108">
        <v>15.5</v>
      </c>
      <c r="F108">
        <v>77.5</v>
      </c>
      <c r="G108" t="s">
        <v>19</v>
      </c>
    </row>
    <row r="109" spans="1:7" x14ac:dyDescent="0.25">
      <c r="A109" t="s">
        <v>38</v>
      </c>
      <c r="B109" s="2">
        <v>41934</v>
      </c>
      <c r="C109" s="2">
        <v>45567</v>
      </c>
      <c r="D109" s="2">
        <v>45567</v>
      </c>
      <c r="E109">
        <v>15.5</v>
      </c>
      <c r="F109">
        <v>77.5</v>
      </c>
      <c r="G109" t="s">
        <v>24</v>
      </c>
    </row>
    <row r="110" spans="1:7" x14ac:dyDescent="0.25">
      <c r="A110" t="s">
        <v>39</v>
      </c>
      <c r="B110" s="2">
        <v>44950</v>
      </c>
      <c r="C110" s="2">
        <v>45084</v>
      </c>
      <c r="D110" s="2">
        <v>45630</v>
      </c>
      <c r="E110">
        <v>19.59</v>
      </c>
      <c r="F110">
        <v>97.95</v>
      </c>
      <c r="G110" t="s">
        <v>9</v>
      </c>
    </row>
    <row r="111" spans="1:7" x14ac:dyDescent="0.25">
      <c r="A111" t="s">
        <v>39</v>
      </c>
      <c r="B111" s="2">
        <v>44950</v>
      </c>
      <c r="C111" s="2">
        <v>45266</v>
      </c>
      <c r="D111" s="2">
        <v>45630</v>
      </c>
      <c r="E111">
        <v>19.59</v>
      </c>
      <c r="F111">
        <v>97.95</v>
      </c>
      <c r="G111" t="s">
        <v>10</v>
      </c>
    </row>
    <row r="112" spans="1:7" x14ac:dyDescent="0.25">
      <c r="A112" t="s">
        <v>39</v>
      </c>
      <c r="B112" s="2">
        <v>44950</v>
      </c>
      <c r="C112" s="2">
        <v>45448</v>
      </c>
      <c r="D112" s="2">
        <v>45630</v>
      </c>
      <c r="E112">
        <v>19.59</v>
      </c>
      <c r="F112">
        <v>97.95</v>
      </c>
      <c r="G112" t="s">
        <v>19</v>
      </c>
    </row>
    <row r="113" spans="1:7" x14ac:dyDescent="0.25">
      <c r="A113" t="s">
        <v>39</v>
      </c>
      <c r="B113" s="2">
        <v>44950</v>
      </c>
      <c r="C113" s="2">
        <v>45630</v>
      </c>
      <c r="D113" s="2">
        <v>45630</v>
      </c>
      <c r="E113">
        <v>19.59</v>
      </c>
      <c r="F113">
        <v>97.95</v>
      </c>
      <c r="G113" t="s">
        <v>24</v>
      </c>
    </row>
    <row r="114" spans="1:7" x14ac:dyDescent="0.25">
      <c r="A114" t="s">
        <v>40</v>
      </c>
      <c r="B114" s="2">
        <v>45083</v>
      </c>
      <c r="C114" s="2">
        <v>45126</v>
      </c>
      <c r="D114" s="2">
        <v>45672</v>
      </c>
      <c r="E114">
        <v>19.5</v>
      </c>
      <c r="F114">
        <v>97.5</v>
      </c>
      <c r="G114" t="s">
        <v>10</v>
      </c>
    </row>
    <row r="115" spans="1:7" x14ac:dyDescent="0.25">
      <c r="A115" t="s">
        <v>40</v>
      </c>
      <c r="B115" s="2">
        <v>45083</v>
      </c>
      <c r="C115" s="2">
        <v>45308</v>
      </c>
      <c r="D115" s="2">
        <v>45672</v>
      </c>
      <c r="E115">
        <v>19.5</v>
      </c>
      <c r="F115">
        <v>97.5</v>
      </c>
      <c r="G115" t="s">
        <v>19</v>
      </c>
    </row>
    <row r="116" spans="1:7" x14ac:dyDescent="0.25">
      <c r="A116" t="s">
        <v>40</v>
      </c>
      <c r="B116" s="2">
        <v>45083</v>
      </c>
      <c r="C116" s="2">
        <v>45490</v>
      </c>
      <c r="D116" s="2">
        <v>45672</v>
      </c>
      <c r="E116">
        <v>19.5</v>
      </c>
      <c r="F116">
        <v>97.5</v>
      </c>
      <c r="G116" t="s">
        <v>24</v>
      </c>
    </row>
    <row r="117" spans="1:7" x14ac:dyDescent="0.25">
      <c r="A117" t="s">
        <v>40</v>
      </c>
      <c r="B117" s="2">
        <v>45083</v>
      </c>
      <c r="C117" s="2">
        <v>45672</v>
      </c>
      <c r="D117" s="2">
        <v>45672</v>
      </c>
      <c r="E117">
        <v>19.5</v>
      </c>
      <c r="F117">
        <v>97.5</v>
      </c>
      <c r="G117" t="s">
        <v>41</v>
      </c>
    </row>
    <row r="118" spans="1:7" x14ac:dyDescent="0.25">
      <c r="A118" t="s">
        <v>42</v>
      </c>
      <c r="B118" s="2">
        <v>43627</v>
      </c>
      <c r="C118" s="2">
        <v>43712</v>
      </c>
      <c r="D118" s="2">
        <v>45714</v>
      </c>
      <c r="E118">
        <v>15.84</v>
      </c>
      <c r="F118">
        <v>79.2</v>
      </c>
      <c r="G118" t="s">
        <v>36</v>
      </c>
    </row>
    <row r="119" spans="1:7" x14ac:dyDescent="0.25">
      <c r="A119" t="s">
        <v>42</v>
      </c>
      <c r="B119" s="2">
        <v>43627</v>
      </c>
      <c r="C119" s="2">
        <v>43894</v>
      </c>
      <c r="D119" s="2">
        <v>45714</v>
      </c>
      <c r="E119">
        <v>15.84</v>
      </c>
      <c r="F119">
        <v>79.2</v>
      </c>
      <c r="G119" t="s">
        <v>16</v>
      </c>
    </row>
    <row r="120" spans="1:7" x14ac:dyDescent="0.25">
      <c r="A120" t="s">
        <v>42</v>
      </c>
      <c r="B120" s="2">
        <v>43627</v>
      </c>
      <c r="C120" s="2">
        <v>44076</v>
      </c>
      <c r="D120" s="2">
        <v>45714</v>
      </c>
      <c r="E120">
        <v>15.84</v>
      </c>
      <c r="F120">
        <v>79.2</v>
      </c>
      <c r="G120" t="s">
        <v>17</v>
      </c>
    </row>
    <row r="121" spans="1:7" x14ac:dyDescent="0.25">
      <c r="A121" t="s">
        <v>42</v>
      </c>
      <c r="B121" s="2">
        <v>43627</v>
      </c>
      <c r="C121" s="2">
        <v>44258</v>
      </c>
      <c r="D121" s="2">
        <v>45714</v>
      </c>
      <c r="E121">
        <v>15.84</v>
      </c>
      <c r="F121">
        <v>79.2</v>
      </c>
      <c r="G121" t="s">
        <v>12</v>
      </c>
    </row>
    <row r="122" spans="1:7" x14ac:dyDescent="0.25">
      <c r="A122" t="s">
        <v>42</v>
      </c>
      <c r="B122" s="2">
        <v>43627</v>
      </c>
      <c r="C122" s="2">
        <v>44440</v>
      </c>
      <c r="D122" s="2">
        <v>45714</v>
      </c>
      <c r="E122">
        <v>15.84</v>
      </c>
      <c r="F122">
        <v>79.2</v>
      </c>
      <c r="G122" t="s">
        <v>13</v>
      </c>
    </row>
    <row r="123" spans="1:7" x14ac:dyDescent="0.25">
      <c r="A123" t="s">
        <v>42</v>
      </c>
      <c r="B123" s="2">
        <v>43627</v>
      </c>
      <c r="C123" s="2">
        <v>44622</v>
      </c>
      <c r="D123" s="2">
        <v>45714</v>
      </c>
      <c r="E123">
        <v>15.84</v>
      </c>
      <c r="F123">
        <v>79.2</v>
      </c>
      <c r="G123" t="s">
        <v>14</v>
      </c>
    </row>
    <row r="124" spans="1:7" x14ac:dyDescent="0.25">
      <c r="A124" t="s">
        <v>42</v>
      </c>
      <c r="B124" s="2">
        <v>43627</v>
      </c>
      <c r="C124" s="2">
        <v>44804</v>
      </c>
      <c r="D124" s="2">
        <v>45714</v>
      </c>
      <c r="E124">
        <v>15.84</v>
      </c>
      <c r="F124">
        <v>79.2</v>
      </c>
      <c r="G124" t="s">
        <v>8</v>
      </c>
    </row>
    <row r="125" spans="1:7" x14ac:dyDescent="0.25">
      <c r="A125" t="s">
        <v>42</v>
      </c>
      <c r="B125" s="2">
        <v>43627</v>
      </c>
      <c r="C125" s="2">
        <v>44986</v>
      </c>
      <c r="D125" s="2">
        <v>45714</v>
      </c>
      <c r="E125">
        <v>15.84</v>
      </c>
      <c r="F125">
        <v>79.2</v>
      </c>
      <c r="G125" t="s">
        <v>9</v>
      </c>
    </row>
    <row r="126" spans="1:7" x14ac:dyDescent="0.25">
      <c r="A126" t="s">
        <v>42</v>
      </c>
      <c r="B126" s="2">
        <v>43627</v>
      </c>
      <c r="C126" s="2">
        <v>45168</v>
      </c>
      <c r="D126" s="2">
        <v>45714</v>
      </c>
      <c r="E126">
        <v>15.84</v>
      </c>
      <c r="F126">
        <v>79.2</v>
      </c>
      <c r="G126" t="s">
        <v>10</v>
      </c>
    </row>
    <row r="127" spans="1:7" x14ac:dyDescent="0.25">
      <c r="A127" t="s">
        <v>42</v>
      </c>
      <c r="B127" s="2">
        <v>43627</v>
      </c>
      <c r="C127" s="2">
        <v>45350</v>
      </c>
      <c r="D127" s="2">
        <v>45714</v>
      </c>
      <c r="E127">
        <v>15.84</v>
      </c>
      <c r="F127">
        <v>79.2</v>
      </c>
      <c r="G127" t="s">
        <v>19</v>
      </c>
    </row>
    <row r="128" spans="1:7" x14ac:dyDescent="0.25">
      <c r="A128" t="s">
        <v>42</v>
      </c>
      <c r="B128" s="2">
        <v>43627</v>
      </c>
      <c r="C128" s="2">
        <v>45532</v>
      </c>
      <c r="D128" s="2">
        <v>45714</v>
      </c>
      <c r="E128">
        <v>15.84</v>
      </c>
      <c r="F128">
        <v>79.2</v>
      </c>
      <c r="G128" t="s">
        <v>24</v>
      </c>
    </row>
    <row r="129" spans="1:7" x14ac:dyDescent="0.25">
      <c r="A129" t="s">
        <v>42</v>
      </c>
      <c r="B129" s="2">
        <v>43627</v>
      </c>
      <c r="C129" s="2">
        <v>45714</v>
      </c>
      <c r="D129" s="2">
        <v>45714</v>
      </c>
      <c r="E129">
        <v>15.84</v>
      </c>
      <c r="F129">
        <v>79.2</v>
      </c>
      <c r="G129" t="s">
        <v>41</v>
      </c>
    </row>
    <row r="130" spans="1:7" x14ac:dyDescent="0.25">
      <c r="A130" t="s">
        <v>43</v>
      </c>
      <c r="B130" s="2">
        <v>44950</v>
      </c>
      <c r="C130" s="2">
        <v>45070</v>
      </c>
      <c r="D130" s="2">
        <v>45798</v>
      </c>
      <c r="E130">
        <v>19.75</v>
      </c>
      <c r="F130">
        <v>98.75</v>
      </c>
      <c r="G130" t="s">
        <v>9</v>
      </c>
    </row>
    <row r="131" spans="1:7" x14ac:dyDescent="0.25">
      <c r="A131" t="s">
        <v>43</v>
      </c>
      <c r="B131" s="2">
        <v>44950</v>
      </c>
      <c r="C131" s="2">
        <v>45252</v>
      </c>
      <c r="D131" s="2">
        <v>45798</v>
      </c>
      <c r="E131">
        <v>19.75</v>
      </c>
      <c r="F131">
        <v>98.75</v>
      </c>
      <c r="G131" t="s">
        <v>10</v>
      </c>
    </row>
    <row r="132" spans="1:7" x14ac:dyDescent="0.25">
      <c r="A132" t="s">
        <v>43</v>
      </c>
      <c r="B132" s="2">
        <v>44950</v>
      </c>
      <c r="C132" s="2">
        <v>45434</v>
      </c>
      <c r="D132" s="2">
        <v>45798</v>
      </c>
      <c r="E132">
        <v>19.75</v>
      </c>
      <c r="F132">
        <v>98.75</v>
      </c>
      <c r="G132" t="s">
        <v>19</v>
      </c>
    </row>
    <row r="133" spans="1:7" x14ac:dyDescent="0.25">
      <c r="A133" t="s">
        <v>43</v>
      </c>
      <c r="B133" s="2">
        <v>44950</v>
      </c>
      <c r="C133" s="2">
        <v>45616</v>
      </c>
      <c r="D133" s="2">
        <v>45798</v>
      </c>
      <c r="E133">
        <v>19.75</v>
      </c>
      <c r="F133">
        <v>98.75</v>
      </c>
      <c r="G133" t="s">
        <v>24</v>
      </c>
    </row>
    <row r="134" spans="1:7" x14ac:dyDescent="0.25">
      <c r="A134" t="s">
        <v>43</v>
      </c>
      <c r="B134" s="2">
        <v>44950</v>
      </c>
      <c r="C134" s="2">
        <v>45798</v>
      </c>
      <c r="D134" s="2">
        <v>45798</v>
      </c>
      <c r="E134">
        <v>19.75</v>
      </c>
      <c r="F134">
        <v>98.75</v>
      </c>
      <c r="G134" t="s">
        <v>41</v>
      </c>
    </row>
    <row r="135" spans="1:7" x14ac:dyDescent="0.25">
      <c r="A135" t="s">
        <v>44</v>
      </c>
      <c r="B135" s="2">
        <v>45174</v>
      </c>
      <c r="C135" s="2">
        <v>45280</v>
      </c>
      <c r="D135" s="2">
        <v>45826</v>
      </c>
      <c r="E135">
        <v>18.309999999999999</v>
      </c>
      <c r="F135">
        <v>91.55</v>
      </c>
      <c r="G135" t="s">
        <v>10</v>
      </c>
    </row>
    <row r="136" spans="1:7" x14ac:dyDescent="0.25">
      <c r="A136" t="s">
        <v>44</v>
      </c>
      <c r="B136" s="2">
        <v>45174</v>
      </c>
      <c r="C136" s="2">
        <v>45462</v>
      </c>
      <c r="D136" s="2">
        <v>45826</v>
      </c>
      <c r="E136">
        <v>18.309999999999999</v>
      </c>
      <c r="F136">
        <v>91.55</v>
      </c>
      <c r="G136" t="s">
        <v>19</v>
      </c>
    </row>
    <row r="137" spans="1:7" x14ac:dyDescent="0.25">
      <c r="A137" t="s">
        <v>44</v>
      </c>
      <c r="B137" s="2">
        <v>45174</v>
      </c>
      <c r="C137" s="2">
        <v>45644</v>
      </c>
      <c r="D137" s="2">
        <v>45826</v>
      </c>
      <c r="E137">
        <v>18.309999999999999</v>
      </c>
      <c r="F137">
        <v>91.55</v>
      </c>
      <c r="G137" t="s">
        <v>24</v>
      </c>
    </row>
    <row r="138" spans="1:7" x14ac:dyDescent="0.25">
      <c r="A138" t="s">
        <v>44</v>
      </c>
      <c r="B138" s="2">
        <v>45174</v>
      </c>
      <c r="C138" s="2">
        <v>45826</v>
      </c>
      <c r="D138" s="2">
        <v>45826</v>
      </c>
      <c r="E138">
        <v>18.309999999999999</v>
      </c>
      <c r="F138">
        <v>91.55</v>
      </c>
      <c r="G138" t="s">
        <v>41</v>
      </c>
    </row>
    <row r="139" spans="1:7" x14ac:dyDescent="0.25">
      <c r="A139" t="s">
        <v>45</v>
      </c>
      <c r="B139" s="2">
        <v>44985</v>
      </c>
      <c r="C139" s="2">
        <v>45147</v>
      </c>
      <c r="D139" s="2">
        <v>45875</v>
      </c>
      <c r="E139">
        <v>19.7</v>
      </c>
      <c r="F139">
        <v>98.5</v>
      </c>
      <c r="G139" t="s">
        <v>10</v>
      </c>
    </row>
    <row r="140" spans="1:7" x14ac:dyDescent="0.25">
      <c r="A140" t="s">
        <v>45</v>
      </c>
      <c r="B140" s="2">
        <v>44985</v>
      </c>
      <c r="C140" s="2">
        <v>45329</v>
      </c>
      <c r="D140" s="2">
        <v>45875</v>
      </c>
      <c r="E140">
        <v>19.7</v>
      </c>
      <c r="F140">
        <v>98.5</v>
      </c>
      <c r="G140" t="s">
        <v>19</v>
      </c>
    </row>
    <row r="141" spans="1:7" x14ac:dyDescent="0.25">
      <c r="A141" t="s">
        <v>45</v>
      </c>
      <c r="B141" s="2">
        <v>44985</v>
      </c>
      <c r="C141" s="2">
        <v>45511</v>
      </c>
      <c r="D141" s="2">
        <v>45875</v>
      </c>
      <c r="E141">
        <v>19.7</v>
      </c>
      <c r="F141">
        <v>98.5</v>
      </c>
      <c r="G141" t="s">
        <v>24</v>
      </c>
    </row>
    <row r="142" spans="1:7" x14ac:dyDescent="0.25">
      <c r="A142" t="s">
        <v>45</v>
      </c>
      <c r="B142" s="2">
        <v>44985</v>
      </c>
      <c r="C142" s="2">
        <v>45693</v>
      </c>
      <c r="D142" s="2">
        <v>45875</v>
      </c>
      <c r="E142">
        <v>19.7</v>
      </c>
      <c r="F142">
        <v>98.5</v>
      </c>
      <c r="G142" t="s">
        <v>41</v>
      </c>
    </row>
    <row r="143" spans="1:7" x14ac:dyDescent="0.25">
      <c r="A143" t="s">
        <v>45</v>
      </c>
      <c r="B143" s="2">
        <v>44985</v>
      </c>
      <c r="C143" s="2">
        <v>45875</v>
      </c>
      <c r="D143" s="2">
        <v>45875</v>
      </c>
      <c r="E143">
        <v>19.7</v>
      </c>
      <c r="F143">
        <v>98.5</v>
      </c>
      <c r="G143" t="s">
        <v>46</v>
      </c>
    </row>
    <row r="144" spans="1:7" x14ac:dyDescent="0.25">
      <c r="A144" t="s">
        <v>47</v>
      </c>
      <c r="B144" s="2">
        <v>44985</v>
      </c>
      <c r="C144" s="2">
        <v>45056</v>
      </c>
      <c r="D144" s="2">
        <v>45966</v>
      </c>
      <c r="E144">
        <v>19.75</v>
      </c>
      <c r="F144">
        <v>98.75</v>
      </c>
      <c r="G144" t="s">
        <v>9</v>
      </c>
    </row>
    <row r="145" spans="1:7" x14ac:dyDescent="0.25">
      <c r="A145" t="s">
        <v>47</v>
      </c>
      <c r="B145" s="2">
        <v>44985</v>
      </c>
      <c r="C145" s="2">
        <v>45238</v>
      </c>
      <c r="D145" s="2">
        <v>45966</v>
      </c>
      <c r="E145">
        <v>19.75</v>
      </c>
      <c r="F145">
        <v>98.75</v>
      </c>
      <c r="G145" t="s">
        <v>10</v>
      </c>
    </row>
    <row r="146" spans="1:7" x14ac:dyDescent="0.25">
      <c r="A146" t="s">
        <v>47</v>
      </c>
      <c r="B146" s="2">
        <v>44985</v>
      </c>
      <c r="C146" s="2">
        <v>45420</v>
      </c>
      <c r="D146" s="2">
        <v>45966</v>
      </c>
      <c r="E146">
        <v>19.75</v>
      </c>
      <c r="F146">
        <v>98.75</v>
      </c>
      <c r="G146" t="s">
        <v>19</v>
      </c>
    </row>
    <row r="147" spans="1:7" x14ac:dyDescent="0.25">
      <c r="A147" t="s">
        <v>47</v>
      </c>
      <c r="B147" s="2">
        <v>44985</v>
      </c>
      <c r="C147" s="2">
        <v>45602</v>
      </c>
      <c r="D147" s="2">
        <v>45966</v>
      </c>
      <c r="E147">
        <v>19.75</v>
      </c>
      <c r="F147">
        <v>98.75</v>
      </c>
      <c r="G147" t="s">
        <v>24</v>
      </c>
    </row>
    <row r="148" spans="1:7" x14ac:dyDescent="0.25">
      <c r="A148" t="s">
        <v>47</v>
      </c>
      <c r="B148" s="2">
        <v>44985</v>
      </c>
      <c r="C148" s="2">
        <v>45784</v>
      </c>
      <c r="D148" s="2">
        <v>45966</v>
      </c>
      <c r="E148">
        <v>19.75</v>
      </c>
      <c r="F148">
        <v>98.75</v>
      </c>
      <c r="G148" t="s">
        <v>41</v>
      </c>
    </row>
    <row r="149" spans="1:7" x14ac:dyDescent="0.25">
      <c r="A149" t="s">
        <v>47</v>
      </c>
      <c r="B149" s="2">
        <v>44985</v>
      </c>
      <c r="C149" s="2">
        <v>45966</v>
      </c>
      <c r="D149" s="2">
        <v>45966</v>
      </c>
      <c r="E149">
        <v>19.75</v>
      </c>
      <c r="F149">
        <v>98.75</v>
      </c>
      <c r="G149" t="s">
        <v>46</v>
      </c>
    </row>
    <row r="150" spans="1:7" x14ac:dyDescent="0.25">
      <c r="A150" t="s">
        <v>48</v>
      </c>
      <c r="B150" s="2">
        <v>45048</v>
      </c>
      <c r="C150" s="2">
        <v>45161</v>
      </c>
      <c r="D150" s="2">
        <v>46071</v>
      </c>
      <c r="E150">
        <v>19.75</v>
      </c>
      <c r="F150">
        <v>98.75</v>
      </c>
      <c r="G150" t="s">
        <v>10</v>
      </c>
    </row>
    <row r="151" spans="1:7" x14ac:dyDescent="0.25">
      <c r="A151" t="s">
        <v>48</v>
      </c>
      <c r="B151" s="2">
        <v>45048</v>
      </c>
      <c r="C151" s="2">
        <v>45343</v>
      </c>
      <c r="D151" s="2">
        <v>46071</v>
      </c>
      <c r="E151">
        <v>19.75</v>
      </c>
      <c r="F151">
        <v>98.75</v>
      </c>
      <c r="G151" t="s">
        <v>19</v>
      </c>
    </row>
    <row r="152" spans="1:7" x14ac:dyDescent="0.25">
      <c r="A152" t="s">
        <v>48</v>
      </c>
      <c r="B152" s="2">
        <v>45048</v>
      </c>
      <c r="C152" s="2">
        <v>45525</v>
      </c>
      <c r="D152" s="2">
        <v>46071</v>
      </c>
      <c r="E152">
        <v>19.75</v>
      </c>
      <c r="F152">
        <v>98.75</v>
      </c>
      <c r="G152" t="s">
        <v>24</v>
      </c>
    </row>
    <row r="153" spans="1:7" x14ac:dyDescent="0.25">
      <c r="A153" t="s">
        <v>48</v>
      </c>
      <c r="B153" s="2">
        <v>45048</v>
      </c>
      <c r="C153" s="2">
        <v>45707</v>
      </c>
      <c r="D153" s="2">
        <v>46071</v>
      </c>
      <c r="E153">
        <v>19.75</v>
      </c>
      <c r="F153">
        <v>98.75</v>
      </c>
      <c r="G153" t="s">
        <v>41</v>
      </c>
    </row>
    <row r="154" spans="1:7" x14ac:dyDescent="0.25">
      <c r="A154" t="s">
        <v>48</v>
      </c>
      <c r="B154" s="2">
        <v>45048</v>
      </c>
      <c r="C154" s="2">
        <v>45889</v>
      </c>
      <c r="D154" s="2">
        <v>46071</v>
      </c>
      <c r="E154">
        <v>19.75</v>
      </c>
      <c r="F154">
        <v>98.75</v>
      </c>
      <c r="G154" t="s">
        <v>46</v>
      </c>
    </row>
    <row r="155" spans="1:7" x14ac:dyDescent="0.25">
      <c r="A155" t="s">
        <v>48</v>
      </c>
      <c r="B155" s="2">
        <v>45048</v>
      </c>
      <c r="C155" s="2">
        <v>46071</v>
      </c>
      <c r="D155" s="2">
        <v>46071</v>
      </c>
      <c r="E155">
        <v>19.75</v>
      </c>
      <c r="F155">
        <v>98.75</v>
      </c>
      <c r="G155" t="s">
        <v>49</v>
      </c>
    </row>
    <row r="156" spans="1:7" x14ac:dyDescent="0.25">
      <c r="A156" t="s">
        <v>50</v>
      </c>
      <c r="B156" s="2">
        <v>44355</v>
      </c>
      <c r="C156" s="2">
        <v>44517</v>
      </c>
      <c r="D156" s="2">
        <v>46155</v>
      </c>
      <c r="E156">
        <v>12.52</v>
      </c>
      <c r="F156">
        <v>62.6</v>
      </c>
      <c r="G156" t="s">
        <v>13</v>
      </c>
    </row>
    <row r="157" spans="1:7" x14ac:dyDescent="0.25">
      <c r="A157" t="s">
        <v>50</v>
      </c>
      <c r="B157" s="2">
        <v>44355</v>
      </c>
      <c r="C157" s="2">
        <v>44699</v>
      </c>
      <c r="D157" s="2">
        <v>46155</v>
      </c>
      <c r="E157">
        <v>12.52</v>
      </c>
      <c r="F157">
        <v>62.6</v>
      </c>
      <c r="G157" t="s">
        <v>14</v>
      </c>
    </row>
    <row r="158" spans="1:7" x14ac:dyDescent="0.25">
      <c r="A158" t="s">
        <v>50</v>
      </c>
      <c r="B158" s="2">
        <v>44355</v>
      </c>
      <c r="C158" s="2">
        <v>44881</v>
      </c>
      <c r="D158" s="2">
        <v>46155</v>
      </c>
      <c r="E158">
        <v>12.52</v>
      </c>
      <c r="F158">
        <v>62.6</v>
      </c>
      <c r="G158" t="s">
        <v>8</v>
      </c>
    </row>
    <row r="159" spans="1:7" x14ac:dyDescent="0.25">
      <c r="A159" t="s">
        <v>50</v>
      </c>
      <c r="B159" s="2">
        <v>44355</v>
      </c>
      <c r="C159" s="2">
        <v>45063</v>
      </c>
      <c r="D159" s="2">
        <v>46155</v>
      </c>
      <c r="E159">
        <v>12.52</v>
      </c>
      <c r="F159">
        <v>62.6</v>
      </c>
      <c r="G159" t="s">
        <v>9</v>
      </c>
    </row>
    <row r="160" spans="1:7" x14ac:dyDescent="0.25">
      <c r="A160" t="s">
        <v>50</v>
      </c>
      <c r="B160" s="2">
        <v>44355</v>
      </c>
      <c r="C160" s="2">
        <v>45245</v>
      </c>
      <c r="D160" s="2">
        <v>46155</v>
      </c>
      <c r="E160">
        <v>12.52</v>
      </c>
      <c r="F160">
        <v>62.6</v>
      </c>
      <c r="G160" t="s">
        <v>10</v>
      </c>
    </row>
    <row r="161" spans="1:7" x14ac:dyDescent="0.25">
      <c r="A161" t="s">
        <v>50</v>
      </c>
      <c r="B161" s="2">
        <v>44355</v>
      </c>
      <c r="C161" s="2">
        <v>45427</v>
      </c>
      <c r="D161" s="2">
        <v>46155</v>
      </c>
      <c r="E161">
        <v>12.52</v>
      </c>
      <c r="F161">
        <v>62.6</v>
      </c>
      <c r="G161" t="s">
        <v>19</v>
      </c>
    </row>
    <row r="162" spans="1:7" x14ac:dyDescent="0.25">
      <c r="A162" t="s">
        <v>50</v>
      </c>
      <c r="B162" s="2">
        <v>44355</v>
      </c>
      <c r="C162" s="2">
        <v>45609</v>
      </c>
      <c r="D162" s="2">
        <v>46155</v>
      </c>
      <c r="E162">
        <v>12.52</v>
      </c>
      <c r="F162">
        <v>62.6</v>
      </c>
      <c r="G162" t="s">
        <v>24</v>
      </c>
    </row>
    <row r="163" spans="1:7" x14ac:dyDescent="0.25">
      <c r="A163" t="s">
        <v>50</v>
      </c>
      <c r="B163" s="2">
        <v>44355</v>
      </c>
      <c r="C163" s="2">
        <v>45791</v>
      </c>
      <c r="D163" s="2">
        <v>46155</v>
      </c>
      <c r="E163">
        <v>12.52</v>
      </c>
      <c r="F163">
        <v>62.6</v>
      </c>
      <c r="G163" t="s">
        <v>41</v>
      </c>
    </row>
    <row r="164" spans="1:7" x14ac:dyDescent="0.25">
      <c r="A164" t="s">
        <v>50</v>
      </c>
      <c r="B164" s="2">
        <v>44355</v>
      </c>
      <c r="C164" s="2">
        <v>45973</v>
      </c>
      <c r="D164" s="2">
        <v>46155</v>
      </c>
      <c r="E164">
        <v>12.52</v>
      </c>
      <c r="F164">
        <v>62.6</v>
      </c>
      <c r="G164" t="s">
        <v>46</v>
      </c>
    </row>
    <row r="165" spans="1:7" x14ac:dyDescent="0.25">
      <c r="A165" t="s">
        <v>50</v>
      </c>
      <c r="B165" s="2">
        <v>44355</v>
      </c>
      <c r="C165" s="2">
        <v>46155</v>
      </c>
      <c r="D165" s="2">
        <v>46155</v>
      </c>
      <c r="E165">
        <v>12.52</v>
      </c>
      <c r="F165">
        <v>62.6</v>
      </c>
      <c r="G165" t="s">
        <v>49</v>
      </c>
    </row>
    <row r="166" spans="1:7" x14ac:dyDescent="0.25">
      <c r="A166" t="s">
        <v>51</v>
      </c>
      <c r="B166" s="2">
        <v>45132</v>
      </c>
      <c r="C166" s="2">
        <v>45315</v>
      </c>
      <c r="D166" s="2">
        <v>46225</v>
      </c>
      <c r="E166">
        <v>19.75</v>
      </c>
      <c r="F166">
        <v>98.75</v>
      </c>
      <c r="G166" t="s">
        <v>19</v>
      </c>
    </row>
    <row r="167" spans="1:7" x14ac:dyDescent="0.25">
      <c r="A167" t="s">
        <v>51</v>
      </c>
      <c r="B167" s="2">
        <v>45132</v>
      </c>
      <c r="C167" s="2">
        <v>45497</v>
      </c>
      <c r="D167" s="2">
        <v>46225</v>
      </c>
      <c r="E167">
        <v>19.75</v>
      </c>
      <c r="F167">
        <v>98.75</v>
      </c>
      <c r="G167" t="s">
        <v>24</v>
      </c>
    </row>
    <row r="168" spans="1:7" x14ac:dyDescent="0.25">
      <c r="A168" t="s">
        <v>51</v>
      </c>
      <c r="B168" s="2">
        <v>45132</v>
      </c>
      <c r="C168" s="2">
        <v>45679</v>
      </c>
      <c r="D168" s="2">
        <v>46225</v>
      </c>
      <c r="E168">
        <v>19.75</v>
      </c>
      <c r="F168">
        <v>98.75</v>
      </c>
      <c r="G168" t="s">
        <v>41</v>
      </c>
    </row>
    <row r="169" spans="1:7" x14ac:dyDescent="0.25">
      <c r="A169" t="s">
        <v>51</v>
      </c>
      <c r="B169" s="2">
        <v>45132</v>
      </c>
      <c r="C169" s="2">
        <v>45861</v>
      </c>
      <c r="D169" s="2">
        <v>46225</v>
      </c>
      <c r="E169">
        <v>19.75</v>
      </c>
      <c r="F169">
        <v>98.75</v>
      </c>
      <c r="G169" t="s">
        <v>46</v>
      </c>
    </row>
    <row r="170" spans="1:7" x14ac:dyDescent="0.25">
      <c r="A170" t="s">
        <v>51</v>
      </c>
      <c r="B170" s="2">
        <v>45132</v>
      </c>
      <c r="C170" s="2">
        <v>46043</v>
      </c>
      <c r="D170" s="2">
        <v>46225</v>
      </c>
      <c r="E170">
        <v>19.75</v>
      </c>
      <c r="F170">
        <v>98.75</v>
      </c>
      <c r="G170" t="s">
        <v>49</v>
      </c>
    </row>
    <row r="171" spans="1:7" x14ac:dyDescent="0.25">
      <c r="A171" t="s">
        <v>51</v>
      </c>
      <c r="B171" s="2">
        <v>45132</v>
      </c>
      <c r="C171" s="2">
        <v>46225</v>
      </c>
      <c r="D171" s="2">
        <v>46225</v>
      </c>
      <c r="E171">
        <v>19.75</v>
      </c>
      <c r="F171">
        <v>98.75</v>
      </c>
      <c r="G171" t="s">
        <v>52</v>
      </c>
    </row>
    <row r="172" spans="1:7" x14ac:dyDescent="0.25">
      <c r="A172" t="s">
        <v>53</v>
      </c>
      <c r="B172" s="2">
        <v>45167</v>
      </c>
      <c r="C172" s="2">
        <v>45238</v>
      </c>
      <c r="D172" s="2">
        <v>46330</v>
      </c>
      <c r="E172">
        <v>19.18</v>
      </c>
      <c r="F172">
        <v>95.9</v>
      </c>
      <c r="G172" t="s">
        <v>10</v>
      </c>
    </row>
    <row r="173" spans="1:7" x14ac:dyDescent="0.25">
      <c r="A173" t="s">
        <v>53</v>
      </c>
      <c r="B173" s="2">
        <v>45167</v>
      </c>
      <c r="C173" s="2">
        <v>45420</v>
      </c>
      <c r="D173" s="2">
        <v>46330</v>
      </c>
      <c r="E173">
        <v>19.18</v>
      </c>
      <c r="F173">
        <v>95.9</v>
      </c>
      <c r="G173" t="s">
        <v>19</v>
      </c>
    </row>
    <row r="174" spans="1:7" x14ac:dyDescent="0.25">
      <c r="A174" t="s">
        <v>53</v>
      </c>
      <c r="B174" s="2">
        <v>45167</v>
      </c>
      <c r="C174" s="2">
        <v>45602</v>
      </c>
      <c r="D174" s="2">
        <v>46330</v>
      </c>
      <c r="E174">
        <v>19.18</v>
      </c>
      <c r="F174">
        <v>95.9</v>
      </c>
      <c r="G174" t="s">
        <v>24</v>
      </c>
    </row>
    <row r="175" spans="1:7" x14ac:dyDescent="0.25">
      <c r="A175" t="s">
        <v>53</v>
      </c>
      <c r="B175" s="2">
        <v>45167</v>
      </c>
      <c r="C175" s="2">
        <v>45784</v>
      </c>
      <c r="D175" s="2">
        <v>46330</v>
      </c>
      <c r="E175">
        <v>19.18</v>
      </c>
      <c r="F175">
        <v>95.9</v>
      </c>
      <c r="G175" t="s">
        <v>41</v>
      </c>
    </row>
    <row r="176" spans="1:7" x14ac:dyDescent="0.25">
      <c r="A176" t="s">
        <v>53</v>
      </c>
      <c r="B176" s="2">
        <v>45167</v>
      </c>
      <c r="C176" s="2">
        <v>45966</v>
      </c>
      <c r="D176" s="2">
        <v>46330</v>
      </c>
      <c r="E176">
        <v>19.18</v>
      </c>
      <c r="F176">
        <v>95.9</v>
      </c>
      <c r="G176" t="s">
        <v>46</v>
      </c>
    </row>
    <row r="177" spans="1:7" x14ac:dyDescent="0.25">
      <c r="A177" t="s">
        <v>53</v>
      </c>
      <c r="B177" s="2">
        <v>45167</v>
      </c>
      <c r="C177" s="2">
        <v>46148</v>
      </c>
      <c r="D177" s="2">
        <v>46330</v>
      </c>
      <c r="E177">
        <v>19.18</v>
      </c>
      <c r="F177">
        <v>95.9</v>
      </c>
      <c r="G177" t="s">
        <v>49</v>
      </c>
    </row>
    <row r="178" spans="1:7" x14ac:dyDescent="0.25">
      <c r="A178" t="s">
        <v>53</v>
      </c>
      <c r="B178" s="2">
        <v>45167</v>
      </c>
      <c r="C178" s="2">
        <v>46330</v>
      </c>
      <c r="D178" s="2">
        <v>46330</v>
      </c>
      <c r="E178">
        <v>19.18</v>
      </c>
      <c r="F178">
        <v>95.9</v>
      </c>
      <c r="G178" t="s">
        <v>52</v>
      </c>
    </row>
    <row r="179" spans="1:7" x14ac:dyDescent="0.25">
      <c r="A179" t="s">
        <v>54</v>
      </c>
      <c r="B179" s="2">
        <v>43858</v>
      </c>
      <c r="C179" s="2">
        <v>43985</v>
      </c>
      <c r="D179" s="2">
        <v>46533</v>
      </c>
      <c r="E179">
        <v>9.7899999999999991</v>
      </c>
      <c r="F179">
        <v>48.95</v>
      </c>
      <c r="G179" t="s">
        <v>16</v>
      </c>
    </row>
    <row r="180" spans="1:7" x14ac:dyDescent="0.25">
      <c r="A180" t="s">
        <v>54</v>
      </c>
      <c r="B180" s="2">
        <v>43858</v>
      </c>
      <c r="C180" s="2">
        <v>44167</v>
      </c>
      <c r="D180" s="2">
        <v>46533</v>
      </c>
      <c r="E180">
        <v>9.7899999999999991</v>
      </c>
      <c r="F180">
        <v>48.95</v>
      </c>
      <c r="G180" t="s">
        <v>17</v>
      </c>
    </row>
    <row r="181" spans="1:7" x14ac:dyDescent="0.25">
      <c r="A181" t="s">
        <v>54</v>
      </c>
      <c r="B181" s="2">
        <v>43858</v>
      </c>
      <c r="C181" s="2">
        <v>44349</v>
      </c>
      <c r="D181" s="2">
        <v>46533</v>
      </c>
      <c r="E181">
        <v>9.7899999999999991</v>
      </c>
      <c r="F181">
        <v>48.95</v>
      </c>
      <c r="G181" t="s">
        <v>12</v>
      </c>
    </row>
    <row r="182" spans="1:7" x14ac:dyDescent="0.25">
      <c r="A182" t="s">
        <v>54</v>
      </c>
      <c r="B182" s="2">
        <v>43858</v>
      </c>
      <c r="C182" s="2">
        <v>44531</v>
      </c>
      <c r="D182" s="2">
        <v>46533</v>
      </c>
      <c r="E182">
        <v>9.7899999999999991</v>
      </c>
      <c r="F182">
        <v>48.95</v>
      </c>
      <c r="G182" t="s">
        <v>13</v>
      </c>
    </row>
    <row r="183" spans="1:7" x14ac:dyDescent="0.25">
      <c r="A183" t="s">
        <v>54</v>
      </c>
      <c r="B183" s="2">
        <v>43858</v>
      </c>
      <c r="C183" s="2">
        <v>44713</v>
      </c>
      <c r="D183" s="2">
        <v>46533</v>
      </c>
      <c r="E183">
        <v>9.7899999999999991</v>
      </c>
      <c r="F183">
        <v>48.95</v>
      </c>
      <c r="G183" t="s">
        <v>14</v>
      </c>
    </row>
    <row r="184" spans="1:7" x14ac:dyDescent="0.25">
      <c r="A184" t="s">
        <v>54</v>
      </c>
      <c r="B184" s="2">
        <v>43858</v>
      </c>
      <c r="C184" s="2">
        <v>44895</v>
      </c>
      <c r="D184" s="2">
        <v>46533</v>
      </c>
      <c r="E184">
        <v>9.7899999999999991</v>
      </c>
      <c r="F184">
        <v>48.95</v>
      </c>
      <c r="G184" t="s">
        <v>8</v>
      </c>
    </row>
    <row r="185" spans="1:7" x14ac:dyDescent="0.25">
      <c r="A185" t="s">
        <v>54</v>
      </c>
      <c r="B185" s="2">
        <v>43858</v>
      </c>
      <c r="C185" s="2">
        <v>45077</v>
      </c>
      <c r="D185" s="2">
        <v>46533</v>
      </c>
      <c r="E185">
        <v>9.7899999999999991</v>
      </c>
      <c r="F185">
        <v>48.95</v>
      </c>
      <c r="G185" t="s">
        <v>9</v>
      </c>
    </row>
    <row r="186" spans="1:7" x14ac:dyDescent="0.25">
      <c r="A186" t="s">
        <v>54</v>
      </c>
      <c r="B186" s="2">
        <v>43858</v>
      </c>
      <c r="C186" s="2">
        <v>45259</v>
      </c>
      <c r="D186" s="2">
        <v>46533</v>
      </c>
      <c r="E186">
        <v>9.7899999999999991</v>
      </c>
      <c r="F186">
        <v>48.95</v>
      </c>
      <c r="G186" t="s">
        <v>10</v>
      </c>
    </row>
    <row r="187" spans="1:7" x14ac:dyDescent="0.25">
      <c r="A187" t="s">
        <v>54</v>
      </c>
      <c r="B187" s="2">
        <v>43858</v>
      </c>
      <c r="C187" s="2">
        <v>45441</v>
      </c>
      <c r="D187" s="2">
        <v>46533</v>
      </c>
      <c r="E187">
        <v>9.7899999999999991</v>
      </c>
      <c r="F187">
        <v>48.95</v>
      </c>
      <c r="G187" t="s">
        <v>19</v>
      </c>
    </row>
    <row r="188" spans="1:7" x14ac:dyDescent="0.25">
      <c r="A188" t="s">
        <v>54</v>
      </c>
      <c r="B188" s="2">
        <v>43858</v>
      </c>
      <c r="C188" s="2">
        <v>45623</v>
      </c>
      <c r="D188" s="2">
        <v>46533</v>
      </c>
      <c r="E188">
        <v>9.7899999999999991</v>
      </c>
      <c r="F188">
        <v>48.95</v>
      </c>
      <c r="G188" t="s">
        <v>24</v>
      </c>
    </row>
    <row r="189" spans="1:7" x14ac:dyDescent="0.25">
      <c r="A189" t="s">
        <v>54</v>
      </c>
      <c r="B189" s="2">
        <v>43858</v>
      </c>
      <c r="C189" s="2">
        <v>45805</v>
      </c>
      <c r="D189" s="2">
        <v>46533</v>
      </c>
      <c r="E189">
        <v>9.7899999999999991</v>
      </c>
      <c r="F189">
        <v>48.95</v>
      </c>
      <c r="G189" t="s">
        <v>41</v>
      </c>
    </row>
    <row r="190" spans="1:7" x14ac:dyDescent="0.25">
      <c r="A190" t="s">
        <v>54</v>
      </c>
      <c r="B190" s="2">
        <v>43858</v>
      </c>
      <c r="C190" s="2">
        <v>45987</v>
      </c>
      <c r="D190" s="2">
        <v>46533</v>
      </c>
      <c r="E190">
        <v>9.7899999999999991</v>
      </c>
      <c r="F190">
        <v>48.95</v>
      </c>
      <c r="G190" t="s">
        <v>46</v>
      </c>
    </row>
    <row r="191" spans="1:7" x14ac:dyDescent="0.25">
      <c r="A191" t="s">
        <v>54</v>
      </c>
      <c r="B191" s="2">
        <v>43858</v>
      </c>
      <c r="C191" s="2">
        <v>46169</v>
      </c>
      <c r="D191" s="2">
        <v>46533</v>
      </c>
      <c r="E191">
        <v>9.7899999999999991</v>
      </c>
      <c r="F191">
        <v>48.95</v>
      </c>
      <c r="G191" t="s">
        <v>49</v>
      </c>
    </row>
    <row r="192" spans="1:7" x14ac:dyDescent="0.25">
      <c r="A192" t="s">
        <v>54</v>
      </c>
      <c r="B192" s="2">
        <v>43858</v>
      </c>
      <c r="C192" s="2">
        <v>46351</v>
      </c>
      <c r="D192" s="2">
        <v>46533</v>
      </c>
      <c r="E192">
        <v>9.7899999999999991</v>
      </c>
      <c r="F192">
        <v>48.95</v>
      </c>
      <c r="G192" t="s">
        <v>52</v>
      </c>
    </row>
    <row r="193" spans="1:7" x14ac:dyDescent="0.25">
      <c r="A193" t="s">
        <v>54</v>
      </c>
      <c r="B193" s="2">
        <v>43858</v>
      </c>
      <c r="C193" s="2">
        <v>46533</v>
      </c>
      <c r="D193" s="2">
        <v>46533</v>
      </c>
      <c r="E193">
        <v>9.7899999999999991</v>
      </c>
      <c r="F193">
        <v>48.95</v>
      </c>
      <c r="G193" t="s">
        <v>55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4"/>
  <sheetViews>
    <sheetView tabSelected="1" zoomScale="80" zoomScaleNormal="80" workbookViewId="0">
      <selection activeCell="X12" sqref="X12"/>
    </sheetView>
  </sheetViews>
  <sheetFormatPr defaultRowHeight="15" x14ac:dyDescent="0.25"/>
  <cols>
    <col min="1" max="1" width="15.85546875" customWidth="1"/>
    <col min="2" max="2" width="14.28515625" bestFit="1" customWidth="1"/>
    <col min="3" max="3" width="9.140625" customWidth="1"/>
    <col min="4" max="4" width="10.85546875" customWidth="1"/>
    <col min="5" max="5" width="9.28515625" bestFit="1" customWidth="1"/>
    <col min="6" max="6" width="10.140625" customWidth="1"/>
    <col min="7" max="7" width="10.85546875" customWidth="1"/>
    <col min="8" max="8" width="15.42578125" customWidth="1"/>
    <col min="9" max="9" width="17.28515625" customWidth="1"/>
    <col min="10" max="13" width="10.140625" customWidth="1"/>
    <col min="14" max="14" width="20.140625" customWidth="1"/>
    <col min="15" max="15" width="14.140625" customWidth="1"/>
    <col min="16" max="16" width="10.7109375" customWidth="1"/>
    <col min="17" max="17" width="16.140625" customWidth="1"/>
    <col min="18" max="18" width="11.42578125" customWidth="1"/>
    <col min="19" max="19" width="12.85546875" customWidth="1"/>
  </cols>
  <sheetData>
    <row r="1" spans="1:21" s="6" customFormat="1" x14ac:dyDescent="0.25">
      <c r="A1" s="6" t="s">
        <v>56</v>
      </c>
      <c r="D1">
        <f ca="1">SUMIFS(D3:D24,H3:H24,"&gt;="&amp;TODAY())</f>
        <v>61</v>
      </c>
      <c r="E1" s="8">
        <f>AVERAGE(E3:E24)</f>
        <v>1029.1536363636365</v>
      </c>
      <c r="F1" s="8">
        <f ca="1">SUMIFS(F3:F24,H3:H24,"&gt;="&amp;TODAY())</f>
        <v>63364.060000000012</v>
      </c>
      <c r="G1" s="8">
        <f>SUM(G3:G24)</f>
        <v>3121.2</v>
      </c>
      <c r="J1" s="8">
        <f t="shared" ref="J1:M1" ca="1" si="0">SUM(J3:J24)</f>
        <v>1455</v>
      </c>
      <c r="K1" s="8">
        <f t="shared" ca="1" si="0"/>
        <v>2406.75</v>
      </c>
      <c r="L1">
        <f t="shared" ca="1" si="0"/>
        <v>0</v>
      </c>
      <c r="M1">
        <f t="shared" ca="1" si="0"/>
        <v>0</v>
      </c>
      <c r="N1" s="7">
        <f ca="1">SUM(J1:M1)/(F1-G1)</f>
        <v>6.4103032292955525E-2</v>
      </c>
      <c r="O1" s="7">
        <f ca="1">$P1/$F1*(365/$Q1)</f>
        <v>2.4864150788876408E-3</v>
      </c>
      <c r="P1">
        <f ca="1">SUM(P3:P24)</f>
        <v>467.89999999999645</v>
      </c>
      <c r="Q1" s="6">
        <f>MAX(UAH[Holding Period])</f>
        <v>1084</v>
      </c>
      <c r="R1" s="6">
        <f>SUM(R3:R23)</f>
        <v>23.92</v>
      </c>
      <c r="S1">
        <f>SUM(S3:S24)</f>
        <v>0</v>
      </c>
    </row>
    <row r="2" spans="1:21" x14ac:dyDescent="0.25">
      <c r="A2" s="6" t="s">
        <v>57</v>
      </c>
      <c r="B2" s="6" t="s">
        <v>0</v>
      </c>
      <c r="C2" s="6" t="s">
        <v>58</v>
      </c>
      <c r="D2" s="6" t="s">
        <v>59</v>
      </c>
      <c r="E2" s="6" t="s">
        <v>60</v>
      </c>
      <c r="F2" s="6" t="s">
        <v>61</v>
      </c>
      <c r="G2" s="6" t="s">
        <v>62</v>
      </c>
      <c r="H2" s="6" t="s">
        <v>3</v>
      </c>
      <c r="I2" s="6" t="s">
        <v>63</v>
      </c>
      <c r="J2" s="6" t="s">
        <v>9</v>
      </c>
      <c r="K2" s="6" t="s">
        <v>10</v>
      </c>
      <c r="L2" s="6" t="s">
        <v>19</v>
      </c>
      <c r="M2" s="6" t="s">
        <v>24</v>
      </c>
      <c r="N2" s="6" t="s">
        <v>64</v>
      </c>
      <c r="O2" s="6" t="s">
        <v>65</v>
      </c>
      <c r="P2" s="6" t="s">
        <v>66</v>
      </c>
      <c r="Q2" s="6" t="s">
        <v>67</v>
      </c>
      <c r="R2" s="6" t="s">
        <v>68</v>
      </c>
      <c r="S2" s="6" t="s">
        <v>69</v>
      </c>
      <c r="U2" t="s">
        <v>77</v>
      </c>
    </row>
    <row r="3" spans="1:21" x14ac:dyDescent="0.25">
      <c r="A3" s="5">
        <v>45023</v>
      </c>
      <c r="B3" t="s">
        <v>7</v>
      </c>
      <c r="C3" t="s">
        <v>70</v>
      </c>
      <c r="D3">
        <v>1</v>
      </c>
      <c r="E3" s="8">
        <v>1054.74</v>
      </c>
      <c r="F3">
        <f t="shared" ref="F3:F24" si="1">$D3*$E3</f>
        <v>1054.74</v>
      </c>
      <c r="H3" s="2">
        <f>_xlfn.XLOOKUP($B3,Bonds_Info!$A$1:$A$193,Bonds_Info!$D$1:$D$193,,0)</f>
        <v>45224</v>
      </c>
      <c r="I3">
        <f t="shared" ref="I3:I24" ca="1" si="2">IF(TODAY()&gt;=$H3,1000*$D3,"")</f>
        <v>1000</v>
      </c>
      <c r="J3">
        <f t="array" aca="1" ref="J3" ca="1">IFERROR(INDEX(Bonds_Info!$F$1:$F$193,MATCH(1,(Portfolio_UAH!$B3=Bonds_Info!$A$1:$A$193)*(Portfolio_UAH!J$2=Bonds_Info!$G$1:$G$193)*($A3&lt;Bonds_Info!$C$1:$C$193)*(TODAY()&gt;=Bonds_Info!$C$1:$C$193),0))*$D3,"-")</f>
        <v>57.5</v>
      </c>
      <c r="K3">
        <f t="array" aca="1" ref="K3" ca="1">IFERROR(INDEX(Bonds_Info!$F$1:$F$193,MATCH(1,(Portfolio_UAH!$B3=Bonds_Info!$A$1:$A$193)*(Portfolio_UAH!K$2=Bonds_Info!$G$1:$G$193)*($A3&lt;Bonds_Info!$C$1:$C$193)*(TODAY()&gt;=Bonds_Info!$C$1:$C$193),0))*$D3,"-")</f>
        <v>57.5</v>
      </c>
      <c r="L3" t="str">
        <f t="array" aca="1" ref="L3" ca="1">IFERROR(INDEX(Bonds_Info!$F$1:$F$193,MATCH(1,(Portfolio_UAH!$B3=Bonds_Info!$A$1:$A$193)*(Portfolio_UAH!L$2=Bonds_Info!$G$1:$G$193)*($A3&lt;Bonds_Info!$C$1:$C$193)*(TODAY()&gt;=Bonds_Info!$C$1:$C$193),0))*$D3,"-")</f>
        <v>-</v>
      </c>
      <c r="M3" t="str">
        <f t="array" aca="1" ref="M3" ca="1">IFERROR(INDEX(Bonds_Info!$F$1:$F$193,MATCH(1,(Portfolio_UAH!$B3=Bonds_Info!$A$1:$A$193)*(Portfolio_UAH!M$2=Bonds_Info!$G$1:$G$193)*($A3&lt;Bonds_Info!$C$1:$C$193)*(TODAY()&gt;=Bonds_Info!$C$1:$C$193),0))*$D3,"-")</f>
        <v>-</v>
      </c>
      <c r="N3" s="4">
        <f t="shared" ref="N3:N24" ca="1" si="3">SUM($J3:$M3)/$F3</f>
        <v>0.10903160968579935</v>
      </c>
      <c r="O3" s="4">
        <f t="shared" ref="O3:O24" ca="1" si="4">$P3/$F3*(365/$Q3)</f>
        <v>0.10374818740550239</v>
      </c>
      <c r="P3">
        <f t="shared" ref="P3:P24" ca="1" si="5">1000*$D3-$F3+SUM($J3:$M3)</f>
        <v>60.259999999999991</v>
      </c>
      <c r="Q3">
        <f t="shared" ref="Q3:Q24" si="6">$H3-$A3</f>
        <v>201</v>
      </c>
    </row>
    <row r="4" spans="1:21" x14ac:dyDescent="0.25">
      <c r="A4" s="3">
        <v>45024</v>
      </c>
      <c r="B4" t="s">
        <v>7</v>
      </c>
      <c r="C4" t="s">
        <v>70</v>
      </c>
      <c r="D4">
        <v>5</v>
      </c>
      <c r="E4" s="8">
        <v>1054.74</v>
      </c>
      <c r="F4">
        <f t="shared" si="1"/>
        <v>5273.7</v>
      </c>
      <c r="H4" s="2">
        <f>_xlfn.XLOOKUP($B4,Bonds_Info!$A$1:$A$193,Bonds_Info!$D$1:$D$193,,0)</f>
        <v>45224</v>
      </c>
      <c r="I4">
        <f t="shared" ca="1" si="2"/>
        <v>5000</v>
      </c>
      <c r="J4">
        <f t="array" aca="1" ref="J4" ca="1">IFERROR(INDEX(Bonds_Info!$F$1:$F$193,MATCH(1,(Portfolio_UAH!$B4=Bonds_Info!$A$1:$A$193)*(Portfolio_UAH!J$2=Bonds_Info!$G$1:$G$193)*($A4&lt;Bonds_Info!$C$1:$C$193)*(TODAY()&gt;=Bonds_Info!$C$1:$C$193),0))*$D4,"-")</f>
        <v>287.5</v>
      </c>
      <c r="K4">
        <f t="array" aca="1" ref="K4" ca="1">IFERROR(INDEX(Bonds_Info!$F$1:$F$193,MATCH(1,(Portfolio_UAH!$B4=Bonds_Info!$A$1:$A$193)*(Portfolio_UAH!K$2=Bonds_Info!$G$1:$G$193)*($A4&lt;Bonds_Info!$C$1:$C$193)*(TODAY()&gt;=Bonds_Info!$C$1:$C$193),0))*$D4,"-")</f>
        <v>287.5</v>
      </c>
      <c r="L4" t="str">
        <f t="array" aca="1" ref="L4" ca="1">IFERROR(INDEX(Bonds_Info!$F$1:$F$193,MATCH(1,(Portfolio_UAH!$B4=Bonds_Info!$A$1:$A$193)*(Portfolio_UAH!L$2=Bonds_Info!$G$1:$G$193)*($A4&lt;Bonds_Info!$C$1:$C$193)*(TODAY()&gt;=Bonds_Info!$C$1:$C$193),0))*$D4,"-")</f>
        <v>-</v>
      </c>
      <c r="M4" t="str">
        <f t="array" aca="1" ref="M4" ca="1">IFERROR(INDEX(Bonds_Info!$F$1:$F$193,MATCH(1,(Portfolio_UAH!$B4=Bonds_Info!$A$1:$A$193)*(Portfolio_UAH!M$2=Bonds_Info!$G$1:$G$193)*($A4&lt;Bonds_Info!$C$1:$C$193)*(TODAY()&gt;=Bonds_Info!$C$1:$C$193),0))*$D4,"-")</f>
        <v>-</v>
      </c>
      <c r="N4" s="4">
        <f t="shared" ca="1" si="3"/>
        <v>0.10903160968579935</v>
      </c>
      <c r="O4" s="4">
        <f t="shared" ca="1" si="4"/>
        <v>0.10426692834252999</v>
      </c>
      <c r="P4">
        <f t="shared" ca="1" si="5"/>
        <v>301.30000000000018</v>
      </c>
      <c r="Q4">
        <f t="shared" si="6"/>
        <v>200</v>
      </c>
    </row>
    <row r="5" spans="1:21" x14ac:dyDescent="0.25">
      <c r="A5" s="3">
        <v>45032</v>
      </c>
      <c r="B5" t="s">
        <v>7</v>
      </c>
      <c r="C5" t="s">
        <v>70</v>
      </c>
      <c r="D5">
        <v>6</v>
      </c>
      <c r="E5" s="8">
        <v>1056.99</v>
      </c>
      <c r="F5">
        <f t="shared" si="1"/>
        <v>6341.9400000000005</v>
      </c>
      <c r="H5" s="2">
        <f>_xlfn.XLOOKUP($B5,Bonds_Info!$A$1:$A$193,Bonds_Info!$D$1:$D$193,,0)</f>
        <v>45224</v>
      </c>
      <c r="I5">
        <f t="shared" ca="1" si="2"/>
        <v>6000</v>
      </c>
      <c r="J5">
        <f t="array" aca="1" ref="J5" ca="1">IFERROR(INDEX(Bonds_Info!$F$1:$F$193,MATCH(1,(Portfolio_UAH!$B5=Bonds_Info!$A$1:$A$193)*(Portfolio_UAH!J$2=Bonds_Info!$G$1:$G$193)*($A5&lt;Bonds_Info!$C$1:$C$193)*(TODAY()&gt;=Bonds_Info!$C$1:$C$193),0))*$D5,"-")</f>
        <v>345</v>
      </c>
      <c r="K5">
        <f t="array" aca="1" ref="K5" ca="1">IFERROR(INDEX(Bonds_Info!$F$1:$F$193,MATCH(1,(Portfolio_UAH!$B5=Bonds_Info!$A$1:$A$193)*(Portfolio_UAH!K$2=Bonds_Info!$G$1:$G$193)*($A5&lt;Bonds_Info!$C$1:$C$193)*(TODAY()&gt;=Bonds_Info!$C$1:$C$193),0))*$D5,"-")</f>
        <v>345</v>
      </c>
      <c r="L5" t="str">
        <f t="array" aca="1" ref="L5" ca="1">IFERROR(INDEX(Bonds_Info!$F$1:$F$193,MATCH(1,(Portfolio_UAH!$B5=Bonds_Info!$A$1:$A$193)*(Portfolio_UAH!L$2=Bonds_Info!$G$1:$G$193)*($A5&lt;Bonds_Info!$C$1:$C$193)*(TODAY()&gt;=Bonds_Info!$C$1:$C$193),0))*$D5,"-")</f>
        <v>-</v>
      </c>
      <c r="M5" t="str">
        <f t="array" aca="1" ref="M5" ca="1">IFERROR(INDEX(Bonds_Info!$F$1:$F$193,MATCH(1,(Portfolio_UAH!$B5=Bonds_Info!$A$1:$A$193)*(Portfolio_UAH!M$2=Bonds_Info!$G$1:$G$193)*($A5&lt;Bonds_Info!$C$1:$C$193)*(TODAY()&gt;=Bonds_Info!$C$1:$C$193),0))*$D5,"-")</f>
        <v>-</v>
      </c>
      <c r="N5" s="4">
        <f t="shared" ca="1" si="3"/>
        <v>0.10879951560563486</v>
      </c>
      <c r="O5" s="4">
        <f t="shared" ca="1" si="4"/>
        <v>0.10433346302550939</v>
      </c>
      <c r="P5">
        <f t="shared" ca="1" si="5"/>
        <v>348.05999999999949</v>
      </c>
      <c r="Q5">
        <f t="shared" si="6"/>
        <v>192</v>
      </c>
    </row>
    <row r="6" spans="1:21" x14ac:dyDescent="0.25">
      <c r="A6" s="3">
        <v>45036</v>
      </c>
      <c r="B6" t="s">
        <v>7</v>
      </c>
      <c r="C6" t="s">
        <v>70</v>
      </c>
      <c r="D6">
        <v>6</v>
      </c>
      <c r="E6" s="8">
        <v>1058.28</v>
      </c>
      <c r="F6">
        <f t="shared" si="1"/>
        <v>6349.68</v>
      </c>
      <c r="H6" s="2">
        <f>_xlfn.XLOOKUP($B6,Bonds_Info!$A$1:$A$193,Bonds_Info!$D$1:$D$193,,0)</f>
        <v>45224</v>
      </c>
      <c r="I6">
        <f t="shared" ca="1" si="2"/>
        <v>6000</v>
      </c>
      <c r="J6">
        <f t="array" aca="1" ref="J6" ca="1">IFERROR(INDEX(Bonds_Info!$F$1:$F$193,MATCH(1,(Portfolio_UAH!$B6=Bonds_Info!$A$1:$A$193)*(Portfolio_UAH!J$2=Bonds_Info!$G$1:$G$193)*($A6&lt;Bonds_Info!$C$1:$C$193)*(TODAY()&gt;=Bonds_Info!$C$1:$C$193),0))*$D6,"-")</f>
        <v>345</v>
      </c>
      <c r="K6">
        <f t="array" aca="1" ref="K6" ca="1">IFERROR(INDEX(Bonds_Info!$F$1:$F$193,MATCH(1,(Portfolio_UAH!$B6=Bonds_Info!$A$1:$A$193)*(Portfolio_UAH!K$2=Bonds_Info!$G$1:$G$193)*($A6&lt;Bonds_Info!$C$1:$C$193)*(TODAY()&gt;=Bonds_Info!$C$1:$C$193),0))*$D6,"-")</f>
        <v>345</v>
      </c>
      <c r="L6" t="str">
        <f t="array" aca="1" ref="L6" ca="1">IFERROR(INDEX(Bonds_Info!$F$1:$F$193,MATCH(1,(Portfolio_UAH!$B6=Bonds_Info!$A$1:$A$193)*(Portfolio_UAH!L$2=Bonds_Info!$G$1:$G$193)*($A6&lt;Bonds_Info!$C$1:$C$193)*(TODAY()&gt;=Bonds_Info!$C$1:$C$193),0))*$D6,"-")</f>
        <v>-</v>
      </c>
      <c r="M6" t="str">
        <f t="array" aca="1" ref="M6" ca="1">IFERROR(INDEX(Bonds_Info!$F$1:$F$193,MATCH(1,(Portfolio_UAH!$B6=Bonds_Info!$A$1:$A$193)*(Portfolio_UAH!M$2=Bonds_Info!$G$1:$G$193)*($A6&lt;Bonds_Info!$C$1:$C$193)*(TODAY()&gt;=Bonds_Info!$C$1:$C$193),0))*$D6,"-")</f>
        <v>-</v>
      </c>
      <c r="N6" s="4">
        <f t="shared" ca="1" si="3"/>
        <v>0.10866689344974864</v>
      </c>
      <c r="O6" s="4">
        <f t="shared" ca="1" si="4"/>
        <v>0.10405684374243544</v>
      </c>
      <c r="P6">
        <f t="shared" ca="1" si="5"/>
        <v>340.31999999999971</v>
      </c>
      <c r="Q6">
        <f t="shared" si="6"/>
        <v>188</v>
      </c>
    </row>
    <row r="7" spans="1:21" x14ac:dyDescent="0.25">
      <c r="A7" s="3">
        <v>45043</v>
      </c>
      <c r="B7" t="s">
        <v>7</v>
      </c>
      <c r="C7" t="s">
        <v>70</v>
      </c>
      <c r="D7">
        <v>1</v>
      </c>
      <c r="E7" s="8">
        <v>1002.45</v>
      </c>
      <c r="F7">
        <f t="shared" si="1"/>
        <v>1002.45</v>
      </c>
      <c r="G7">
        <v>1002.45</v>
      </c>
      <c r="H7" s="2">
        <f>_xlfn.XLOOKUP($B7,Bonds_Info!$A$1:$A$193,Bonds_Info!$D$1:$D$193,,0)</f>
        <v>45224</v>
      </c>
      <c r="I7">
        <f t="shared" ca="1" si="2"/>
        <v>1000</v>
      </c>
      <c r="J7" t="str">
        <f t="array" aca="1" ref="J7" ca="1">IFERROR(INDEX(Bonds_Info!$F$1:$F$193,MATCH(1,(Portfolio_UAH!$B7=Bonds_Info!$A$1:$A$193)*(Portfolio_UAH!J$2=Bonds_Info!$G$1:$G$193)*($A7&lt;Bonds_Info!$C$1:$C$193)*(TODAY()&gt;=Bonds_Info!$C$1:$C$193),0))*$D7,"-")</f>
        <v>-</v>
      </c>
      <c r="K7">
        <f t="array" aca="1" ref="K7" ca="1">IFERROR(INDEX(Bonds_Info!$F$1:$F$193,MATCH(1,(Portfolio_UAH!$B7=Bonds_Info!$A$1:$A$193)*(Portfolio_UAH!K$2=Bonds_Info!$G$1:$G$193)*($A7&lt;Bonds_Info!$C$1:$C$193)*(TODAY()&gt;=Bonds_Info!$C$1:$C$193),0))*$D7,"-")</f>
        <v>57.5</v>
      </c>
      <c r="L7" t="str">
        <f t="array" aca="1" ref="L7" ca="1">IFERROR(INDEX(Bonds_Info!$F$1:$F$193,MATCH(1,(Portfolio_UAH!$B7=Bonds_Info!$A$1:$A$193)*(Portfolio_UAH!L$2=Bonds_Info!$G$1:$G$193)*($A7&lt;Bonds_Info!$C$1:$C$193)*(TODAY()&gt;=Bonds_Info!$C$1:$C$193),0))*$D7,"-")</f>
        <v>-</v>
      </c>
      <c r="M7" t="str">
        <f t="array" aca="1" ref="M7" ca="1">IFERROR(INDEX(Bonds_Info!$F$1:$F$193,MATCH(1,(Portfolio_UAH!$B7=Bonds_Info!$A$1:$A$193)*(Portfolio_UAH!M$2=Bonds_Info!$G$1:$G$193)*($A7&lt;Bonds_Info!$C$1:$C$193)*(TODAY()&gt;=Bonds_Info!$C$1:$C$193),0))*$D7,"-")</f>
        <v>-</v>
      </c>
      <c r="N7" s="4">
        <f t="shared" ca="1" si="3"/>
        <v>5.7359469300214475E-2</v>
      </c>
      <c r="O7" s="4">
        <f t="shared" ca="1" si="4"/>
        <v>0.11074111520696935</v>
      </c>
      <c r="P7">
        <f t="shared" ca="1" si="5"/>
        <v>55.049999999999955</v>
      </c>
      <c r="Q7">
        <f t="shared" si="6"/>
        <v>181</v>
      </c>
    </row>
    <row r="8" spans="1:21" x14ac:dyDescent="0.25">
      <c r="A8" s="3">
        <v>45046</v>
      </c>
      <c r="B8" t="s">
        <v>7</v>
      </c>
      <c r="C8" t="s">
        <v>70</v>
      </c>
      <c r="D8">
        <v>2</v>
      </c>
      <c r="E8" s="8">
        <v>1003.64</v>
      </c>
      <c r="F8">
        <f t="shared" si="1"/>
        <v>2007.28</v>
      </c>
      <c r="H8" s="2">
        <f>_xlfn.XLOOKUP($B8,Bonds_Info!$A$1:$A$193,Bonds_Info!$D$1:$D$193,,0)</f>
        <v>45224</v>
      </c>
      <c r="I8">
        <f t="shared" ca="1" si="2"/>
        <v>2000</v>
      </c>
      <c r="J8" t="str">
        <f t="array" aca="1" ref="J8" ca="1">IFERROR(INDEX(Bonds_Info!$F$1:$F$193,MATCH(1,(Portfolio_UAH!$B8=Bonds_Info!$A$1:$A$193)*(Portfolio_UAH!J$2=Bonds_Info!$G$1:$G$193)*($A8&lt;Bonds_Info!$C$1:$C$193)*(TODAY()&gt;=Bonds_Info!$C$1:$C$193),0))*$D8,"-")</f>
        <v>-</v>
      </c>
      <c r="K8">
        <f t="array" aca="1" ref="K8" ca="1">IFERROR(INDEX(Bonds_Info!$F$1:$F$193,MATCH(1,(Portfolio_UAH!$B8=Bonds_Info!$A$1:$A$193)*(Portfolio_UAH!K$2=Bonds_Info!$G$1:$G$193)*($A8&lt;Bonds_Info!$C$1:$C$193)*(TODAY()&gt;=Bonds_Info!$C$1:$C$193),0))*$D8,"-")</f>
        <v>115</v>
      </c>
      <c r="L8" t="str">
        <f t="array" aca="1" ref="L8" ca="1">IFERROR(INDEX(Bonds_Info!$F$1:$F$193,MATCH(1,(Portfolio_UAH!$B8=Bonds_Info!$A$1:$A$193)*(Portfolio_UAH!L$2=Bonds_Info!$G$1:$G$193)*($A8&lt;Bonds_Info!$C$1:$C$193)*(TODAY()&gt;=Bonds_Info!$C$1:$C$193),0))*$D8,"-")</f>
        <v>-</v>
      </c>
      <c r="M8" t="str">
        <f t="array" aca="1" ref="M8" ca="1">IFERROR(INDEX(Bonds_Info!$F$1:$F$193,MATCH(1,(Portfolio_UAH!$B8=Bonds_Info!$A$1:$A$193)*(Portfolio_UAH!M$2=Bonds_Info!$G$1:$G$193)*($A8&lt;Bonds_Info!$C$1:$C$193)*(TODAY()&gt;=Bonds_Info!$C$1:$C$193),0))*$D8,"-")</f>
        <v>-</v>
      </c>
      <c r="N8" s="4">
        <f t="shared" ca="1" si="3"/>
        <v>5.7291459088916342E-2</v>
      </c>
      <c r="O8" s="4">
        <f t="shared" ca="1" si="4"/>
        <v>0.11004270298808967</v>
      </c>
      <c r="P8">
        <f t="shared" ca="1" si="5"/>
        <v>107.72000000000003</v>
      </c>
      <c r="Q8">
        <f t="shared" si="6"/>
        <v>178</v>
      </c>
    </row>
    <row r="9" spans="1:21" x14ac:dyDescent="0.25">
      <c r="A9" s="3">
        <v>45051</v>
      </c>
      <c r="B9" t="s">
        <v>22</v>
      </c>
      <c r="C9" t="s">
        <v>71</v>
      </c>
      <c r="D9">
        <v>2</v>
      </c>
      <c r="E9" s="8">
        <v>1003.49</v>
      </c>
      <c r="F9">
        <f t="shared" si="1"/>
        <v>2006.98</v>
      </c>
      <c r="H9" s="2">
        <f>_xlfn.XLOOKUP($B9,Bonds_Info!$A$1:$A$193,Bonds_Info!$D$1:$D$193,,0)</f>
        <v>45469</v>
      </c>
      <c r="I9" t="str">
        <f t="shared" ca="1" si="2"/>
        <v/>
      </c>
      <c r="J9">
        <f t="array" aca="1" ref="J9" ca="1">IFERROR(INDEX(Bonds_Info!$F$1:$F$193,MATCH(1,(Portfolio_UAH!$B9=Bonds_Info!$A$1:$A$193)*(Portfolio_UAH!J$2=Bonds_Info!$G$1:$G$193)*($A9&lt;Bonds_Info!$C$1:$C$193)*(TODAY()&gt;=Bonds_Info!$C$1:$C$193),0))*$D9,"-")</f>
        <v>140</v>
      </c>
      <c r="K9" t="str">
        <f t="array" aca="1" ref="K9" ca="1">IFERROR(INDEX(Bonds_Info!$F$1:$F$193,MATCH(1,(Portfolio_UAH!$B9=Bonds_Info!$A$1:$A$193)*(Portfolio_UAH!K$2=Bonds_Info!$G$1:$G$193)*($A9&lt;Bonds_Info!$C$1:$C$193)*(TODAY()&gt;=Bonds_Info!$C$1:$C$193),0))*$D9,"-")</f>
        <v>-</v>
      </c>
      <c r="L9" t="str">
        <f t="array" aca="1" ref="L9" ca="1">IFERROR(INDEX(Bonds_Info!$F$1:$F$193,MATCH(1,(Portfolio_UAH!$B9=Bonds_Info!$A$1:$A$193)*(Portfolio_UAH!L$2=Bonds_Info!$G$1:$G$193)*($A9&lt;Bonds_Info!$C$1:$C$193)*(TODAY()&gt;=Bonds_Info!$C$1:$C$193),0))*$D9,"-")</f>
        <v>-</v>
      </c>
      <c r="M9" t="str">
        <f t="array" aca="1" ref="M9" ca="1">IFERROR(INDEX(Bonds_Info!$F$1:$F$193,MATCH(1,(Portfolio_UAH!$B9=Bonds_Info!$A$1:$A$193)*(Portfolio_UAH!M$2=Bonds_Info!$G$1:$G$193)*($A9&lt;Bonds_Info!$C$1:$C$193)*(TODAY()&gt;=Bonds_Info!$C$1:$C$193),0))*$D9,"-")</f>
        <v>-</v>
      </c>
      <c r="N9" s="4">
        <f t="shared" ca="1" si="3"/>
        <v>6.9756549641750293E-2</v>
      </c>
      <c r="O9" s="4">
        <f t="shared" ca="1" si="4"/>
        <v>5.7874930368611618E-2</v>
      </c>
      <c r="P9">
        <f t="shared" ca="1" si="5"/>
        <v>133.01999999999998</v>
      </c>
      <c r="Q9">
        <f t="shared" si="6"/>
        <v>418</v>
      </c>
    </row>
    <row r="10" spans="1:21" x14ac:dyDescent="0.25">
      <c r="A10" s="3">
        <v>45057</v>
      </c>
      <c r="B10" t="s">
        <v>22</v>
      </c>
      <c r="C10" t="s">
        <v>71</v>
      </c>
      <c r="D10">
        <v>2</v>
      </c>
      <c r="E10" s="8">
        <v>1006.91</v>
      </c>
      <c r="F10">
        <f t="shared" si="1"/>
        <v>2013.82</v>
      </c>
      <c r="H10" s="2">
        <f>_xlfn.XLOOKUP($B10,Bonds_Info!$A$1:$A$193,Bonds_Info!$D$1:$D$193,,0)</f>
        <v>45469</v>
      </c>
      <c r="I10" t="str">
        <f t="shared" ca="1" si="2"/>
        <v/>
      </c>
      <c r="J10">
        <f t="array" aca="1" ref="J10" ca="1">IFERROR(INDEX(Bonds_Info!$F$1:$F$193,MATCH(1,(Portfolio_UAH!$B10=Bonds_Info!$A$1:$A$193)*(Portfolio_UAH!J$2=Bonds_Info!$G$1:$G$193)*($A10&lt;Bonds_Info!$C$1:$C$193)*(TODAY()&gt;=Bonds_Info!$C$1:$C$193),0))*$D10,"-")</f>
        <v>140</v>
      </c>
      <c r="K10" t="str">
        <f t="array" aca="1" ref="K10" ca="1">IFERROR(INDEX(Bonds_Info!$F$1:$F$193,MATCH(1,(Portfolio_UAH!$B10=Bonds_Info!$A$1:$A$193)*(Portfolio_UAH!K$2=Bonds_Info!$G$1:$G$193)*($A10&lt;Bonds_Info!$C$1:$C$193)*(TODAY()&gt;=Bonds_Info!$C$1:$C$193),0))*$D10,"-")</f>
        <v>-</v>
      </c>
      <c r="L10" t="str">
        <f t="array" aca="1" ref="L10" ca="1">IFERROR(INDEX(Bonds_Info!$F$1:$F$193,MATCH(1,(Portfolio_UAH!$B10=Bonds_Info!$A$1:$A$193)*(Portfolio_UAH!L$2=Bonds_Info!$G$1:$G$193)*($A10&lt;Bonds_Info!$C$1:$C$193)*(TODAY()&gt;=Bonds_Info!$C$1:$C$193),0))*$D10,"-")</f>
        <v>-</v>
      </c>
      <c r="M10" t="str">
        <f t="array" aca="1" ref="M10" ca="1">IFERROR(INDEX(Bonds_Info!$F$1:$F$193,MATCH(1,(Portfolio_UAH!$B10=Bonds_Info!$A$1:$A$193)*(Portfolio_UAH!M$2=Bonds_Info!$G$1:$G$193)*($A10&lt;Bonds_Info!$C$1:$C$193)*(TODAY()&gt;=Bonds_Info!$C$1:$C$193),0))*$D10,"-")</f>
        <v>-</v>
      </c>
      <c r="N10" s="4">
        <f t="shared" ca="1" si="3"/>
        <v>6.9519619429740498E-2</v>
      </c>
      <c r="O10" s="4">
        <f t="shared" ca="1" si="4"/>
        <v>5.5509270744977482E-2</v>
      </c>
      <c r="P10">
        <f t="shared" ca="1" si="5"/>
        <v>126.18000000000006</v>
      </c>
      <c r="Q10">
        <f t="shared" si="6"/>
        <v>412</v>
      </c>
    </row>
    <row r="11" spans="1:21" x14ac:dyDescent="0.25">
      <c r="A11" s="3">
        <v>45064</v>
      </c>
      <c r="B11" t="s">
        <v>22</v>
      </c>
      <c r="C11" t="s">
        <v>72</v>
      </c>
      <c r="D11">
        <v>2</v>
      </c>
      <c r="E11" s="8">
        <v>1010.34</v>
      </c>
      <c r="F11">
        <f t="shared" si="1"/>
        <v>2020.68</v>
      </c>
      <c r="H11" s="2">
        <f>_xlfn.XLOOKUP($B11,Bonds_Info!$A$1:$A$193,Bonds_Info!$D$1:$D$193,,0)</f>
        <v>45469</v>
      </c>
      <c r="I11" t="str">
        <f t="shared" ca="1" si="2"/>
        <v/>
      </c>
      <c r="J11">
        <f t="array" aca="1" ref="J11" ca="1">IFERROR(INDEX(Bonds_Info!$F$1:$F$193,MATCH(1,(Portfolio_UAH!$B11=Bonds_Info!$A$1:$A$193)*(Portfolio_UAH!J$2=Bonds_Info!$G$1:$G$193)*($A11&lt;Bonds_Info!$C$1:$C$193)*(TODAY()&gt;=Bonds_Info!$C$1:$C$193),0))*$D11,"-")</f>
        <v>140</v>
      </c>
      <c r="K11" t="str">
        <f t="array" aca="1" ref="K11" ca="1">IFERROR(INDEX(Bonds_Info!$F$1:$F$193,MATCH(1,(Portfolio_UAH!$B11=Bonds_Info!$A$1:$A$193)*(Portfolio_UAH!K$2=Bonds_Info!$G$1:$G$193)*($A11&lt;Bonds_Info!$C$1:$C$193)*(TODAY()&gt;=Bonds_Info!$C$1:$C$193),0))*$D11,"-")</f>
        <v>-</v>
      </c>
      <c r="L11" t="str">
        <f t="array" aca="1" ref="L11" ca="1">IFERROR(INDEX(Bonds_Info!$F$1:$F$193,MATCH(1,(Portfolio_UAH!$B11=Bonds_Info!$A$1:$A$193)*(Portfolio_UAH!L$2=Bonds_Info!$G$1:$G$193)*($A11&lt;Bonds_Info!$C$1:$C$193)*(TODAY()&gt;=Bonds_Info!$C$1:$C$193),0))*$D11,"-")</f>
        <v>-</v>
      </c>
      <c r="M11" t="str">
        <f t="array" aca="1" ref="M11" ca="1">IFERROR(INDEX(Bonds_Info!$F$1:$F$193,MATCH(1,(Portfolio_UAH!$B11=Bonds_Info!$A$1:$A$193)*(Portfolio_UAH!M$2=Bonds_Info!$G$1:$G$193)*($A11&lt;Bonds_Info!$C$1:$C$193)*(TODAY()&gt;=Bonds_Info!$C$1:$C$193),0))*$D11,"-")</f>
        <v>-</v>
      </c>
      <c r="N11" s="4">
        <f t="shared" ca="1" si="3"/>
        <v>6.9283607498465863E-2</v>
      </c>
      <c r="O11" s="4">
        <f t="shared" ca="1" si="4"/>
        <v>5.3217386544121406E-2</v>
      </c>
      <c r="P11">
        <f t="shared" ca="1" si="5"/>
        <v>119.31999999999994</v>
      </c>
      <c r="Q11">
        <f t="shared" si="6"/>
        <v>405</v>
      </c>
    </row>
    <row r="12" spans="1:21" x14ac:dyDescent="0.25">
      <c r="A12" s="3">
        <v>45071</v>
      </c>
      <c r="B12" t="s">
        <v>50</v>
      </c>
      <c r="C12" t="s">
        <v>72</v>
      </c>
      <c r="D12">
        <v>4</v>
      </c>
      <c r="E12" s="8">
        <v>855.04</v>
      </c>
      <c r="F12">
        <f t="shared" si="1"/>
        <v>3420.16</v>
      </c>
      <c r="H12" s="2">
        <f>_xlfn.XLOOKUP($B12,Bonds_Info!$A$1:$A$193,Bonds_Info!$D$1:$D$193,,0)</f>
        <v>46155</v>
      </c>
      <c r="I12" t="str">
        <f t="shared" ca="1" si="2"/>
        <v/>
      </c>
      <c r="J12" t="str">
        <f t="array" aca="1" ref="J12" ca="1">IFERROR(INDEX(Bonds_Info!$F$1:$F$193,MATCH(1,(Portfolio_UAH!$B12=Bonds_Info!$A$1:$A$193)*(Portfolio_UAH!J$2=Bonds_Info!$G$1:$G$193)*($A12&lt;Bonds_Info!$C$1:$C$193)*(TODAY()&gt;=Bonds_Info!$C$1:$C$193),0))*$D12,"-")</f>
        <v>-</v>
      </c>
      <c r="K12">
        <f t="array" aca="1" ref="K12" ca="1">IFERROR(INDEX(Bonds_Info!$F$1:$F$193,MATCH(1,(Portfolio_UAH!$B12=Bonds_Info!$A$1:$A$193)*(Portfolio_UAH!K$2=Bonds_Info!$G$1:$G$193)*($A12&lt;Bonds_Info!$C$1:$C$193)*(TODAY()&gt;=Bonds_Info!$C$1:$C$193),0))*$D12,"-")</f>
        <v>250.4</v>
      </c>
      <c r="L12" t="str">
        <f t="array" aca="1" ref="L12" ca="1">IFERROR(INDEX(Bonds_Info!$F$1:$F$193,MATCH(1,(Portfolio_UAH!$B12=Bonds_Info!$A$1:$A$193)*(Portfolio_UAH!L$2=Bonds_Info!$G$1:$G$193)*($A12&lt;Bonds_Info!$C$1:$C$193)*(TODAY()&gt;=Bonds_Info!$C$1:$C$193),0))*$D12,"-")</f>
        <v>-</v>
      </c>
      <c r="M12" t="str">
        <f t="array" aca="1" ref="M12" ca="1">IFERROR(INDEX(Bonds_Info!$F$1:$F$193,MATCH(1,(Portfolio_UAH!$B12=Bonds_Info!$A$1:$A$193)*(Portfolio_UAH!M$2=Bonds_Info!$G$1:$G$193)*($A12&lt;Bonds_Info!$C$1:$C$193)*(TODAY()&gt;=Bonds_Info!$C$1:$C$193),0))*$D12,"-")</f>
        <v>-</v>
      </c>
      <c r="N12" s="4">
        <f t="shared" ca="1" si="3"/>
        <v>7.3212949101796418E-2</v>
      </c>
      <c r="O12" s="4">
        <f t="shared" ca="1" si="4"/>
        <v>8.1737398703515499E-2</v>
      </c>
      <c r="P12">
        <f t="shared" ca="1" si="5"/>
        <v>830.24000000000012</v>
      </c>
      <c r="Q12">
        <f t="shared" si="6"/>
        <v>1084</v>
      </c>
    </row>
    <row r="13" spans="1:21" x14ac:dyDescent="0.25">
      <c r="A13" s="3">
        <v>45078</v>
      </c>
      <c r="B13" t="s">
        <v>48</v>
      </c>
      <c r="C13" t="s">
        <v>72</v>
      </c>
      <c r="D13">
        <v>2</v>
      </c>
      <c r="E13" s="8">
        <v>1061.6500000000001</v>
      </c>
      <c r="F13">
        <f t="shared" si="1"/>
        <v>2123.3000000000002</v>
      </c>
      <c r="H13" s="2">
        <f>_xlfn.XLOOKUP($B13,Bonds_Info!$A$1:$A$193,Bonds_Info!$D$1:$D$193,,0)</f>
        <v>46071</v>
      </c>
      <c r="I13" t="str">
        <f t="shared" ca="1" si="2"/>
        <v/>
      </c>
      <c r="J13" t="str">
        <f t="array" aca="1" ref="J13" ca="1">IFERROR(INDEX(Bonds_Info!$F$1:$F$193,MATCH(1,(Portfolio_UAH!$B13=Bonds_Info!$A$1:$A$193)*(Portfolio_UAH!J$2=Bonds_Info!$G$1:$G$193)*($A13&lt;Bonds_Info!$C$1:$C$193)*(TODAY()&gt;=Bonds_Info!$C$1:$C$193),0))*$D13,"-")</f>
        <v>-</v>
      </c>
      <c r="K13">
        <f t="array" aca="1" ref="K13" ca="1">IFERROR(INDEX(Bonds_Info!$F$1:$F$193,MATCH(1,(Portfolio_UAH!$B13=Bonds_Info!$A$1:$A$193)*(Portfolio_UAH!K$2=Bonds_Info!$G$1:$G$193)*($A13&lt;Bonds_Info!$C$1:$C$193)*(TODAY()&gt;=Bonds_Info!$C$1:$C$193),0))*$D13,"-")</f>
        <v>197.5</v>
      </c>
      <c r="L13" t="str">
        <f t="array" aca="1" ref="L13" ca="1">IFERROR(INDEX(Bonds_Info!$F$1:$F$193,MATCH(1,(Portfolio_UAH!$B13=Bonds_Info!$A$1:$A$193)*(Portfolio_UAH!L$2=Bonds_Info!$G$1:$G$193)*($A13&lt;Bonds_Info!$C$1:$C$193)*(TODAY()&gt;=Bonds_Info!$C$1:$C$193),0))*$D13,"-")</f>
        <v>-</v>
      </c>
      <c r="M13" t="str">
        <f t="array" aca="1" ref="M13" ca="1">IFERROR(INDEX(Bonds_Info!$F$1:$F$193,MATCH(1,(Portfolio_UAH!$B13=Bonds_Info!$A$1:$A$193)*(Portfolio_UAH!M$2=Bonds_Info!$G$1:$G$193)*($A13&lt;Bonds_Info!$C$1:$C$193)*(TODAY()&gt;=Bonds_Info!$C$1:$C$193),0))*$D13,"-")</f>
        <v>-</v>
      </c>
      <c r="N13" s="4">
        <f t="shared" ca="1" si="3"/>
        <v>9.3015588941741625E-2</v>
      </c>
      <c r="O13" s="4">
        <f t="shared" ca="1" si="4"/>
        <v>1.2845060717728823E-2</v>
      </c>
      <c r="P13">
        <f t="shared" ca="1" si="5"/>
        <v>74.199999999999818</v>
      </c>
      <c r="Q13">
        <f t="shared" si="6"/>
        <v>993</v>
      </c>
    </row>
    <row r="14" spans="1:21" x14ac:dyDescent="0.25">
      <c r="A14" s="3">
        <v>45085</v>
      </c>
      <c r="B14" t="s">
        <v>50</v>
      </c>
      <c r="C14" t="s">
        <v>72</v>
      </c>
      <c r="D14">
        <v>1</v>
      </c>
      <c r="E14" s="8">
        <v>868.27</v>
      </c>
      <c r="F14">
        <f t="shared" si="1"/>
        <v>868.27</v>
      </c>
      <c r="H14" s="2">
        <f>_xlfn.XLOOKUP($B14,Bonds_Info!$A$1:$A$193,Bonds_Info!$D$1:$D$193,,0)</f>
        <v>46155</v>
      </c>
      <c r="I14" t="str">
        <f t="shared" ca="1" si="2"/>
        <v/>
      </c>
      <c r="J14" t="str">
        <f t="array" aca="1" ref="J14" ca="1">IFERROR(INDEX(Bonds_Info!$F$1:$F$193,MATCH(1,(Portfolio_UAH!$B14=Bonds_Info!$A$1:$A$193)*(Portfolio_UAH!J$2=Bonds_Info!$G$1:$G$193)*($A14&lt;Bonds_Info!$C$1:$C$193)*(TODAY()&gt;=Bonds_Info!$C$1:$C$193),0))*$D14,"-")</f>
        <v>-</v>
      </c>
      <c r="K14">
        <f t="array" aca="1" ref="K14" ca="1">IFERROR(INDEX(Bonds_Info!$F$1:$F$193,MATCH(1,(Portfolio_UAH!$B14=Bonds_Info!$A$1:$A$193)*(Portfolio_UAH!K$2=Bonds_Info!$G$1:$G$193)*($A14&lt;Bonds_Info!$C$1:$C$193)*(TODAY()&gt;=Bonds_Info!$C$1:$C$193),0))*$D14,"-")</f>
        <v>62.6</v>
      </c>
      <c r="L14" t="str">
        <f t="array" aca="1" ref="L14" ca="1">IFERROR(INDEX(Bonds_Info!$F$1:$F$193,MATCH(1,(Portfolio_UAH!$B14=Bonds_Info!$A$1:$A$193)*(Portfolio_UAH!L$2=Bonds_Info!$G$1:$G$193)*($A14&lt;Bonds_Info!$C$1:$C$193)*(TODAY()&gt;=Bonds_Info!$C$1:$C$193),0))*$D14,"-")</f>
        <v>-</v>
      </c>
      <c r="M14" t="str">
        <f t="array" aca="1" ref="M14" ca="1">IFERROR(INDEX(Bonds_Info!$F$1:$F$193,MATCH(1,(Portfolio_UAH!$B14=Bonds_Info!$A$1:$A$193)*(Portfolio_UAH!M$2=Bonds_Info!$G$1:$G$193)*($A14&lt;Bonds_Info!$C$1:$C$193)*(TODAY()&gt;=Bonds_Info!$C$1:$C$193),0))*$D14,"-")</f>
        <v>-</v>
      </c>
      <c r="N14" s="4">
        <f t="shared" ca="1" si="3"/>
        <v>7.2097389061006378E-2</v>
      </c>
      <c r="O14" s="4">
        <f t="shared" ca="1" si="4"/>
        <v>7.6347380638414189E-2</v>
      </c>
      <c r="P14">
        <f t="shared" ca="1" si="5"/>
        <v>194.33</v>
      </c>
      <c r="Q14">
        <f t="shared" si="6"/>
        <v>1070</v>
      </c>
    </row>
    <row r="15" spans="1:21" x14ac:dyDescent="0.25">
      <c r="A15" s="3">
        <v>45085</v>
      </c>
      <c r="B15" t="s">
        <v>48</v>
      </c>
      <c r="C15" t="s">
        <v>72</v>
      </c>
      <c r="D15">
        <v>1</v>
      </c>
      <c r="E15" s="8">
        <v>1071.04</v>
      </c>
      <c r="F15">
        <f t="shared" si="1"/>
        <v>1071.04</v>
      </c>
      <c r="H15" s="2">
        <f>_xlfn.XLOOKUP($B15,Bonds_Info!$A$1:$A$193,Bonds_Info!$D$1:$D$193,,0)</f>
        <v>46071</v>
      </c>
      <c r="I15" t="str">
        <f t="shared" ca="1" si="2"/>
        <v/>
      </c>
      <c r="J15" t="str">
        <f t="array" aca="1" ref="J15" ca="1">IFERROR(INDEX(Bonds_Info!$F$1:$F$193,MATCH(1,(Portfolio_UAH!$B15=Bonds_Info!$A$1:$A$193)*(Portfolio_UAH!J$2=Bonds_Info!$G$1:$G$193)*($A15&lt;Bonds_Info!$C$1:$C$193)*(TODAY()&gt;=Bonds_Info!$C$1:$C$193),0))*$D15,"-")</f>
        <v>-</v>
      </c>
      <c r="K15">
        <f t="array" aca="1" ref="K15" ca="1">IFERROR(INDEX(Bonds_Info!$F$1:$F$193,MATCH(1,(Portfolio_UAH!$B15=Bonds_Info!$A$1:$A$193)*(Portfolio_UAH!K$2=Bonds_Info!$G$1:$G$193)*($A15&lt;Bonds_Info!$C$1:$C$193)*(TODAY()&gt;=Bonds_Info!$C$1:$C$193),0))*$D15,"-")</f>
        <v>98.75</v>
      </c>
      <c r="L15" t="str">
        <f t="array" aca="1" ref="L15" ca="1">IFERROR(INDEX(Bonds_Info!$F$1:$F$193,MATCH(1,(Portfolio_UAH!$B15=Bonds_Info!$A$1:$A$193)*(Portfolio_UAH!L$2=Bonds_Info!$G$1:$G$193)*($A15&lt;Bonds_Info!$C$1:$C$193)*(TODAY()&gt;=Bonds_Info!$C$1:$C$193),0))*$D15,"-")</f>
        <v>-</v>
      </c>
      <c r="M15" t="str">
        <f t="array" aca="1" ref="M15" ca="1">IFERROR(INDEX(Bonds_Info!$F$1:$F$193,MATCH(1,(Portfolio_UAH!$B15=Bonds_Info!$A$1:$A$193)*(Portfolio_UAH!M$2=Bonds_Info!$G$1:$G$193)*($A15&lt;Bonds_Info!$C$1:$C$193)*(TODAY()&gt;=Bonds_Info!$C$1:$C$193),0))*$D15,"-")</f>
        <v>-</v>
      </c>
      <c r="N15" s="4">
        <f t="shared" ca="1" si="3"/>
        <v>9.2200104571257852E-2</v>
      </c>
      <c r="O15" s="4">
        <f t="shared" ca="1" si="4"/>
        <v>9.5773814429803462E-3</v>
      </c>
      <c r="P15">
        <f t="shared" ca="1" si="5"/>
        <v>27.710000000000036</v>
      </c>
      <c r="Q15">
        <f t="shared" si="6"/>
        <v>986</v>
      </c>
    </row>
    <row r="16" spans="1:21" x14ac:dyDescent="0.25">
      <c r="A16" s="3">
        <v>45089</v>
      </c>
      <c r="B16" t="s">
        <v>47</v>
      </c>
      <c r="C16" t="s">
        <v>72</v>
      </c>
      <c r="D16">
        <v>4</v>
      </c>
      <c r="E16" s="8">
        <v>1031.0999999999999</v>
      </c>
      <c r="F16">
        <f t="shared" si="1"/>
        <v>4124.3999999999996</v>
      </c>
      <c r="H16" s="2">
        <f>_xlfn.XLOOKUP($B16,Bonds_Info!$A$1:$A$193,Bonds_Info!$D$1:$D$193,,0)</f>
        <v>45966</v>
      </c>
      <c r="I16" t="str">
        <f t="shared" ca="1" si="2"/>
        <v/>
      </c>
      <c r="J16" t="str">
        <f t="array" aca="1" ref="J16" ca="1">IFERROR(INDEX(Bonds_Info!$F$1:$F$193,MATCH(1,(Portfolio_UAH!$B16=Bonds_Info!$A$1:$A$193)*(Portfolio_UAH!J$2=Bonds_Info!$G$1:$G$193)*($A16&lt;Bonds_Info!$C$1:$C$193)*(TODAY()&gt;=Bonds_Info!$C$1:$C$193),0))*$D16,"-")</f>
        <v>-</v>
      </c>
      <c r="K16">
        <f t="array" aca="1" ref="K16" ca="1">IFERROR(INDEX(Bonds_Info!$F$1:$F$193,MATCH(1,(Portfolio_UAH!$B16=Bonds_Info!$A$1:$A$193)*(Portfolio_UAH!K$2=Bonds_Info!$G$1:$G$193)*($A16&lt;Bonds_Info!$C$1:$C$193)*(TODAY()&gt;=Bonds_Info!$C$1:$C$193),0))*$D16,"-")</f>
        <v>395</v>
      </c>
      <c r="L16" t="str">
        <f t="array" aca="1" ref="L16" ca="1">IFERROR(INDEX(Bonds_Info!$F$1:$F$193,MATCH(1,(Portfolio_UAH!$B16=Bonds_Info!$A$1:$A$193)*(Portfolio_UAH!L$2=Bonds_Info!$G$1:$G$193)*($A16&lt;Bonds_Info!$C$1:$C$193)*(TODAY()&gt;=Bonds_Info!$C$1:$C$193),0))*$D16,"-")</f>
        <v>-</v>
      </c>
      <c r="M16" t="str">
        <f t="array" aca="1" ref="M16" ca="1">IFERROR(INDEX(Bonds_Info!$F$1:$F$193,MATCH(1,(Portfolio_UAH!$B16=Bonds_Info!$A$1:$A$193)*(Portfolio_UAH!M$2=Bonds_Info!$G$1:$G$193)*($A16&lt;Bonds_Info!$C$1:$C$193)*(TODAY()&gt;=Bonds_Info!$C$1:$C$193),0))*$D16,"-")</f>
        <v>-</v>
      </c>
      <c r="N16" s="4">
        <f t="shared" ca="1" si="3"/>
        <v>9.5771506158471548E-2</v>
      </c>
      <c r="O16" s="4">
        <f t="shared" ca="1" si="4"/>
        <v>2.7306138278556324E-2</v>
      </c>
      <c r="P16">
        <f t="shared" ca="1" si="5"/>
        <v>270.60000000000036</v>
      </c>
      <c r="Q16">
        <f t="shared" si="6"/>
        <v>877</v>
      </c>
    </row>
    <row r="17" spans="1:18" x14ac:dyDescent="0.25">
      <c r="A17" s="3">
        <v>45121</v>
      </c>
      <c r="B17" t="s">
        <v>40</v>
      </c>
      <c r="C17" t="s">
        <v>72</v>
      </c>
      <c r="D17">
        <v>1</v>
      </c>
      <c r="E17" s="8">
        <v>1102.24</v>
      </c>
      <c r="F17">
        <f t="shared" si="1"/>
        <v>1102.24</v>
      </c>
      <c r="H17" s="2">
        <f>_xlfn.XLOOKUP($B17,Bonds_Info!$A$1:$A$193,Bonds_Info!$D$1:$D$193,,0)</f>
        <v>45672</v>
      </c>
      <c r="I17" t="str">
        <f t="shared" ca="1" si="2"/>
        <v/>
      </c>
      <c r="J17" t="str">
        <f t="array" aca="1" ref="J17" ca="1">IFERROR(INDEX(Bonds_Info!$F$1:$F$193,MATCH(1,(Portfolio_UAH!$B17=Bonds_Info!$A$1:$A$193)*(Portfolio_UAH!J$2=Bonds_Info!$G$1:$G$193)*($A17&lt;Bonds_Info!$C$1:$C$193)*(TODAY()&gt;=Bonds_Info!$C$1:$C$193),0))*$D17,"-")</f>
        <v>-</v>
      </c>
      <c r="K17">
        <f t="array" aca="1" ref="K17" ca="1">IFERROR(INDEX(Bonds_Info!$F$1:$F$193,MATCH(1,(Portfolio_UAH!$B17=Bonds_Info!$A$1:$A$193)*(Portfolio_UAH!K$2=Bonds_Info!$G$1:$G$193)*($A17&lt;Bonds_Info!$C$1:$C$193)*(TODAY()&gt;=Bonds_Info!$C$1:$C$193),0))*$D17,"-")</f>
        <v>97.5</v>
      </c>
      <c r="L17" t="str">
        <f t="array" aca="1" ref="L17" ca="1">IFERROR(INDEX(Bonds_Info!$F$1:$F$193,MATCH(1,(Portfolio_UAH!$B17=Bonds_Info!$A$1:$A$193)*(Portfolio_UAH!L$2=Bonds_Info!$G$1:$G$193)*($A17&lt;Bonds_Info!$C$1:$C$193)*(TODAY()&gt;=Bonds_Info!$C$1:$C$193),0))*$D17,"-")</f>
        <v>-</v>
      </c>
      <c r="M17" t="str">
        <f t="array" aca="1" ref="M17" ca="1">IFERROR(INDEX(Bonds_Info!$F$1:$F$193,MATCH(1,(Portfolio_UAH!$B17=Bonds_Info!$A$1:$A$193)*(Portfolio_UAH!M$2=Bonds_Info!$G$1:$G$193)*($A17&lt;Bonds_Info!$C$1:$C$193)*(TODAY()&gt;=Bonds_Info!$C$1:$C$193),0))*$D17,"-")</f>
        <v>-</v>
      </c>
      <c r="N17" s="4">
        <f t="shared" ca="1" si="3"/>
        <v>8.8456234576861664E-2</v>
      </c>
      <c r="O17" s="4">
        <f t="shared" ca="1" si="4"/>
        <v>-2.8486785134986025E-3</v>
      </c>
      <c r="P17">
        <f t="shared" ca="1" si="5"/>
        <v>-4.7400000000000091</v>
      </c>
      <c r="Q17">
        <f t="shared" si="6"/>
        <v>551</v>
      </c>
    </row>
    <row r="18" spans="1:18" x14ac:dyDescent="0.25">
      <c r="A18" s="3">
        <v>45124</v>
      </c>
      <c r="B18" t="s">
        <v>40</v>
      </c>
      <c r="C18" t="s">
        <v>72</v>
      </c>
      <c r="D18">
        <v>1</v>
      </c>
      <c r="E18" s="8">
        <v>1102.24</v>
      </c>
      <c r="F18">
        <f t="shared" si="1"/>
        <v>1102.24</v>
      </c>
      <c r="H18" s="2">
        <f>_xlfn.XLOOKUP($B18,Bonds_Info!$A$1:$A$193,Bonds_Info!$D$1:$D$193,,0)</f>
        <v>45672</v>
      </c>
      <c r="I18" t="str">
        <f t="shared" ca="1" si="2"/>
        <v/>
      </c>
      <c r="J18" t="str">
        <f t="array" aca="1" ref="J18" ca="1">IFERROR(INDEX(Bonds_Info!$F$1:$F$193,MATCH(1,(Portfolio_UAH!$B18=Bonds_Info!$A$1:$A$193)*(Portfolio_UAH!J$2=Bonds_Info!$G$1:$G$193)*($A18&lt;Bonds_Info!$C$1:$C$193)*(TODAY()&gt;=Bonds_Info!$C$1:$C$193),0))*$D18,"-")</f>
        <v>-</v>
      </c>
      <c r="K18">
        <f t="array" aca="1" ref="K18" ca="1">IFERROR(INDEX(Bonds_Info!$F$1:$F$193,MATCH(1,(Portfolio_UAH!$B18=Bonds_Info!$A$1:$A$193)*(Portfolio_UAH!K$2=Bonds_Info!$G$1:$G$193)*($A18&lt;Bonds_Info!$C$1:$C$193)*(TODAY()&gt;=Bonds_Info!$C$1:$C$193),0))*$D18,"-")</f>
        <v>97.5</v>
      </c>
      <c r="L18" t="str">
        <f t="array" aca="1" ref="L18" ca="1">IFERROR(INDEX(Bonds_Info!$F$1:$F$193,MATCH(1,(Portfolio_UAH!$B18=Bonds_Info!$A$1:$A$193)*(Portfolio_UAH!L$2=Bonds_Info!$G$1:$G$193)*($A18&lt;Bonds_Info!$C$1:$C$193)*(TODAY()&gt;=Bonds_Info!$C$1:$C$193),0))*$D18,"-")</f>
        <v>-</v>
      </c>
      <c r="M18" t="str">
        <f t="array" aca="1" ref="M18" ca="1">IFERROR(INDEX(Bonds_Info!$F$1:$F$193,MATCH(1,(Portfolio_UAH!$B18=Bonds_Info!$A$1:$A$193)*(Portfolio_UAH!M$2=Bonds_Info!$G$1:$G$193)*($A18&lt;Bonds_Info!$C$1:$C$193)*(TODAY()&gt;=Bonds_Info!$C$1:$C$193),0))*$D18,"-")</f>
        <v>-</v>
      </c>
      <c r="N18" s="4">
        <f t="shared" ca="1" si="3"/>
        <v>8.8456234576861664E-2</v>
      </c>
      <c r="O18" s="4">
        <f t="shared" ca="1" si="4"/>
        <v>-2.8642734688644708E-3</v>
      </c>
      <c r="P18">
        <f t="shared" ca="1" si="5"/>
        <v>-4.7400000000000091</v>
      </c>
      <c r="Q18">
        <f t="shared" si="6"/>
        <v>548</v>
      </c>
    </row>
    <row r="19" spans="1:18" x14ac:dyDescent="0.25">
      <c r="A19" s="3">
        <v>45130</v>
      </c>
      <c r="B19" t="s">
        <v>40</v>
      </c>
      <c r="C19" t="s">
        <v>72</v>
      </c>
      <c r="D19">
        <v>4</v>
      </c>
      <c r="E19" s="8">
        <v>1014.07</v>
      </c>
      <c r="F19">
        <f t="shared" si="1"/>
        <v>4056.28</v>
      </c>
      <c r="H19" s="2">
        <f>_xlfn.XLOOKUP($B19,Bonds_Info!$A$1:$A$193,Bonds_Info!$D$1:$D$193,,0)</f>
        <v>45672</v>
      </c>
      <c r="I19" t="str">
        <f t="shared" ca="1" si="2"/>
        <v/>
      </c>
      <c r="J19" t="str">
        <f t="array" aca="1" ref="J19" ca="1">IFERROR(INDEX(Bonds_Info!$F$1:$F$193,MATCH(1,(Portfolio_UAH!$B19=Bonds_Info!$A$1:$A$193)*(Portfolio_UAH!J$2=Bonds_Info!$G$1:$G$193)*($A19&lt;Bonds_Info!$C$1:$C$193)*(TODAY()&gt;=Bonds_Info!$C$1:$C$193),0))*$D19,"-")</f>
        <v>-</v>
      </c>
      <c r="K19" t="str">
        <f t="array" aca="1" ref="K19" ca="1">IFERROR(INDEX(Bonds_Info!$F$1:$F$193,MATCH(1,(Portfolio_UAH!$B19=Bonds_Info!$A$1:$A$193)*(Portfolio_UAH!K$2=Bonds_Info!$G$1:$G$193)*($A19&lt;Bonds_Info!$C$1:$C$193)*(TODAY()&gt;=Bonds_Info!$C$1:$C$193),0))*$D19,"-")</f>
        <v>-</v>
      </c>
      <c r="L19" t="str">
        <f t="array" aca="1" ref="L19" ca="1">IFERROR(INDEX(Bonds_Info!$F$1:$F$193,MATCH(1,(Portfolio_UAH!$B19=Bonds_Info!$A$1:$A$193)*(Portfolio_UAH!L$2=Bonds_Info!$G$1:$G$193)*($A19&lt;Bonds_Info!$C$1:$C$193)*(TODAY()&gt;=Bonds_Info!$C$1:$C$193),0))*$D19,"-")</f>
        <v>-</v>
      </c>
      <c r="M19" t="str">
        <f t="array" aca="1" ref="M19" ca="1">IFERROR(INDEX(Bonds_Info!$F$1:$F$193,MATCH(1,(Portfolio_UAH!$B19=Bonds_Info!$A$1:$A$193)*(Portfolio_UAH!M$2=Bonds_Info!$G$1:$G$193)*($A19&lt;Bonds_Info!$C$1:$C$193)*(TODAY()&gt;=Bonds_Info!$C$1:$C$193),0))*$D19,"-")</f>
        <v>-</v>
      </c>
      <c r="N19" s="4">
        <f t="shared" ca="1" si="3"/>
        <v>0</v>
      </c>
      <c r="O19" s="4">
        <f t="shared" ca="1" si="4"/>
        <v>-9.3437183841796438E-3</v>
      </c>
      <c r="P19">
        <f t="shared" ca="1" si="5"/>
        <v>-56.2800000000002</v>
      </c>
      <c r="Q19">
        <f t="shared" si="6"/>
        <v>542</v>
      </c>
    </row>
    <row r="20" spans="1:18" x14ac:dyDescent="0.25">
      <c r="A20" s="3">
        <v>45138</v>
      </c>
      <c r="B20" t="s">
        <v>40</v>
      </c>
      <c r="C20" t="s">
        <v>72</v>
      </c>
      <c r="D20">
        <v>4</v>
      </c>
      <c r="E20" s="8">
        <v>1017.54</v>
      </c>
      <c r="F20">
        <f t="shared" si="1"/>
        <v>4070.16</v>
      </c>
      <c r="H20" s="2">
        <f>_xlfn.XLOOKUP($B20,Bonds_Info!$A$1:$A$193,Bonds_Info!$D$1:$D$193,,0)</f>
        <v>45672</v>
      </c>
      <c r="I20" t="str">
        <f t="shared" ca="1" si="2"/>
        <v/>
      </c>
      <c r="J20" t="str">
        <f t="array" aca="1" ref="J20" ca="1">IFERROR(INDEX(Bonds_Info!$F$1:$F$193,MATCH(1,(Portfolio_UAH!$B20=Bonds_Info!$A$1:$A$193)*(Portfolio_UAH!J$2=Bonds_Info!$G$1:$G$193)*($A20&lt;Bonds_Info!$C$1:$C$193)*(TODAY()&gt;=Bonds_Info!$C$1:$C$193),0))*$D20,"-")</f>
        <v>-</v>
      </c>
      <c r="K20" t="str">
        <f t="array" aca="1" ref="K20" ca="1">IFERROR(INDEX(Bonds_Info!$F$1:$F$193,MATCH(1,(Portfolio_UAH!$B20=Bonds_Info!$A$1:$A$193)*(Portfolio_UAH!K$2=Bonds_Info!$G$1:$G$193)*($A20&lt;Bonds_Info!$C$1:$C$193)*(TODAY()&gt;=Bonds_Info!$C$1:$C$193),0))*$D20,"-")</f>
        <v>-</v>
      </c>
      <c r="L20" t="str">
        <f t="array" aca="1" ref="L20" ca="1">IFERROR(INDEX(Bonds_Info!$F$1:$F$193,MATCH(1,(Portfolio_UAH!$B20=Bonds_Info!$A$1:$A$193)*(Portfolio_UAH!L$2=Bonds_Info!$G$1:$G$193)*($A20&lt;Bonds_Info!$C$1:$C$193)*(TODAY()&gt;=Bonds_Info!$C$1:$C$193),0))*$D20,"-")</f>
        <v>-</v>
      </c>
      <c r="M20" t="str">
        <f t="array" aca="1" ref="M20" ca="1">IFERROR(INDEX(Bonds_Info!$F$1:$F$193,MATCH(1,(Portfolio_UAH!$B20=Bonds_Info!$A$1:$A$193)*(Portfolio_UAH!M$2=Bonds_Info!$G$1:$G$193)*($A20&lt;Bonds_Info!$C$1:$C$193)*(TODAY()&gt;=Bonds_Info!$C$1:$C$193),0))*$D20,"-")</f>
        <v>-</v>
      </c>
      <c r="N20" s="4">
        <f t="shared" ca="1" si="3"/>
        <v>0</v>
      </c>
      <c r="O20" s="4">
        <f t="shared" ca="1" si="4"/>
        <v>-1.17822899452222E-2</v>
      </c>
      <c r="P20">
        <f t="shared" ca="1" si="5"/>
        <v>-70.159999999999854</v>
      </c>
      <c r="Q20">
        <f t="shared" si="6"/>
        <v>534</v>
      </c>
    </row>
    <row r="21" spans="1:18" x14ac:dyDescent="0.25">
      <c r="A21" s="3">
        <v>45169</v>
      </c>
      <c r="B21" t="s">
        <v>40</v>
      </c>
      <c r="C21" t="s">
        <v>72</v>
      </c>
      <c r="D21">
        <v>5</v>
      </c>
      <c r="E21" s="8">
        <v>1038.98</v>
      </c>
      <c r="F21">
        <f t="shared" si="1"/>
        <v>5194.8999999999996</v>
      </c>
      <c r="G21">
        <v>911.25</v>
      </c>
      <c r="H21" s="2">
        <f>_xlfn.XLOOKUP($B21,Bonds_Info!$A$1:$A$193,Bonds_Info!$D$1:$D$193,,0)</f>
        <v>45672</v>
      </c>
      <c r="I21" t="str">
        <f t="shared" ca="1" si="2"/>
        <v/>
      </c>
      <c r="J21" t="str">
        <f t="array" aca="1" ref="J21" ca="1">IFERROR(INDEX(Bonds_Info!$F$1:$F$193,MATCH(1,(Portfolio_UAH!$B21=Bonds_Info!$A$1:$A$193)*(Portfolio_UAH!J$2=Bonds_Info!$G$1:$G$193)*($A21&lt;Bonds_Info!$C$1:$C$193)*(TODAY()&gt;=Bonds_Info!$C$1:$C$193),0))*$D21,"-")</f>
        <v>-</v>
      </c>
      <c r="K21" t="str">
        <f t="array" aca="1" ref="K21" ca="1">IFERROR(INDEX(Bonds_Info!$F$1:$F$193,MATCH(1,(Portfolio_UAH!$B21=Bonds_Info!$A$1:$A$193)*(Portfolio_UAH!K$2=Bonds_Info!$G$1:$G$193)*($A21&lt;Bonds_Info!$C$1:$C$193)*(TODAY()&gt;=Bonds_Info!$C$1:$C$193),0))*$D21,"-")</f>
        <v>-</v>
      </c>
      <c r="L21" t="str">
        <f t="array" aca="1" ref="L21" ca="1">IFERROR(INDEX(Bonds_Info!$F$1:$F$193,MATCH(1,(Portfolio_UAH!$B21=Bonds_Info!$A$1:$A$193)*(Portfolio_UAH!L$2=Bonds_Info!$G$1:$G$193)*($A21&lt;Bonds_Info!$C$1:$C$193)*(TODAY()&gt;=Bonds_Info!$C$1:$C$193),0))*$D21,"-")</f>
        <v>-</v>
      </c>
      <c r="M21" t="str">
        <f t="array" aca="1" ref="M21" ca="1">IFERROR(INDEX(Bonds_Info!$F$1:$F$193,MATCH(1,(Portfolio_UAH!$B21=Bonds_Info!$A$1:$A$193)*(Portfolio_UAH!M$2=Bonds_Info!$G$1:$G$193)*($A21&lt;Bonds_Info!$C$1:$C$193)*(TODAY()&gt;=Bonds_Info!$C$1:$C$193),0))*$D21,"-")</f>
        <v>-</v>
      </c>
      <c r="N21" s="4">
        <f t="shared" ca="1" si="3"/>
        <v>0</v>
      </c>
      <c r="O21" s="4">
        <f t="shared" ca="1" si="4"/>
        <v>-2.7224475817332193E-2</v>
      </c>
      <c r="P21">
        <f t="shared" ca="1" si="5"/>
        <v>-194.89999999999964</v>
      </c>
      <c r="Q21">
        <f t="shared" si="6"/>
        <v>503</v>
      </c>
    </row>
    <row r="22" spans="1:18" x14ac:dyDescent="0.25">
      <c r="A22" s="3">
        <v>45200</v>
      </c>
      <c r="B22" t="s">
        <v>51</v>
      </c>
      <c r="C22" t="s">
        <v>72</v>
      </c>
      <c r="D22">
        <v>5</v>
      </c>
      <c r="E22" s="8">
        <v>1065.6099999999999</v>
      </c>
      <c r="F22">
        <f t="shared" si="1"/>
        <v>5328.0499999999993</v>
      </c>
      <c r="H22" s="2">
        <f>_xlfn.XLOOKUP($B22,Bonds_Info!$A$1:$A$193,Bonds_Info!$D$1:$D$193,,0)</f>
        <v>46225</v>
      </c>
      <c r="I22" t="str">
        <f t="shared" ca="1" si="2"/>
        <v/>
      </c>
      <c r="J22" t="str">
        <f t="array" aca="1" ref="J22" ca="1">IFERROR(INDEX(Bonds_Info!$F$1:$F$193,MATCH(1,(Portfolio_UAH!$B22=Bonds_Info!$A$1:$A$193)*(Portfolio_UAH!J$2=Bonds_Info!$G$1:$G$193)*($A22&lt;Bonds_Info!$C$1:$C$193)*(TODAY()&gt;=Bonds_Info!$C$1:$C$193),0))*$D22,"-")</f>
        <v>-</v>
      </c>
      <c r="K22" t="str">
        <f t="array" aca="1" ref="K22" ca="1">IFERROR(INDEX(Bonds_Info!$F$1:$F$193,MATCH(1,(Portfolio_UAH!$B22=Bonds_Info!$A$1:$A$193)*(Portfolio_UAH!K$2=Bonds_Info!$G$1:$G$193)*($A22&lt;Bonds_Info!$C$1:$C$193)*(TODAY()&gt;=Bonds_Info!$C$1:$C$193),0))*$D22,"-")</f>
        <v>-</v>
      </c>
      <c r="L22" t="str">
        <f t="array" aca="1" ref="L22" ca="1">IFERROR(INDEX(Bonds_Info!$F$1:$F$193,MATCH(1,(Portfolio_UAH!$B22=Bonds_Info!$A$1:$A$193)*(Portfolio_UAH!L$2=Bonds_Info!$G$1:$G$193)*($A22&lt;Bonds_Info!$C$1:$C$193)*(TODAY()&gt;=Bonds_Info!$C$1:$C$193),0))*$D22,"-")</f>
        <v>-</v>
      </c>
      <c r="M22" t="str">
        <f t="array" aca="1" ref="M22" ca="1">IFERROR(INDEX(Bonds_Info!$F$1:$F$193,MATCH(1,(Portfolio_UAH!$B22=Bonds_Info!$A$1:$A$193)*(Portfolio_UAH!M$2=Bonds_Info!$G$1:$G$193)*($A22&lt;Bonds_Info!$C$1:$C$193)*(TODAY()&gt;=Bonds_Info!$C$1:$C$193),0))*$D22,"-")</f>
        <v>-</v>
      </c>
      <c r="N22" s="4">
        <f t="shared" ca="1" si="3"/>
        <v>0</v>
      </c>
      <c r="O22" s="4">
        <f t="shared" ca="1" si="4"/>
        <v>-2.1925057925141194E-2</v>
      </c>
      <c r="P22">
        <f t="shared" ca="1" si="5"/>
        <v>-328.04999999999927</v>
      </c>
      <c r="Q22">
        <f t="shared" si="6"/>
        <v>1025</v>
      </c>
    </row>
    <row r="23" spans="1:18" x14ac:dyDescent="0.25">
      <c r="A23" s="3">
        <v>45230</v>
      </c>
      <c r="B23" t="s">
        <v>51</v>
      </c>
      <c r="C23" t="s">
        <v>72</v>
      </c>
      <c r="D23">
        <v>18</v>
      </c>
      <c r="E23" s="8">
        <v>1080.8800000000001</v>
      </c>
      <c r="F23">
        <f t="shared" si="1"/>
        <v>19455.840000000004</v>
      </c>
      <c r="G23">
        <v>1207.5</v>
      </c>
      <c r="H23" s="2">
        <f>_xlfn.XLOOKUP($B23,Bonds_Info!$A$1:$A$193,Bonds_Info!$D$1:$D$193,,0)</f>
        <v>46225</v>
      </c>
      <c r="I23" t="str">
        <f t="shared" ca="1" si="2"/>
        <v/>
      </c>
      <c r="J23" t="str">
        <f t="array" aca="1" ref="J23" ca="1">IFERROR(INDEX(Bonds_Info!$F$1:$F$193,MATCH(1,(Portfolio_UAH!$B23=Bonds_Info!$A$1:$A$193)*(Portfolio_UAH!J$2=Bonds_Info!$G$1:$G$193)*($A23&lt;Bonds_Info!$C$1:$C$193)*(TODAY()&gt;=Bonds_Info!$C$1:$C$193),0))*$D23,"-")</f>
        <v>-</v>
      </c>
      <c r="K23" t="str">
        <f t="array" aca="1" ref="K23" ca="1">IFERROR(INDEX(Bonds_Info!$F$1:$F$193,MATCH(1,(Portfolio_UAH!$B23=Bonds_Info!$A$1:$A$193)*(Portfolio_UAH!K$2=Bonds_Info!$G$1:$G$193)*($A23&lt;Bonds_Info!$C$1:$C$193)*(TODAY()&gt;=Bonds_Info!$C$1:$C$193),0))*$D23,"-")</f>
        <v>-</v>
      </c>
      <c r="L23" t="str">
        <f t="array" aca="1" ref="L23" ca="1">IFERROR(INDEX(Bonds_Info!$F$1:$F$193,MATCH(1,(Portfolio_UAH!$B23=Bonds_Info!$A$1:$A$193)*(Portfolio_UAH!L$2=Bonds_Info!$G$1:$G$193)*($A23&lt;Bonds_Info!$C$1:$C$193)*(TODAY()&gt;=Bonds_Info!$C$1:$C$193),0))*$D23,"-")</f>
        <v>-</v>
      </c>
      <c r="M23" t="str">
        <f t="array" aca="1" ref="M23" ca="1">IFERROR(INDEX(Bonds_Info!$F$1:$F$193,MATCH(1,(Portfolio_UAH!$B23=Bonds_Info!$A$1:$A$193)*(Portfolio_UAH!M$2=Bonds_Info!$G$1:$G$193)*($A23&lt;Bonds_Info!$C$1:$C$193)*(TODAY()&gt;=Bonds_Info!$C$1:$C$193),0))*$D23,"-")</f>
        <v>-</v>
      </c>
      <c r="N23" s="4">
        <f t="shared" ca="1" si="3"/>
        <v>0</v>
      </c>
      <c r="O23" s="4">
        <f t="shared" ca="1" si="4"/>
        <v>-2.7449437253620698E-2</v>
      </c>
      <c r="P23">
        <f t="shared" ca="1" si="5"/>
        <v>-1455.8400000000038</v>
      </c>
      <c r="Q23">
        <f t="shared" si="6"/>
        <v>995</v>
      </c>
      <c r="R23">
        <v>23.92</v>
      </c>
    </row>
    <row r="24" spans="1:18" x14ac:dyDescent="0.25">
      <c r="A24" s="3">
        <v>45231</v>
      </c>
      <c r="B24" t="s">
        <v>51</v>
      </c>
      <c r="C24" t="s">
        <v>72</v>
      </c>
      <c r="D24">
        <v>5</v>
      </c>
      <c r="E24" s="8">
        <v>1081.1400000000001</v>
      </c>
      <c r="F24">
        <f t="shared" si="1"/>
        <v>5405.7000000000007</v>
      </c>
      <c r="H24" s="2">
        <f>_xlfn.XLOOKUP($B24,Bonds_Info!$A$1:$A$193,Bonds_Info!$D$1:$D$193,,0)</f>
        <v>46225</v>
      </c>
      <c r="I24" t="str">
        <f t="shared" ca="1" si="2"/>
        <v/>
      </c>
      <c r="J24" t="str">
        <f t="array" aca="1" ref="J24" ca="1">IFERROR(INDEX(Bonds_Info!$F$1:$F$193,MATCH(1,(Portfolio_UAH!$B24=Bonds_Info!$A$1:$A$193)*(Portfolio_UAH!J$2=Bonds_Info!$G$1:$G$193)*($A24&lt;Bonds_Info!$C$1:$C$193)*(TODAY()&gt;=Bonds_Info!$C$1:$C$193),0))*$D24,"-")</f>
        <v>-</v>
      </c>
      <c r="K24" t="str">
        <f t="array" aca="1" ref="K24" ca="1">IFERROR(INDEX(Bonds_Info!$F$1:$F$193,MATCH(1,(Portfolio_UAH!$B24=Bonds_Info!$A$1:$A$193)*(Portfolio_UAH!K$2=Bonds_Info!$G$1:$G$193)*($A24&lt;Bonds_Info!$C$1:$C$193)*(TODAY()&gt;=Bonds_Info!$C$1:$C$193),0))*$D24,"-")</f>
        <v>-</v>
      </c>
      <c r="L24" t="str">
        <f t="array" aca="1" ref="L24" ca="1">IFERROR(INDEX(Bonds_Info!$F$1:$F$193,MATCH(1,(Portfolio_UAH!$B24=Bonds_Info!$A$1:$A$193)*(Portfolio_UAH!L$2=Bonds_Info!$G$1:$G$193)*($A24&lt;Bonds_Info!$C$1:$C$193)*(TODAY()&gt;=Bonds_Info!$C$1:$C$193),0))*$D24,"-")</f>
        <v>-</v>
      </c>
      <c r="M24" t="str">
        <f t="array" aca="1" ref="M24" ca="1">IFERROR(INDEX(Bonds_Info!$F$1:$F$193,MATCH(1,(Portfolio_UAH!$B24=Bonds_Info!$A$1:$A$193)*(Portfolio_UAH!M$2=Bonds_Info!$G$1:$G$193)*($A24&lt;Bonds_Info!$C$1:$C$193)*(TODAY()&gt;=Bonds_Info!$C$1:$C$193),0))*$D24,"-")</f>
        <v>-</v>
      </c>
      <c r="N24" s="4">
        <f t="shared" ca="1" si="3"/>
        <v>0</v>
      </c>
      <c r="O24" s="4">
        <f t="shared" ca="1" si="4"/>
        <v>-2.7558752072156984E-2</v>
      </c>
      <c r="P24">
        <f t="shared" ca="1" si="5"/>
        <v>-405.70000000000073</v>
      </c>
      <c r="Q24">
        <f t="shared" si="6"/>
        <v>994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6"/>
  <sheetViews>
    <sheetView zoomScale="80" zoomScaleNormal="80" workbookViewId="0">
      <selection sqref="A1:S24"/>
    </sheetView>
  </sheetViews>
  <sheetFormatPr defaultRowHeight="15" x14ac:dyDescent="0.25"/>
  <cols>
    <col min="1" max="1" width="13.85546875" bestFit="1" customWidth="1"/>
    <col min="2" max="2" width="14.85546875" bestFit="1" customWidth="1"/>
    <col min="8" max="8" width="13.42578125" bestFit="1" customWidth="1"/>
    <col min="9" max="9" width="15.5703125" bestFit="1" customWidth="1"/>
    <col min="14" max="14" width="18.42578125" bestFit="1" customWidth="1"/>
    <col min="15" max="15" width="12.140625" bestFit="1" customWidth="1"/>
    <col min="17" max="17" width="14.28515625" bestFit="1" customWidth="1"/>
    <col min="19" max="19" width="10.85546875" bestFit="1" customWidth="1"/>
  </cols>
  <sheetData>
    <row r="1" spans="1:19" x14ac:dyDescent="0.25">
      <c r="E1" s="8">
        <f>AVERAGE(E3:E24)</f>
        <v>27.966656589253788</v>
      </c>
      <c r="F1" s="8">
        <f ca="1">SUMIFS(F3:F24,H3:H24,"&gt;="&amp;TODAY())</f>
        <v>1728.774587244123</v>
      </c>
      <c r="G1">
        <f>SUM(G3:G24)</f>
        <v>85.137904395185501</v>
      </c>
      <c r="I1" s="8">
        <f ca="1">SUM(I3:I24)</f>
        <v>570.74674916102424</v>
      </c>
      <c r="J1" s="8">
        <f ca="1">SUM(J3:J24)</f>
        <v>39.476178971902129</v>
      </c>
      <c r="K1" s="8">
        <f ca="1">SUM(K3:K24)</f>
        <v>65.320269745733441</v>
      </c>
      <c r="N1" s="4">
        <f ca="1">SUM(J1:M1)/(F1-G1)</f>
        <v>6.3758888938880626E-2</v>
      </c>
      <c r="O1" s="4">
        <f ca="1">$P1/$F1*(365/$Q1)</f>
        <v>2.3120143554225098E-3</v>
      </c>
      <c r="P1" s="8">
        <f ca="1">SUM(P3:P24)</f>
        <v>11.8703989114791</v>
      </c>
      <c r="Q1">
        <f>MAX(Q3:Q24)</f>
        <v>1084</v>
      </c>
    </row>
    <row r="2" spans="1:19" x14ac:dyDescent="0.25">
      <c r="A2" s="6" t="s">
        <v>57</v>
      </c>
      <c r="B2" s="6" t="s">
        <v>0</v>
      </c>
      <c r="C2" s="6" t="s">
        <v>58</v>
      </c>
      <c r="D2" s="6" t="s">
        <v>59</v>
      </c>
      <c r="E2" s="6" t="s">
        <v>60</v>
      </c>
      <c r="F2" s="6" t="s">
        <v>61</v>
      </c>
      <c r="G2" s="6" t="s">
        <v>62</v>
      </c>
      <c r="H2" s="6" t="s">
        <v>3</v>
      </c>
      <c r="I2" s="6" t="s">
        <v>63</v>
      </c>
      <c r="J2" s="6" t="s">
        <v>9</v>
      </c>
      <c r="K2" s="6" t="s">
        <v>10</v>
      </c>
      <c r="L2" s="6" t="s">
        <v>19</v>
      </c>
      <c r="M2" s="6" t="s">
        <v>24</v>
      </c>
      <c r="N2" s="6" t="s">
        <v>64</v>
      </c>
      <c r="O2" s="6" t="s">
        <v>65</v>
      </c>
      <c r="P2" s="6" t="s">
        <v>66</v>
      </c>
      <c r="Q2" s="6" t="s">
        <v>67</v>
      </c>
      <c r="R2" s="6" t="s">
        <v>68</v>
      </c>
      <c r="S2" s="6" t="s">
        <v>69</v>
      </c>
    </row>
    <row r="3" spans="1:19" x14ac:dyDescent="0.25">
      <c r="A3" s="2">
        <f>UAH[[#This Row],[Purchase Date]]</f>
        <v>45023</v>
      </c>
      <c r="B3" t="str">
        <f>UAH[[#This Row],[ISIN]]</f>
        <v>UA4000225908</v>
      </c>
      <c r="C3" t="str">
        <f>UAH[[#This Row],[Broker]]</f>
        <v>mono</v>
      </c>
      <c r="D3">
        <f>UAH[[#This Row],[Quantity]]</f>
        <v>1</v>
      </c>
      <c r="E3" s="8">
        <f>UAH[[#This Row],[Price]]/INDEX(USD_UAH!$B$1:$B$43,MATCH(Portfolio_USD!$A3,USD_UAH!$A$1:$A$104,0))</f>
        <v>28.685180430339717</v>
      </c>
      <c r="F3" s="8">
        <f>E3*D3</f>
        <v>28.685180430339717</v>
      </c>
      <c r="G3" t="str">
        <f>IF(NOT(ISBLANK(UAH[[#This Row],[Reinvest]])),UAH[[#This Row],[Reinvest]]/INDEX(USD_UAH!$B$1:$B$43,MATCH(Portfolio_USD!$A3,USD_UAH!$A$1:$A$104,0)),"")</f>
        <v/>
      </c>
      <c r="H3" s="2">
        <f>UAH[[#This Row],[Maturity date]]</f>
        <v>45224</v>
      </c>
      <c r="I3" s="8">
        <f ca="1">IFERROR(UAH[[#This Row],[Maturity Amont]]/INDEX(USD_UAH!$B$1:$B$43,MATCH(Portfolio_USD!$A3,USD_UAH!$A$1:$A$104,0)),"")</f>
        <v>27.196446925630692</v>
      </c>
      <c r="J3" s="8">
        <f ca="1">IFERROR(UAH[[#This Row],['#1 2023]]/INDEX(USD_UAH!$B$1:$B$43,MATCH(Portfolio_USD!$A3,USD_UAH!$A$1:$A$104,0)),"")</f>
        <v>1.5637956982237646</v>
      </c>
      <c r="K3" s="8">
        <f ca="1">IFERROR(UAH[[#This Row],['#2 2023]]/INDEX(USD_UAH!$B$1:$B$43,MATCH(Portfolio_USD!$A3,USD_UAH!$A$1:$A$104,0)),"")</f>
        <v>1.5637956982237646</v>
      </c>
      <c r="L3" s="8" t="str">
        <f ca="1">IFERROR(UAH[[#This Row],['#1 2024]]/INDEX(USD_UAH!$B$1:$B$43,MATCH(Portfolio_USD!$A3,USD_UAH!$A$1:$A$104,0)),"")</f>
        <v/>
      </c>
      <c r="M3" s="8" t="str">
        <f ca="1">IFERROR(UAH[[#This Row],['#2 2024]]/INDEX(USD_UAH!$B$1:$B$43,MATCH(Portfolio_USD!$A3,USD_UAH!$A$1:$A$104,0)),"")</f>
        <v/>
      </c>
      <c r="N3" s="4">
        <f ca="1">SUM(J3:M3)/F3</f>
        <v>0.10903160968579934</v>
      </c>
      <c r="O3" s="4">
        <f ca="1">$P3/$F3*(365/$Q3)</f>
        <v>0.10374818740550235</v>
      </c>
      <c r="P3" s="8">
        <f ca="1">1000/INDEX(USD_UAH!$B$1:$B$43,MATCH(Portfolio_USD!$A3,USD_UAH!$A$1:$A$104,0))*$D3-$F3+SUM($J3:$M3)</f>
        <v>1.6388578917385046</v>
      </c>
      <c r="Q3">
        <f>H3-A3</f>
        <v>201</v>
      </c>
      <c r="R3" t="str">
        <f>IF(NOT(ISBLANK(UAH[[#This Row],[Bank Fee]])),UAH[[#This Row],[Bank Fee]]/INDEX(USD_UAH!$B$1:$B$43,MATCH(Portfolio_USD!$A4,USD_UAH!$A$1:$A$104,0)),"")</f>
        <v/>
      </c>
      <c r="S3" t="str">
        <f>IF(NOT(ISBLANK(UAH[[#This Row],[Broker Fee]])),UAH[[#This Row],[Broker Fee]]/INDEX(USD_UAH!$B$1:$B$43,MATCH(Portfolio_USD!$A4,USD_UAH!$A$1:$A$104,0)),"")</f>
        <v/>
      </c>
    </row>
    <row r="4" spans="1:19" x14ac:dyDescent="0.25">
      <c r="A4" s="2">
        <f>UAH[[#This Row],[Purchase Date]]</f>
        <v>45024</v>
      </c>
      <c r="B4" t="str">
        <f>UAH[[#This Row],[ISIN]]</f>
        <v>UA4000225908</v>
      </c>
      <c r="C4" t="str">
        <f>UAH[[#This Row],[Broker]]</f>
        <v>mono</v>
      </c>
      <c r="D4">
        <f>UAH[[#This Row],[Quantity]]</f>
        <v>5</v>
      </c>
      <c r="E4" s="8">
        <f>UAH[[#This Row],[Price]]/INDEX(USD_UAH!$B$1:$B$43,MATCH(Portfolio_USD!$A4,USD_UAH!$A$1:$A$104,0))</f>
        <v>28.685180430339717</v>
      </c>
      <c r="F4" s="8">
        <f t="shared" ref="F4:F24" si="0">E4*D4</f>
        <v>143.42590215169858</v>
      </c>
      <c r="G4" t="str">
        <f>IF(NOT(ISBLANK(UAH[[#This Row],[Reinvest]])),UAH[[#This Row],[Reinvest]]/INDEX(USD_UAH!$B$1:$B$43,MATCH(Portfolio_USD!$A4,USD_UAH!$A$1:$A$104,0)),"")</f>
        <v/>
      </c>
      <c r="H4" s="2">
        <f>UAH[[#This Row],[Maturity date]]</f>
        <v>45224</v>
      </c>
      <c r="I4" s="8">
        <f ca="1">IFERROR(UAH[[#This Row],[Maturity Amont]]/INDEX(USD_UAH!$B$1:$B$43,MATCH(Portfolio_USD!$A4,USD_UAH!$A$1:$A$104,0)),"")</f>
        <v>135.98223462815346</v>
      </c>
      <c r="J4" s="8">
        <f ca="1">IFERROR(UAH[[#This Row],['#1 2023]]/INDEX(USD_UAH!$B$1:$B$43,MATCH(Portfolio_USD!$A4,USD_UAH!$A$1:$A$104,0)),"")</f>
        <v>7.8189784911188234</v>
      </c>
      <c r="K4" s="8">
        <f ca="1">IFERROR(UAH[[#This Row],['#2 2023]]/INDEX(USD_UAH!$B$1:$B$43,MATCH(Portfolio_USD!$A4,USD_UAH!$A$1:$A$104,0)),"")</f>
        <v>7.8189784911188234</v>
      </c>
      <c r="L4" s="8" t="str">
        <f ca="1">IFERROR(UAH[[#This Row],['#1 2024]]/INDEX(USD_UAH!$B$1:$B$43,MATCH(Portfolio_USD!$A4,USD_UAH!$A$1:$A$104,0)),"")</f>
        <v/>
      </c>
      <c r="M4" s="8" t="str">
        <f ca="1">IFERROR(UAH[[#This Row],['#2 2024]]/INDEX(USD_UAH!$B$1:$B$43,MATCH(Portfolio_USD!$A4,USD_UAH!$A$1:$A$104,0)),"")</f>
        <v/>
      </c>
      <c r="N4" s="4">
        <f t="shared" ref="N4:N24" ca="1" si="1">SUM(J4:M4)/F4</f>
        <v>0.10903160968579934</v>
      </c>
      <c r="O4" s="4">
        <f t="shared" ref="O4:O24" ca="1" si="2">$P4/$F4*(365/$Q4)</f>
        <v>0.10426692834252994</v>
      </c>
      <c r="P4" s="8">
        <f ca="1">1000/INDEX(USD_UAH!$B$1:$B$43,MATCH(Portfolio_USD!$A4,USD_UAH!$A$1:$A$104,0))*$D4-$F4+SUM($J4:$M4)</f>
        <v>8.1942894586925306</v>
      </c>
      <c r="Q4">
        <f t="shared" ref="Q4:Q24" si="3">H4-A4</f>
        <v>200</v>
      </c>
      <c r="R4" t="str">
        <f>IF(NOT(ISBLANK(UAH[[#This Row],[Bank Fee]])),UAH[[#This Row],[Bank Fee]]/INDEX(USD_UAH!$B$1:$B$43,MATCH(Portfolio_USD!$A5,USD_UAH!$A$1:$A$104,0)),"")</f>
        <v/>
      </c>
      <c r="S4" t="str">
        <f>IF(NOT(ISBLANK(UAH[[#This Row],[Broker Fee]])),UAH[[#This Row],[Broker Fee]]/INDEX(USD_UAH!$B$1:$B$43,MATCH(Portfolio_USD!$A5,USD_UAH!$A$1:$A$104,0)),"")</f>
        <v/>
      </c>
    </row>
    <row r="5" spans="1:19" x14ac:dyDescent="0.25">
      <c r="A5" s="2">
        <f>UAH[[#This Row],[Purchase Date]]</f>
        <v>45032</v>
      </c>
      <c r="B5" t="str">
        <f>UAH[[#This Row],[ISIN]]</f>
        <v>UA4000225908</v>
      </c>
      <c r="C5" t="str">
        <f>UAH[[#This Row],[Broker]]</f>
        <v>mono</v>
      </c>
      <c r="D5">
        <f>UAH[[#This Row],[Quantity]]</f>
        <v>6</v>
      </c>
      <c r="E5" s="8">
        <f>UAH[[#This Row],[Price]]/INDEX(USD_UAH!$B$1:$B$43,MATCH(Portfolio_USD!$A5,USD_UAH!$A$1:$A$104,0))</f>
        <v>28.73722438851529</v>
      </c>
      <c r="F5" s="8">
        <f t="shared" si="0"/>
        <v>172.42334633109175</v>
      </c>
      <c r="G5" t="str">
        <f>IF(NOT(ISBLANK(UAH[[#This Row],[Reinvest]])),UAH[[#This Row],[Reinvest]]/INDEX(USD_UAH!$B$1:$B$43,MATCH(Portfolio_USD!$A5,USD_UAH!$A$1:$A$104,0)),"")</f>
        <v/>
      </c>
      <c r="H5" s="2">
        <f>UAH[[#This Row],[Maturity date]]</f>
        <v>45224</v>
      </c>
      <c r="I5" s="8">
        <f ca="1">IFERROR(UAH[[#This Row],[Maturity Amont]]/INDEX(USD_UAH!$B$1:$B$43,MATCH(Portfolio_USD!$A5,USD_UAH!$A$1:$A$104,0)),"")</f>
        <v>163.12675269500349</v>
      </c>
      <c r="J5" s="8">
        <f ca="1">IFERROR(UAH[[#This Row],['#1 2023]]/INDEX(USD_UAH!$B$1:$B$43,MATCH(Portfolio_USD!$A5,USD_UAH!$A$1:$A$104,0)),"")</f>
        <v>9.3797882799627015</v>
      </c>
      <c r="K5" s="8">
        <f ca="1">IFERROR(UAH[[#This Row],['#2 2023]]/INDEX(USD_UAH!$B$1:$B$43,MATCH(Portfolio_USD!$A5,USD_UAH!$A$1:$A$104,0)),"")</f>
        <v>9.3797882799627015</v>
      </c>
      <c r="L5" s="8" t="str">
        <f ca="1">IFERROR(UAH[[#This Row],['#1 2024]]/INDEX(USD_UAH!$B$1:$B$43,MATCH(Portfolio_USD!$A5,USD_UAH!$A$1:$A$104,0)),"")</f>
        <v/>
      </c>
      <c r="M5" s="8" t="str">
        <f ca="1">IFERROR(UAH[[#This Row],['#2 2024]]/INDEX(USD_UAH!$B$1:$B$43,MATCH(Portfolio_USD!$A5,USD_UAH!$A$1:$A$104,0)),"")</f>
        <v/>
      </c>
      <c r="N5" s="4">
        <f t="shared" ca="1" si="1"/>
        <v>0.10879951560563488</v>
      </c>
      <c r="O5" s="4">
        <f t="shared" ca="1" si="2"/>
        <v>0.10433346302550943</v>
      </c>
      <c r="P5" s="8">
        <f ca="1">1000/INDEX(USD_UAH!$B$1:$B$43,MATCH(Portfolio_USD!$A5,USD_UAH!$A$1:$A$104,0))*$D5-$F5+SUM($J5:$M5)</f>
        <v>9.4629829238371421</v>
      </c>
      <c r="Q5">
        <f t="shared" si="3"/>
        <v>192</v>
      </c>
      <c r="R5" t="str">
        <f>IF(NOT(ISBLANK(UAH[[#This Row],[Bank Fee]])),UAH[[#This Row],[Bank Fee]]/INDEX(USD_UAH!$B$1:$B$43,MATCH(Portfolio_USD!$A6,USD_UAH!$A$1:$A$104,0)),"")</f>
        <v/>
      </c>
      <c r="S5" t="str">
        <f>IF(NOT(ISBLANK(UAH[[#This Row],[Broker Fee]])),UAH[[#This Row],[Broker Fee]]/INDEX(USD_UAH!$B$1:$B$43,MATCH(Portfolio_USD!$A6,USD_UAH!$A$1:$A$104,0)),"")</f>
        <v/>
      </c>
    </row>
    <row r="6" spans="1:19" x14ac:dyDescent="0.25">
      <c r="A6" s="2">
        <f>UAH[[#This Row],[Purchase Date]]</f>
        <v>45036</v>
      </c>
      <c r="B6" t="str">
        <f>UAH[[#This Row],[ISIN]]</f>
        <v>UA4000225908</v>
      </c>
      <c r="C6" t="str">
        <f>UAH[[#This Row],[Broker]]</f>
        <v>mono</v>
      </c>
      <c r="D6">
        <f>UAH[[#This Row],[Quantity]]</f>
        <v>6</v>
      </c>
      <c r="E6" s="8">
        <f>UAH[[#This Row],[Price]]/INDEX(USD_UAH!$B$1:$B$43,MATCH(Portfolio_USD!$A6,USD_UAH!$A$1:$A$104,0))</f>
        <v>28.655704959639991</v>
      </c>
      <c r="F6" s="8">
        <f t="shared" si="0"/>
        <v>171.93422975783994</v>
      </c>
      <c r="G6" t="str">
        <f>IF(NOT(ISBLANK(UAH[[#This Row],[Reinvest]])),UAH[[#This Row],[Reinvest]]/INDEX(USD_UAH!$B$1:$B$43,MATCH(Portfolio_USD!$A6,USD_UAH!$A$1:$A$104,0)),"")</f>
        <v/>
      </c>
      <c r="H6" s="2">
        <f>UAH[[#This Row],[Maturity date]]</f>
        <v>45224</v>
      </c>
      <c r="I6" s="8">
        <f ca="1">IFERROR(UAH[[#This Row],[Maturity Amont]]/INDEX(USD_UAH!$B$1:$B$43,MATCH(Portfolio_USD!$A6,USD_UAH!$A$1:$A$104,0)),"")</f>
        <v>162.46572717791128</v>
      </c>
      <c r="J6" s="8">
        <f ca="1">IFERROR(UAH[[#This Row],['#1 2023]]/INDEX(USD_UAH!$B$1:$B$43,MATCH(Portfolio_USD!$A6,USD_UAH!$A$1:$A$104,0)),"")</f>
        <v>9.3417793127298996</v>
      </c>
      <c r="K6" s="8">
        <f ca="1">IFERROR(UAH[[#This Row],['#2 2023]]/INDEX(USD_UAH!$B$1:$B$43,MATCH(Portfolio_USD!$A6,USD_UAH!$A$1:$A$104,0)),"")</f>
        <v>9.3417793127298996</v>
      </c>
      <c r="L6" s="8" t="str">
        <f ca="1">IFERROR(UAH[[#This Row],['#1 2024]]/INDEX(USD_UAH!$B$1:$B$43,MATCH(Portfolio_USD!$A6,USD_UAH!$A$1:$A$104,0)),"")</f>
        <v/>
      </c>
      <c r="M6" s="8" t="str">
        <f ca="1">IFERROR(UAH[[#This Row],['#2 2024]]/INDEX(USD_UAH!$B$1:$B$43,MATCH(Portfolio_USD!$A6,USD_UAH!$A$1:$A$104,0)),"")</f>
        <v/>
      </c>
      <c r="N6" s="4">
        <f t="shared" ca="1" si="1"/>
        <v>0.10866689344974867</v>
      </c>
      <c r="O6" s="4">
        <f t="shared" ca="1" si="2"/>
        <v>0.10405684374243558</v>
      </c>
      <c r="P6" s="8">
        <f ca="1">1000/INDEX(USD_UAH!$B$1:$B$43,MATCH(Portfolio_USD!$A6,USD_UAH!$A$1:$A$104,0))*$D6-$F6+SUM($J6:$M6)</f>
        <v>9.2150560455311314</v>
      </c>
      <c r="Q6">
        <f t="shared" si="3"/>
        <v>188</v>
      </c>
      <c r="R6" t="str">
        <f>IF(NOT(ISBLANK(UAH[[#This Row],[Bank Fee]])),UAH[[#This Row],[Bank Fee]]/INDEX(USD_UAH!$B$1:$B$43,MATCH(Portfolio_USD!$A7,USD_UAH!$A$1:$A$104,0)),"")</f>
        <v/>
      </c>
      <c r="S6" t="str">
        <f>IF(NOT(ISBLANK(UAH[[#This Row],[Broker Fee]])),UAH[[#This Row],[Broker Fee]]/INDEX(USD_UAH!$B$1:$B$43,MATCH(Portfolio_USD!$A7,USD_UAH!$A$1:$A$104,0)),"")</f>
        <v/>
      </c>
    </row>
    <row r="7" spans="1:19" x14ac:dyDescent="0.25">
      <c r="A7" s="2">
        <f>UAH[[#This Row],[Purchase Date]]</f>
        <v>45043</v>
      </c>
      <c r="B7" t="str">
        <f>UAH[[#This Row],[ISIN]]</f>
        <v>UA4000225908</v>
      </c>
      <c r="C7" t="str">
        <f>UAH[[#This Row],[Broker]]</f>
        <v>mono</v>
      </c>
      <c r="D7">
        <f>UAH[[#This Row],[Quantity]]</f>
        <v>1</v>
      </c>
      <c r="E7" s="8">
        <f>UAH[[#This Row],[Price]]/INDEX(USD_UAH!$B$1:$B$43,MATCH(Portfolio_USD!$A7,USD_UAH!$A$1:$A$104,0))</f>
        <v>27.147258951459634</v>
      </c>
      <c r="F7" s="8">
        <f t="shared" si="0"/>
        <v>27.147258951459634</v>
      </c>
      <c r="G7" s="8">
        <f>IF(NOT(ISBLANK(UAH[[#This Row],[Reinvest]])),UAH[[#This Row],[Reinvest]]/INDEX(USD_UAH!$B$1:$B$43,MATCH(Portfolio_USD!$A7,USD_UAH!$A$1:$A$104,0)),"")</f>
        <v>27.147258951459634</v>
      </c>
      <c r="H7" s="2">
        <f>UAH[[#This Row],[Maturity date]]</f>
        <v>45224</v>
      </c>
      <c r="I7" s="8">
        <f ca="1">IFERROR(UAH[[#This Row],[Maturity Amont]]/INDEX(USD_UAH!$B$1:$B$43,MATCH(Portfolio_USD!$A7,USD_UAH!$A$1:$A$104,0)),"")</f>
        <v>27.080910720195156</v>
      </c>
      <c r="J7" s="8" t="str">
        <f ca="1">IFERROR(UAH[[#This Row],['#1 2023]]/INDEX(USD_UAH!$B$1:$B$43,MATCH(Portfolio_USD!$A7,USD_UAH!$A$1:$A$104,0)),"")</f>
        <v/>
      </c>
      <c r="K7" s="8">
        <f ca="1">IFERROR(UAH[[#This Row],['#2 2023]]/INDEX(USD_UAH!$B$1:$B$43,MATCH(Portfolio_USD!$A7,USD_UAH!$A$1:$A$104,0)),"")</f>
        <v>1.5571523664112215</v>
      </c>
      <c r="L7" s="8" t="str">
        <f ca="1">IFERROR(UAH[[#This Row],['#1 2024]]/INDEX(USD_UAH!$B$1:$B$43,MATCH(Portfolio_USD!$A7,USD_UAH!$A$1:$A$104,0)),"")</f>
        <v/>
      </c>
      <c r="M7" s="8" t="str">
        <f ca="1">IFERROR(UAH[[#This Row],['#2 2024]]/INDEX(USD_UAH!$B$1:$B$43,MATCH(Portfolio_USD!$A7,USD_UAH!$A$1:$A$104,0)),"")</f>
        <v/>
      </c>
      <c r="N7" s="4">
        <f t="shared" ca="1" si="1"/>
        <v>5.7359469300214475E-2</v>
      </c>
      <c r="O7" s="4">
        <f t="shared" ca="1" si="2"/>
        <v>0.11074111520696951</v>
      </c>
      <c r="P7" s="8">
        <f ca="1">1000/INDEX(USD_UAH!$B$1:$B$43,MATCH(Portfolio_USD!$A7,USD_UAH!$A$1:$A$104,0))*$D7-$F7+SUM($J7:$M7)</f>
        <v>1.490804135146744</v>
      </c>
      <c r="Q7">
        <f t="shared" si="3"/>
        <v>181</v>
      </c>
      <c r="R7" t="str">
        <f>IF(NOT(ISBLANK(UAH[[#This Row],[Bank Fee]])),UAH[[#This Row],[Bank Fee]]/INDEX(USD_UAH!$B$1:$B$43,MATCH(Portfolio_USD!$A8,USD_UAH!$A$1:$A$104,0)),"")</f>
        <v/>
      </c>
      <c r="S7" t="str">
        <f>IF(NOT(ISBLANK(UAH[[#This Row],[Broker Fee]])),UAH[[#This Row],[Broker Fee]]/INDEX(USD_UAH!$B$1:$B$43,MATCH(Portfolio_USD!$A8,USD_UAH!$A$1:$A$104,0)),"")</f>
        <v/>
      </c>
    </row>
    <row r="8" spans="1:19" x14ac:dyDescent="0.25">
      <c r="A8" s="2">
        <f>UAH[[#This Row],[Purchase Date]]</f>
        <v>45046</v>
      </c>
      <c r="B8" t="str">
        <f>UAH[[#This Row],[ISIN]]</f>
        <v>UA4000225908</v>
      </c>
      <c r="C8" t="str">
        <f>UAH[[#This Row],[Broker]]</f>
        <v>mono</v>
      </c>
      <c r="D8">
        <f>UAH[[#This Row],[Quantity]]</f>
        <v>2</v>
      </c>
      <c r="E8" s="8">
        <f>UAH[[#This Row],[Price]]/INDEX(USD_UAH!$B$1:$B$43,MATCH(Portfolio_USD!$A8,USD_UAH!$A$1:$A$104,0))</f>
        <v>27.547246819230867</v>
      </c>
      <c r="F8" s="8">
        <f t="shared" si="0"/>
        <v>55.094493638461735</v>
      </c>
      <c r="G8" s="8" t="str">
        <f>IF(NOT(ISBLANK(UAH[[#This Row],[Reinvest]])),UAH[[#This Row],[Reinvest]]/INDEX(USD_UAH!$B$1:$B$43,MATCH(Portfolio_USD!$A8,USD_UAH!$A$1:$A$104,0)),"")</f>
        <v/>
      </c>
      <c r="H8" s="2">
        <f>UAH[[#This Row],[Maturity date]]</f>
        <v>45224</v>
      </c>
      <c r="I8" s="8">
        <f ca="1">IFERROR(UAH[[#This Row],[Maturity Amont]]/INDEX(USD_UAH!$B$1:$B$43,MATCH(Portfolio_USD!$A8,USD_UAH!$A$1:$A$104,0)),"")</f>
        <v>54.894677014130302</v>
      </c>
      <c r="J8" s="8" t="str">
        <f ca="1">IFERROR(UAH[[#This Row],['#1 2023]]/INDEX(USD_UAH!$B$1:$B$43,MATCH(Portfolio_USD!$A8,USD_UAH!$A$1:$A$104,0)),"")</f>
        <v/>
      </c>
      <c r="K8" s="8">
        <f ca="1">IFERROR(UAH[[#This Row],['#2 2023]]/INDEX(USD_UAH!$B$1:$B$43,MATCH(Portfolio_USD!$A8,USD_UAH!$A$1:$A$104,0)),"")</f>
        <v>3.1564439283124921</v>
      </c>
      <c r="L8" s="8" t="str">
        <f ca="1">IFERROR(UAH[[#This Row],['#1 2024]]/INDEX(USD_UAH!$B$1:$B$43,MATCH(Portfolio_USD!$A8,USD_UAH!$A$1:$A$104,0)),"")</f>
        <v/>
      </c>
      <c r="M8" s="8" t="str">
        <f ca="1">IFERROR(UAH[[#This Row],['#2 2024]]/INDEX(USD_UAH!$B$1:$B$43,MATCH(Portfolio_USD!$A8,USD_UAH!$A$1:$A$104,0)),"")</f>
        <v/>
      </c>
      <c r="N8" s="4">
        <f t="shared" ca="1" si="1"/>
        <v>5.7291459088916342E-2</v>
      </c>
      <c r="O8" s="4">
        <f t="shared" ca="1" si="2"/>
        <v>0.11004270298808969</v>
      </c>
      <c r="P8" s="8">
        <f ca="1">1000/INDEX(USD_UAH!$B$1:$B$43,MATCH(Portfolio_USD!$A8,USD_UAH!$A$1:$A$104,0))*$D8-$F8+SUM($J8:$M8)</f>
        <v>2.9566273039810591</v>
      </c>
      <c r="Q8">
        <f t="shared" si="3"/>
        <v>178</v>
      </c>
      <c r="R8" t="str">
        <f>IF(NOT(ISBLANK(UAH[[#This Row],[Bank Fee]])),UAH[[#This Row],[Bank Fee]]/INDEX(USD_UAH!$B$1:$B$43,MATCH(Portfolio_USD!$A9,USD_UAH!$A$1:$A$104,0)),"")</f>
        <v/>
      </c>
      <c r="S8" t="str">
        <f>IF(NOT(ISBLANK(UAH[[#This Row],[Broker Fee]])),UAH[[#This Row],[Broker Fee]]/INDEX(USD_UAH!$B$1:$B$43,MATCH(Portfolio_USD!$A9,USD_UAH!$A$1:$A$104,0)),"")</f>
        <v/>
      </c>
    </row>
    <row r="9" spans="1:19" x14ac:dyDescent="0.25">
      <c r="A9" s="2">
        <f>UAH[[#This Row],[Purchase Date]]</f>
        <v>45051</v>
      </c>
      <c r="B9" t="str">
        <f>UAH[[#This Row],[ISIN]]</f>
        <v>UA4000226286</v>
      </c>
      <c r="C9" t="str">
        <f>UAH[[#This Row],[Broker]]</f>
        <v>ICU</v>
      </c>
      <c r="D9">
        <f>UAH[[#This Row],[Quantity]]</f>
        <v>2</v>
      </c>
      <c r="E9" s="8">
        <f>UAH[[#This Row],[Price]]/INDEX(USD_UAH!$B$1:$B$43,MATCH(Portfolio_USD!$A9,USD_UAH!$A$1:$A$104,0))</f>
        <v>27.16738097150602</v>
      </c>
      <c r="F9" s="8">
        <f t="shared" si="0"/>
        <v>54.33476194301204</v>
      </c>
      <c r="G9" s="8" t="str">
        <f>IF(NOT(ISBLANK(UAH[[#This Row],[Reinvest]])),UAH[[#This Row],[Reinvest]]/INDEX(USD_UAH!$B$1:$B$43,MATCH(Portfolio_USD!$A9,USD_UAH!$A$1:$A$104,0)),"")</f>
        <v/>
      </c>
      <c r="H9" s="2">
        <f>UAH[[#This Row],[Maturity date]]</f>
        <v>45469</v>
      </c>
      <c r="I9" s="8" t="str">
        <f ca="1">IFERROR(UAH[[#This Row],[Maturity Amont]]/INDEX(USD_UAH!$B$1:$B$43,MATCH(Portfolio_USD!$A9,USD_UAH!$A$1:$A$104,0)),"")</f>
        <v/>
      </c>
      <c r="J9" s="8">
        <f ca="1">IFERROR(UAH[[#This Row],['#1 2023]]/INDEX(USD_UAH!$B$1:$B$43,MATCH(Portfolio_USD!$A9,USD_UAH!$A$1:$A$104,0)),"")</f>
        <v>3.7902055187504038</v>
      </c>
      <c r="K9" s="8" t="str">
        <f ca="1">IFERROR(UAH[[#This Row],['#2 2023]]/INDEX(USD_UAH!$B$1:$B$43,MATCH(Portfolio_USD!$A9,USD_UAH!$A$1:$A$104,0)),"")</f>
        <v/>
      </c>
      <c r="L9" s="8" t="str">
        <f ca="1">IFERROR(UAH[[#This Row],['#1 2024]]/INDEX(USD_UAH!$B$1:$B$43,MATCH(Portfolio_USD!$A9,USD_UAH!$A$1:$A$104,0)),"")</f>
        <v/>
      </c>
      <c r="M9" s="8" t="str">
        <f ca="1">IFERROR(UAH[[#This Row],['#2 2024]]/INDEX(USD_UAH!$B$1:$B$43,MATCH(Portfolio_USD!$A9,USD_UAH!$A$1:$A$104,0)),"")</f>
        <v/>
      </c>
      <c r="N9" s="4">
        <f t="shared" ca="1" si="1"/>
        <v>6.9756549641750293E-2</v>
      </c>
      <c r="O9" s="4">
        <f t="shared" ca="1" si="2"/>
        <v>5.787493036861157E-2</v>
      </c>
      <c r="P9" s="8">
        <f ca="1">1000/INDEX(USD_UAH!$B$1:$B$43,MATCH(Portfolio_USD!$A9,USD_UAH!$A$1:$A$104,0))*$D9-$F9+SUM($J9:$M9)</f>
        <v>3.6012367007441304</v>
      </c>
      <c r="Q9">
        <f t="shared" si="3"/>
        <v>418</v>
      </c>
      <c r="R9" t="str">
        <f>IF(NOT(ISBLANK(UAH[[#This Row],[Bank Fee]])),UAH[[#This Row],[Bank Fee]]/INDEX(USD_UAH!$B$1:$B$43,MATCH(Portfolio_USD!$A10,USD_UAH!$A$1:$A$104,0)),"")</f>
        <v/>
      </c>
      <c r="S9" t="str">
        <f>IF(NOT(ISBLANK(UAH[[#This Row],[Broker Fee]])),UAH[[#This Row],[Broker Fee]]/INDEX(USD_UAH!$B$1:$B$43,MATCH(Portfolio_USD!$A10,USD_UAH!$A$1:$A$104,0)),"")</f>
        <v/>
      </c>
    </row>
    <row r="10" spans="1:19" x14ac:dyDescent="0.25">
      <c r="A10" s="2">
        <f>UAH[[#This Row],[Purchase Date]]</f>
        <v>45057</v>
      </c>
      <c r="B10" t="str">
        <f>UAH[[#This Row],[ISIN]]</f>
        <v>UA4000226286</v>
      </c>
      <c r="C10" t="str">
        <f>UAH[[#This Row],[Broker]]</f>
        <v>ICU</v>
      </c>
      <c r="D10">
        <f>UAH[[#This Row],[Quantity]]</f>
        <v>2</v>
      </c>
      <c r="E10" s="8">
        <f>UAH[[#This Row],[Price]]/INDEX(USD_UAH!$B$1:$B$43,MATCH(Portfolio_USD!$A10,USD_UAH!$A$1:$A$104,0))</f>
        <v>27.273177393016748</v>
      </c>
      <c r="F10" s="8">
        <f t="shared" si="0"/>
        <v>54.546354786033497</v>
      </c>
      <c r="G10" s="8" t="str">
        <f>IF(NOT(ISBLANK(UAH[[#This Row],[Reinvest]])),UAH[[#This Row],[Reinvest]]/INDEX(USD_UAH!$B$1:$B$43,MATCH(Portfolio_USD!$A10,USD_UAH!$A$1:$A$104,0)),"")</f>
        <v/>
      </c>
      <c r="H10" s="2">
        <f>UAH[[#This Row],[Maturity date]]</f>
        <v>45469</v>
      </c>
      <c r="I10" s="8" t="str">
        <f ca="1">IFERROR(UAH[[#This Row],[Maturity Amont]]/INDEX(USD_UAH!$B$1:$B$43,MATCH(Portfolio_USD!$A10,USD_UAH!$A$1:$A$104,0)),"")</f>
        <v/>
      </c>
      <c r="J10" s="8">
        <f ca="1">IFERROR(UAH[[#This Row],['#1 2023]]/INDEX(USD_UAH!$B$1:$B$43,MATCH(Portfolio_USD!$A10,USD_UAH!$A$1:$A$104,0)),"")</f>
        <v>3.7920418260046529</v>
      </c>
      <c r="K10" s="8" t="str">
        <f ca="1">IFERROR(UAH[[#This Row],['#2 2023]]/INDEX(USD_UAH!$B$1:$B$43,MATCH(Portfolio_USD!$A10,USD_UAH!$A$1:$A$104,0)),"")</f>
        <v/>
      </c>
      <c r="L10" s="8" t="str">
        <f ca="1">IFERROR(UAH[[#This Row],['#1 2024]]/INDEX(USD_UAH!$B$1:$B$43,MATCH(Portfolio_USD!$A10,USD_UAH!$A$1:$A$104,0)),"")</f>
        <v/>
      </c>
      <c r="M10" s="8" t="str">
        <f ca="1">IFERROR(UAH[[#This Row],['#2 2024]]/INDEX(USD_UAH!$B$1:$B$43,MATCH(Portfolio_USD!$A10,USD_UAH!$A$1:$A$104,0)),"")</f>
        <v/>
      </c>
      <c r="N10" s="4">
        <f t="shared" ca="1" si="1"/>
        <v>6.9519619429740498E-2</v>
      </c>
      <c r="O10" s="4">
        <f t="shared" ca="1" si="2"/>
        <v>5.5509270744977544E-2</v>
      </c>
      <c r="P10" s="8">
        <f ca="1">1000/INDEX(USD_UAH!$B$1:$B$43,MATCH(Portfolio_USD!$A10,USD_UAH!$A$1:$A$104,0))*$D10-$F10+SUM($J10:$M10)</f>
        <v>3.4177131257519133</v>
      </c>
      <c r="Q10">
        <f t="shared" si="3"/>
        <v>412</v>
      </c>
      <c r="R10" t="str">
        <f>IF(NOT(ISBLANK(UAH[[#This Row],[Bank Fee]])),UAH[[#This Row],[Bank Fee]]/INDEX(USD_UAH!$B$1:$B$43,MATCH(Portfolio_USD!$A11,USD_UAH!$A$1:$A$104,0)),"")</f>
        <v/>
      </c>
      <c r="S10" t="str">
        <f>IF(NOT(ISBLANK(UAH[[#This Row],[Broker Fee]])),UAH[[#This Row],[Broker Fee]]/INDEX(USD_UAH!$B$1:$B$43,MATCH(Portfolio_USD!$A11,USD_UAH!$A$1:$A$104,0)),"")</f>
        <v/>
      </c>
    </row>
    <row r="11" spans="1:19" x14ac:dyDescent="0.25">
      <c r="A11" s="2">
        <f>UAH[[#This Row],[Purchase Date]]</f>
        <v>45064</v>
      </c>
      <c r="B11" t="str">
        <f>UAH[[#This Row],[ISIN]]</f>
        <v>UA4000226286</v>
      </c>
      <c r="C11" t="str">
        <f>UAH[[#This Row],[Broker]]</f>
        <v>Kinto</v>
      </c>
      <c r="D11">
        <f>UAH[[#This Row],[Quantity]]</f>
        <v>2</v>
      </c>
      <c r="E11" s="8">
        <f>UAH[[#This Row],[Price]]/INDEX(USD_UAH!$B$1:$B$43,MATCH(Portfolio_USD!$A11,USD_UAH!$A$1:$A$104,0))</f>
        <v>27.348387172216722</v>
      </c>
      <c r="F11" s="8">
        <f t="shared" si="0"/>
        <v>54.696774344433443</v>
      </c>
      <c r="G11" s="8" t="str">
        <f>IF(NOT(ISBLANK(UAH[[#This Row],[Reinvest]])),UAH[[#This Row],[Reinvest]]/INDEX(USD_UAH!$B$1:$B$43,MATCH(Portfolio_USD!$A11,USD_UAH!$A$1:$A$104,0)),"")</f>
        <v/>
      </c>
      <c r="H11" s="2">
        <f>UAH[[#This Row],[Maturity date]]</f>
        <v>45469</v>
      </c>
      <c r="I11" s="8" t="str">
        <f ca="1">IFERROR(UAH[[#This Row],[Maturity Amont]]/INDEX(USD_UAH!$B$1:$B$43,MATCH(Portfolio_USD!$A11,USD_UAH!$A$1:$A$104,0)),"")</f>
        <v/>
      </c>
      <c r="J11" s="8">
        <f ca="1">IFERROR(UAH[[#This Row],['#1 2023]]/INDEX(USD_UAH!$B$1:$B$43,MATCH(Portfolio_USD!$A11,USD_UAH!$A$1:$A$104,0)),"")</f>
        <v>3.7895898451118839</v>
      </c>
      <c r="K11" s="8" t="str">
        <f ca="1">IFERROR(UAH[[#This Row],['#2 2023]]/INDEX(USD_UAH!$B$1:$B$43,MATCH(Portfolio_USD!$A11,USD_UAH!$A$1:$A$104,0)),"")</f>
        <v/>
      </c>
      <c r="L11" s="8" t="str">
        <f ca="1">IFERROR(UAH[[#This Row],['#1 2024]]/INDEX(USD_UAH!$B$1:$B$43,MATCH(Portfolio_USD!$A11,USD_UAH!$A$1:$A$104,0)),"")</f>
        <v/>
      </c>
      <c r="M11" s="8" t="str">
        <f ca="1">IFERROR(UAH[[#This Row],['#2 2024]]/INDEX(USD_UAH!$B$1:$B$43,MATCH(Portfolio_USD!$A11,USD_UAH!$A$1:$A$104,0)),"")</f>
        <v/>
      </c>
      <c r="N11" s="4">
        <f t="shared" ca="1" si="1"/>
        <v>6.9283607498465863E-2</v>
      </c>
      <c r="O11" s="4">
        <f t="shared" ca="1" si="2"/>
        <v>5.3217386544121434E-2</v>
      </c>
      <c r="P11" s="8">
        <f ca="1">1000/INDEX(USD_UAH!$B$1:$B$43,MATCH(Portfolio_USD!$A11,USD_UAH!$A$1:$A$104,0))*$D11-$F11+SUM($J11:$M11)</f>
        <v>3.229813287991071</v>
      </c>
      <c r="Q11">
        <f t="shared" si="3"/>
        <v>405</v>
      </c>
      <c r="R11" t="str">
        <f>IF(NOT(ISBLANK(UAH[[#This Row],[Bank Fee]])),UAH[[#This Row],[Bank Fee]]/INDEX(USD_UAH!$B$1:$B$43,MATCH(Portfolio_USD!$A12,USD_UAH!$A$1:$A$104,0)),"")</f>
        <v/>
      </c>
      <c r="S11" t="str">
        <f>IF(NOT(ISBLANK(UAH[[#This Row],[Broker Fee]])),UAH[[#This Row],[Broker Fee]]/INDEX(USD_UAH!$B$1:$B$43,MATCH(Portfolio_USD!$A12,USD_UAH!$A$1:$A$104,0)),"")</f>
        <v/>
      </c>
    </row>
    <row r="12" spans="1:19" x14ac:dyDescent="0.25">
      <c r="A12" s="2">
        <f>UAH[[#This Row],[Purchase Date]]</f>
        <v>45071</v>
      </c>
      <c r="B12" t="str">
        <f>UAH[[#This Row],[ISIN]]</f>
        <v>UA4000218531</v>
      </c>
      <c r="C12" t="str">
        <f>UAH[[#This Row],[Broker]]</f>
        <v>Kinto</v>
      </c>
      <c r="D12">
        <f>UAH[[#This Row],[Quantity]]</f>
        <v>4</v>
      </c>
      <c r="E12" s="8">
        <f>UAH[[#This Row],[Price]]/INDEX(USD_UAH!$B$1:$B$43,MATCH(Portfolio_USD!$A12,USD_UAH!$A$1:$A$104,0))</f>
        <v>23.157277466401442</v>
      </c>
      <c r="F12" s="8">
        <f t="shared" si="0"/>
        <v>92.62910986560577</v>
      </c>
      <c r="G12" s="8" t="str">
        <f>IF(NOT(ISBLANK(UAH[[#This Row],[Reinvest]])),UAH[[#This Row],[Reinvest]]/INDEX(USD_UAH!$B$1:$B$43,MATCH(Portfolio_USD!$A12,USD_UAH!$A$1:$A$104,0)),"")</f>
        <v/>
      </c>
      <c r="H12" s="2">
        <f>UAH[[#This Row],[Maturity date]]</f>
        <v>46155</v>
      </c>
      <c r="I12" s="8" t="str">
        <f ca="1">IFERROR(UAH[[#This Row],[Maturity Amont]]/INDEX(USD_UAH!$B$1:$B$43,MATCH(Portfolio_USD!$A12,USD_UAH!$A$1:$A$104,0)),"")</f>
        <v/>
      </c>
      <c r="J12" s="8" t="str">
        <f ca="1">IFERROR(UAH[[#This Row],['#1 2023]]/INDEX(USD_UAH!$B$1:$B$43,MATCH(Portfolio_USD!$A12,USD_UAH!$A$1:$A$104,0)),"")</f>
        <v/>
      </c>
      <c r="K12" s="8">
        <f ca="1">IFERROR(UAH[[#This Row],['#2 2023]]/INDEX(USD_UAH!$B$1:$B$43,MATCH(Portfolio_USD!$A12,USD_UAH!$A$1:$A$104,0)),"")</f>
        <v>6.7816503059353037</v>
      </c>
      <c r="L12" s="8" t="str">
        <f ca="1">IFERROR(UAH[[#This Row],['#1 2024]]/INDEX(USD_UAH!$B$1:$B$43,MATCH(Portfolio_USD!$A12,USD_UAH!$A$1:$A$104,0)),"")</f>
        <v/>
      </c>
      <c r="M12" s="8" t="str">
        <f ca="1">IFERROR(UAH[[#This Row],['#2 2024]]/INDEX(USD_UAH!$B$1:$B$43,MATCH(Portfolio_USD!$A12,USD_UAH!$A$1:$A$104,0)),"")</f>
        <v/>
      </c>
      <c r="N12" s="4">
        <f t="shared" ca="1" si="1"/>
        <v>7.3212949101796418E-2</v>
      </c>
      <c r="O12" s="4">
        <f t="shared" ca="1" si="2"/>
        <v>8.173739870351554E-2</v>
      </c>
      <c r="P12" s="8">
        <f ca="1">1000/INDEX(USD_UAH!$B$1:$B$43,MATCH(Portfolio_USD!$A12,USD_UAH!$A$1:$A$104,0))*$D12-$F12+SUM($J12:$M12)</f>
        <v>22.485612420126717</v>
      </c>
      <c r="Q12">
        <f t="shared" si="3"/>
        <v>1084</v>
      </c>
      <c r="R12" t="str">
        <f>IF(NOT(ISBLANK(UAH[[#This Row],[Bank Fee]])),UAH[[#This Row],[Bank Fee]]/INDEX(USD_UAH!$B$1:$B$43,MATCH(Portfolio_USD!$A13,USD_UAH!$A$1:$A$104,0)),"")</f>
        <v/>
      </c>
      <c r="S12" t="str">
        <f>IF(NOT(ISBLANK(UAH[[#This Row],[Broker Fee]])),UAH[[#This Row],[Broker Fee]]/INDEX(USD_UAH!$B$1:$B$43,MATCH(Portfolio_USD!$A13,USD_UAH!$A$1:$A$104,0)),"")</f>
        <v/>
      </c>
    </row>
    <row r="13" spans="1:19" x14ac:dyDescent="0.25">
      <c r="A13" s="2">
        <f>UAH[[#This Row],[Purchase Date]]</f>
        <v>45078</v>
      </c>
      <c r="B13" t="str">
        <f>UAH[[#This Row],[ISIN]]</f>
        <v>UA4000227490</v>
      </c>
      <c r="C13" t="str">
        <f>UAH[[#This Row],[Broker]]</f>
        <v>Kinto</v>
      </c>
      <c r="D13">
        <f>UAH[[#This Row],[Quantity]]</f>
        <v>2</v>
      </c>
      <c r="E13" s="8">
        <f>UAH[[#This Row],[Price]]/INDEX(USD_UAH!$B$1:$B$43,MATCH(Portfolio_USD!$A13,USD_UAH!$A$1:$A$104,0))</f>
        <v>28.756494318300174</v>
      </c>
      <c r="F13" s="8">
        <f t="shared" si="0"/>
        <v>57.512988636600348</v>
      </c>
      <c r="G13" s="8" t="str">
        <f>IF(NOT(ISBLANK(UAH[[#This Row],[Reinvest]])),UAH[[#This Row],[Reinvest]]/INDEX(USD_UAH!$B$1:$B$43,MATCH(Portfolio_USD!$A13,USD_UAH!$A$1:$A$104,0)),"")</f>
        <v/>
      </c>
      <c r="H13" s="2">
        <f>UAH[[#This Row],[Maturity date]]</f>
        <v>46071</v>
      </c>
      <c r="I13" s="8" t="str">
        <f ca="1">IFERROR(UAH[[#This Row],[Maturity Amont]]/INDEX(USD_UAH!$B$1:$B$43,MATCH(Portfolio_USD!$A13,USD_UAH!$A$1:$A$104,0)),"")</f>
        <v/>
      </c>
      <c r="J13" s="8" t="str">
        <f ca="1">IFERROR(UAH[[#This Row],['#1 2023]]/INDEX(USD_UAH!$B$1:$B$43,MATCH(Portfolio_USD!$A13,USD_UAH!$A$1:$A$104,0)),"")</f>
        <v/>
      </c>
      <c r="K13" s="8">
        <f ca="1">IFERROR(UAH[[#This Row],['#2 2023]]/INDEX(USD_UAH!$B$1:$B$43,MATCH(Portfolio_USD!$A13,USD_UAH!$A$1:$A$104,0)),"")</f>
        <v>5.3496045098330747</v>
      </c>
      <c r="L13" s="8" t="str">
        <f ca="1">IFERROR(UAH[[#This Row],['#1 2024]]/INDEX(USD_UAH!$B$1:$B$43,MATCH(Portfolio_USD!$A13,USD_UAH!$A$1:$A$104,0)),"")</f>
        <v/>
      </c>
      <c r="M13" s="8" t="str">
        <f ca="1">IFERROR(UAH[[#This Row],['#2 2024]]/INDEX(USD_UAH!$B$1:$B$43,MATCH(Portfolio_USD!$A13,USD_UAH!$A$1:$A$104,0)),"")</f>
        <v/>
      </c>
      <c r="N13" s="4">
        <f t="shared" ca="1" si="1"/>
        <v>9.3015588941741625E-2</v>
      </c>
      <c r="O13" s="4">
        <f t="shared" ca="1" si="2"/>
        <v>1.2845060717728788E-2</v>
      </c>
      <c r="P13" s="8">
        <f ca="1">1000/INDEX(USD_UAH!$B$1:$B$43,MATCH(Portfolio_USD!$A13,USD_UAH!$A$1:$A$104,0))*$D13-$F13+SUM($J13:$M13)</f>
        <v>2.0098260993904411</v>
      </c>
      <c r="Q13">
        <f t="shared" si="3"/>
        <v>993</v>
      </c>
      <c r="R13" t="str">
        <f>IF(NOT(ISBLANK(UAH[[#This Row],[Bank Fee]])),UAH[[#This Row],[Bank Fee]]/INDEX(USD_UAH!$B$1:$B$43,MATCH(Portfolio_USD!$A14,USD_UAH!$A$1:$A$104,0)),"")</f>
        <v/>
      </c>
      <c r="S13" t="str">
        <f>IF(NOT(ISBLANK(UAH[[#This Row],[Broker Fee]])),UAH[[#This Row],[Broker Fee]]/INDEX(USD_UAH!$B$1:$B$43,MATCH(Portfolio_USD!$A14,USD_UAH!$A$1:$A$104,0)),"")</f>
        <v/>
      </c>
    </row>
    <row r="14" spans="1:19" x14ac:dyDescent="0.25">
      <c r="A14" s="2">
        <f>UAH[[#This Row],[Purchase Date]]</f>
        <v>45085</v>
      </c>
      <c r="B14" t="str">
        <f>UAH[[#This Row],[ISIN]]</f>
        <v>UA4000218531</v>
      </c>
      <c r="C14" t="str">
        <f>UAH[[#This Row],[Broker]]</f>
        <v>Kinto</v>
      </c>
      <c r="D14">
        <f>UAH[[#This Row],[Quantity]]</f>
        <v>1</v>
      </c>
      <c r="E14" s="8">
        <f>UAH[[#This Row],[Price]]/INDEX(USD_UAH!$B$1:$B$43,MATCH(Portfolio_USD!$A14,USD_UAH!$A$1:$A$104,0))</f>
        <v>23.514056870940276</v>
      </c>
      <c r="F14" s="8">
        <f t="shared" si="0"/>
        <v>23.514056870940276</v>
      </c>
      <c r="G14" s="8" t="str">
        <f>IF(NOT(ISBLANK(UAH[[#This Row],[Reinvest]])),UAH[[#This Row],[Reinvest]]/INDEX(USD_UAH!$B$1:$B$43,MATCH(Portfolio_USD!$A14,USD_UAH!$A$1:$A$104,0)),"")</f>
        <v/>
      </c>
      <c r="H14" s="2">
        <f>UAH[[#This Row],[Maturity date]]</f>
        <v>46155</v>
      </c>
      <c r="I14" s="8" t="str">
        <f ca="1">IFERROR(UAH[[#This Row],[Maturity Amont]]/INDEX(USD_UAH!$B$1:$B$43,MATCH(Portfolio_USD!$A14,USD_UAH!$A$1:$A$104,0)),"")</f>
        <v/>
      </c>
      <c r="J14" s="8" t="str">
        <f ca="1">IFERROR(UAH[[#This Row],['#1 2023]]/INDEX(USD_UAH!$B$1:$B$43,MATCH(Portfolio_USD!$A14,USD_UAH!$A$1:$A$104,0)),"")</f>
        <v/>
      </c>
      <c r="K14" s="8">
        <f ca="1">IFERROR(UAH[[#This Row],['#2 2023]]/INDEX(USD_UAH!$B$1:$B$43,MATCH(Portfolio_USD!$A14,USD_UAH!$A$1:$A$104,0)),"")</f>
        <v>1.6953021066268112</v>
      </c>
      <c r="L14" s="8" t="str">
        <f ca="1">IFERROR(UAH[[#This Row],['#1 2024]]/INDEX(USD_UAH!$B$1:$B$43,MATCH(Portfolio_USD!$A14,USD_UAH!$A$1:$A$104,0)),"")</f>
        <v/>
      </c>
      <c r="M14" s="8" t="str">
        <f ca="1">IFERROR(UAH[[#This Row],['#2 2024]]/INDEX(USD_UAH!$B$1:$B$43,MATCH(Portfolio_USD!$A14,USD_UAH!$A$1:$A$104,0)),"")</f>
        <v/>
      </c>
      <c r="N14" s="4">
        <f t="shared" ca="1" si="1"/>
        <v>7.2097389061006378E-2</v>
      </c>
      <c r="O14" s="4">
        <f t="shared" ca="1" si="2"/>
        <v>7.6347380638414217E-2</v>
      </c>
      <c r="P14" s="8">
        <f ca="1">1000/INDEX(USD_UAH!$B$1:$B$43,MATCH(Portfolio_USD!$A14,USD_UAH!$A$1:$A$104,0))*$D14-$F14+SUM($J14:$M14)</f>
        <v>5.2627485364343185</v>
      </c>
      <c r="Q14">
        <f t="shared" si="3"/>
        <v>1070</v>
      </c>
      <c r="R14" t="str">
        <f>IF(NOT(ISBLANK(UAH[[#This Row],[Bank Fee]])),UAH[[#This Row],[Bank Fee]]/INDEX(USD_UAH!$B$1:$B$43,MATCH(Portfolio_USD!$A15,USD_UAH!$A$1:$A$104,0)),"")</f>
        <v/>
      </c>
      <c r="S14" t="str">
        <f>IF(NOT(ISBLANK(UAH[[#This Row],[Broker Fee]])),UAH[[#This Row],[Broker Fee]]/INDEX(USD_UAH!$B$1:$B$43,MATCH(Portfolio_USD!$A15,USD_UAH!$A$1:$A$104,0)),"")</f>
        <v/>
      </c>
    </row>
    <row r="15" spans="1:19" x14ac:dyDescent="0.25">
      <c r="A15" s="2">
        <f>UAH[[#This Row],[Purchase Date]]</f>
        <v>45085</v>
      </c>
      <c r="B15" t="str">
        <f>UAH[[#This Row],[ISIN]]</f>
        <v>UA4000227490</v>
      </c>
      <c r="C15" t="str">
        <f>UAH[[#This Row],[Broker]]</f>
        <v>Kinto</v>
      </c>
      <c r="D15">
        <f>UAH[[#This Row],[Quantity]]</f>
        <v>1</v>
      </c>
      <c r="E15" s="8">
        <f>UAH[[#This Row],[Price]]/INDEX(USD_UAH!$B$1:$B$43,MATCH(Portfolio_USD!$A15,USD_UAH!$A$1:$A$104,0))</f>
        <v>29.005373295232904</v>
      </c>
      <c r="F15" s="8">
        <f t="shared" si="0"/>
        <v>29.005373295232904</v>
      </c>
      <c r="G15" s="8" t="str">
        <f>IF(NOT(ISBLANK(UAH[[#This Row],[Reinvest]])),UAH[[#This Row],[Reinvest]]/INDEX(USD_UAH!$B$1:$B$43,MATCH(Portfolio_USD!$A15,USD_UAH!$A$1:$A$104,0)),"")</f>
        <v/>
      </c>
      <c r="H15" s="2">
        <f>UAH[[#This Row],[Maturity date]]</f>
        <v>46071</v>
      </c>
      <c r="I15" s="8" t="str">
        <f ca="1">IFERROR(UAH[[#This Row],[Maturity Amont]]/INDEX(USD_UAH!$B$1:$B$43,MATCH(Portfolio_USD!$A15,USD_UAH!$A$1:$A$104,0)),"")</f>
        <v/>
      </c>
      <c r="J15" s="8" t="str">
        <f ca="1">IFERROR(UAH[[#This Row],['#1 2023]]/INDEX(USD_UAH!$B$1:$B$43,MATCH(Portfolio_USD!$A15,USD_UAH!$A$1:$A$104,0)),"")</f>
        <v/>
      </c>
      <c r="K15" s="8">
        <f ca="1">IFERROR(UAH[[#This Row],['#2 2023]]/INDEX(USD_UAH!$B$1:$B$43,MATCH(Portfolio_USD!$A15,USD_UAH!$A$1:$A$104,0)),"")</f>
        <v>2.6742984509488434</v>
      </c>
      <c r="L15" s="8" t="str">
        <f ca="1">IFERROR(UAH[[#This Row],['#1 2024]]/INDEX(USD_UAH!$B$1:$B$43,MATCH(Portfolio_USD!$A15,USD_UAH!$A$1:$A$104,0)),"")</f>
        <v/>
      </c>
      <c r="M15" s="8" t="str">
        <f ca="1">IFERROR(UAH[[#This Row],['#2 2024]]/INDEX(USD_UAH!$B$1:$B$43,MATCH(Portfolio_USD!$A15,USD_UAH!$A$1:$A$104,0)),"")</f>
        <v/>
      </c>
      <c r="N15" s="4">
        <f t="shared" ca="1" si="1"/>
        <v>9.2200104571257852E-2</v>
      </c>
      <c r="O15" s="4">
        <f t="shared" ca="1" si="2"/>
        <v>9.5773814429803653E-3</v>
      </c>
      <c r="P15" s="8">
        <f ca="1">1000/INDEX(USD_UAH!$B$1:$B$43,MATCH(Portfolio_USD!$A15,USD_UAH!$A$1:$A$104,0))*$D15-$F15+SUM($J15:$M15)</f>
        <v>0.75042845646372358</v>
      </c>
      <c r="Q15">
        <f t="shared" si="3"/>
        <v>986</v>
      </c>
      <c r="R15" t="str">
        <f>IF(NOT(ISBLANK(UAH[[#This Row],[Bank Fee]])),UAH[[#This Row],[Bank Fee]]/INDEX(USD_UAH!$B$1:$B$43,MATCH(Portfolio_USD!$A16,USD_UAH!$A$1:$A$104,0)),"")</f>
        <v/>
      </c>
      <c r="S15" t="str">
        <f>IF(NOT(ISBLANK(UAH[[#This Row],[Broker Fee]])),UAH[[#This Row],[Broker Fee]]/INDEX(USD_UAH!$B$1:$B$43,MATCH(Portfolio_USD!$A16,USD_UAH!$A$1:$A$104,0)),"")</f>
        <v/>
      </c>
    </row>
    <row r="16" spans="1:19" x14ac:dyDescent="0.25">
      <c r="A16" s="2">
        <f>UAH[[#This Row],[Purchase Date]]</f>
        <v>45089</v>
      </c>
      <c r="B16" t="str">
        <f>UAH[[#This Row],[ISIN]]</f>
        <v>UA4000227201</v>
      </c>
      <c r="C16" t="str">
        <f>UAH[[#This Row],[Broker]]</f>
        <v>Kinto</v>
      </c>
      <c r="D16">
        <f>UAH[[#This Row],[Quantity]]</f>
        <v>4</v>
      </c>
      <c r="E16" s="8">
        <f>UAH[[#This Row],[Price]]/INDEX(USD_UAH!$B$1:$B$43,MATCH(Portfolio_USD!$A16,USD_UAH!$A$1:$A$104,0))</f>
        <v>27.911691425491032</v>
      </c>
      <c r="F16" s="8">
        <f t="shared" si="0"/>
        <v>111.64676570196413</v>
      </c>
      <c r="G16" s="8" t="str">
        <f>IF(NOT(ISBLANK(UAH[[#This Row],[Reinvest]])),UAH[[#This Row],[Reinvest]]/INDEX(USD_UAH!$B$1:$B$43,MATCH(Portfolio_USD!$A16,USD_UAH!$A$1:$A$104,0)),"")</f>
        <v/>
      </c>
      <c r="H16" s="2">
        <f>UAH[[#This Row],[Maturity date]]</f>
        <v>45966</v>
      </c>
      <c r="I16" s="8" t="str">
        <f ca="1">IFERROR(UAH[[#This Row],[Maturity Amont]]/INDEX(USD_UAH!$B$1:$B$43,MATCH(Portfolio_USD!$A16,USD_UAH!$A$1:$A$104,0)),"")</f>
        <v/>
      </c>
      <c r="J16" s="8" t="str">
        <f ca="1">IFERROR(UAH[[#This Row],['#1 2023]]/INDEX(USD_UAH!$B$1:$B$43,MATCH(Portfolio_USD!$A16,USD_UAH!$A$1:$A$104,0)),"")</f>
        <v/>
      </c>
      <c r="K16" s="8">
        <f ca="1">IFERROR(UAH[[#This Row],['#2 2023]]/INDEX(USD_UAH!$B$1:$B$43,MATCH(Portfolio_USD!$A16,USD_UAH!$A$1:$A$104,0)),"")</f>
        <v>10.692578908999087</v>
      </c>
      <c r="L16" s="8" t="str">
        <f ca="1">IFERROR(UAH[[#This Row],['#1 2024]]/INDEX(USD_UAH!$B$1:$B$43,MATCH(Portfolio_USD!$A16,USD_UAH!$A$1:$A$104,0)),"")</f>
        <v/>
      </c>
      <c r="M16" s="8" t="str">
        <f ca="1">IFERROR(UAH[[#This Row],['#2 2024]]/INDEX(USD_UAH!$B$1:$B$43,MATCH(Portfolio_USD!$A16,USD_UAH!$A$1:$A$104,0)),"")</f>
        <v/>
      </c>
      <c r="N16" s="4">
        <f t="shared" ca="1" si="1"/>
        <v>9.5771506158471548E-2</v>
      </c>
      <c r="O16" s="4">
        <f t="shared" ca="1" si="2"/>
        <v>2.7306138278556307E-2</v>
      </c>
      <c r="P16" s="8">
        <f ca="1">1000/INDEX(USD_UAH!$B$1:$B$43,MATCH(Portfolio_USD!$A16,USD_UAH!$A$1:$A$104,0))*$D16-$F16+SUM($J16:$M16)</f>
        <v>7.3250932981649495</v>
      </c>
      <c r="Q16">
        <f t="shared" si="3"/>
        <v>877</v>
      </c>
      <c r="R16" t="str">
        <f>IF(NOT(ISBLANK(UAH[[#This Row],[Bank Fee]])),UAH[[#This Row],[Bank Fee]]/INDEX(USD_UAH!$B$1:$B$43,MATCH(Portfolio_USD!$A17,USD_UAH!$A$1:$A$104,0)),"")</f>
        <v/>
      </c>
      <c r="S16" t="str">
        <f>IF(NOT(ISBLANK(UAH[[#This Row],[Broker Fee]])),UAH[[#This Row],[Broker Fee]]/INDEX(USD_UAH!$B$1:$B$43,MATCH(Portfolio_USD!$A17,USD_UAH!$A$1:$A$104,0)),"")</f>
        <v/>
      </c>
    </row>
    <row r="17" spans="1:19" x14ac:dyDescent="0.25">
      <c r="A17" s="2">
        <f>UAH[[#This Row],[Purchase Date]]</f>
        <v>45121</v>
      </c>
      <c r="B17" t="str">
        <f>UAH[[#This Row],[ISIN]]</f>
        <v>UA4000227656</v>
      </c>
      <c r="C17" t="str">
        <f>UAH[[#This Row],[Broker]]</f>
        <v>Kinto</v>
      </c>
      <c r="D17">
        <f>UAH[[#This Row],[Quantity]]</f>
        <v>1</v>
      </c>
      <c r="E17" s="8">
        <f>UAH[[#This Row],[Price]]/INDEX(USD_UAH!$B$1:$B$43,MATCH(Portfolio_USD!$A17,USD_UAH!$A$1:$A$104,0))</f>
        <v>30.014806167946819</v>
      </c>
      <c r="F17" s="8">
        <f t="shared" si="0"/>
        <v>30.014806167946819</v>
      </c>
      <c r="G17" s="8" t="str">
        <f>IF(NOT(ISBLANK(UAH[[#This Row],[Reinvest]])),UAH[[#This Row],[Reinvest]]/INDEX(USD_UAH!$B$1:$B$43,MATCH(Portfolio_USD!$A17,USD_UAH!$A$1:$A$104,0)),"")</f>
        <v/>
      </c>
      <c r="H17" s="2">
        <f>UAH[[#This Row],[Maturity date]]</f>
        <v>45672</v>
      </c>
      <c r="I17" s="8" t="str">
        <f ca="1">IFERROR(UAH[[#This Row],[Maturity Amont]]/INDEX(USD_UAH!$B$1:$B$43,MATCH(Portfolio_USD!$A17,USD_UAH!$A$1:$A$104,0)),"")</f>
        <v/>
      </c>
      <c r="J17" s="8" t="str">
        <f ca="1">IFERROR(UAH[[#This Row],['#1 2023]]/INDEX(USD_UAH!$B$1:$B$43,MATCH(Portfolio_USD!$A17,USD_UAH!$A$1:$A$104,0)),"")</f>
        <v/>
      </c>
      <c r="K17" s="8">
        <f ca="1">IFERROR(UAH[[#This Row],['#2 2023]]/INDEX(USD_UAH!$B$1:$B$43,MATCH(Portfolio_USD!$A17,USD_UAH!$A$1:$A$104,0)),"")</f>
        <v>2.654996735170938</v>
      </c>
      <c r="L17" s="8" t="str">
        <f ca="1">IFERROR(UAH[[#This Row],['#1 2024]]/INDEX(USD_UAH!$B$1:$B$43,MATCH(Portfolio_USD!$A17,USD_UAH!$A$1:$A$104,0)),"")</f>
        <v/>
      </c>
      <c r="M17" s="8" t="str">
        <f ca="1">IFERROR(UAH[[#This Row],['#2 2024]]/INDEX(USD_UAH!$B$1:$B$43,MATCH(Portfolio_USD!$A17,USD_UAH!$A$1:$A$104,0)),"")</f>
        <v/>
      </c>
      <c r="N17" s="4">
        <f t="shared" ca="1" si="1"/>
        <v>8.8456234576861664E-2</v>
      </c>
      <c r="O17" s="4">
        <f t="shared" ca="1" si="2"/>
        <v>-2.8486785134986185E-3</v>
      </c>
      <c r="P17" s="8">
        <f ca="1">1000/INDEX(USD_UAH!$B$1:$B$43,MATCH(Portfolio_USD!$A17,USD_UAH!$A$1:$A$104,0))*$D17-$F17+SUM($J17:$M17)</f>
        <v>-0.12907368743292658</v>
      </c>
      <c r="Q17">
        <f t="shared" si="3"/>
        <v>551</v>
      </c>
      <c r="R17" t="str">
        <f>IF(NOT(ISBLANK(UAH[[#This Row],[Bank Fee]])),UAH[[#This Row],[Bank Fee]]/INDEX(USD_UAH!$B$1:$B$43,MATCH(Portfolio_USD!$A18,USD_UAH!$A$1:$A$104,0)),"")</f>
        <v/>
      </c>
      <c r="S17" t="str">
        <f>IF(NOT(ISBLANK(UAH[[#This Row],[Broker Fee]])),UAH[[#This Row],[Broker Fee]]/INDEX(USD_UAH!$B$1:$B$43,MATCH(Portfolio_USD!$A18,USD_UAH!$A$1:$A$104,0)),"")</f>
        <v/>
      </c>
    </row>
    <row r="18" spans="1:19" x14ac:dyDescent="0.25">
      <c r="A18" s="2">
        <f>UAH[[#This Row],[Purchase Date]]</f>
        <v>45124</v>
      </c>
      <c r="B18" t="str">
        <f>UAH[[#This Row],[ISIN]]</f>
        <v>UA4000227656</v>
      </c>
      <c r="C18" t="str">
        <f>UAH[[#This Row],[Broker]]</f>
        <v>Kinto</v>
      </c>
      <c r="D18">
        <f>UAH[[#This Row],[Quantity]]</f>
        <v>1</v>
      </c>
      <c r="E18" s="8">
        <f>UAH[[#This Row],[Price]]/INDEX(USD_UAH!$B$1:$B$43,MATCH(Portfolio_USD!$A18,USD_UAH!$A$1:$A$104,0))</f>
        <v>30.002414913495357</v>
      </c>
      <c r="F18" s="8">
        <f t="shared" si="0"/>
        <v>30.002414913495357</v>
      </c>
      <c r="G18" s="8" t="str">
        <f>IF(NOT(ISBLANK(UAH[[#This Row],[Reinvest]])),UAH[[#This Row],[Reinvest]]/INDEX(USD_UAH!$B$1:$B$43,MATCH(Portfolio_USD!$A18,USD_UAH!$A$1:$A$104,0)),"")</f>
        <v/>
      </c>
      <c r="H18" s="2">
        <f>UAH[[#This Row],[Maturity date]]</f>
        <v>45672</v>
      </c>
      <c r="I18" s="8" t="str">
        <f ca="1">IFERROR(UAH[[#This Row],[Maturity Amont]]/INDEX(USD_UAH!$B$1:$B$43,MATCH(Portfolio_USD!$A18,USD_UAH!$A$1:$A$104,0)),"")</f>
        <v/>
      </c>
      <c r="J18" s="8" t="str">
        <f ca="1">IFERROR(UAH[[#This Row],['#1 2023]]/INDEX(USD_UAH!$B$1:$B$43,MATCH(Portfolio_USD!$A18,USD_UAH!$A$1:$A$104,0)),"")</f>
        <v/>
      </c>
      <c r="K18" s="8">
        <f ca="1">IFERROR(UAH[[#This Row],['#2 2023]]/INDEX(USD_UAH!$B$1:$B$43,MATCH(Portfolio_USD!$A18,USD_UAH!$A$1:$A$104,0)),"")</f>
        <v>2.6539006514604782</v>
      </c>
      <c r="L18" s="8" t="str">
        <f ca="1">IFERROR(UAH[[#This Row],['#1 2024]]/INDEX(USD_UAH!$B$1:$B$43,MATCH(Portfolio_USD!$A18,USD_UAH!$A$1:$A$104,0)),"")</f>
        <v/>
      </c>
      <c r="M18" s="8" t="str">
        <f ca="1">IFERROR(UAH[[#This Row],['#2 2024]]/INDEX(USD_UAH!$B$1:$B$43,MATCH(Portfolio_USD!$A18,USD_UAH!$A$1:$A$104,0)),"")</f>
        <v/>
      </c>
      <c r="N18" s="4">
        <f t="shared" ca="1" si="1"/>
        <v>8.8456234576861664E-2</v>
      </c>
      <c r="O18" s="4">
        <f t="shared" ca="1" si="2"/>
        <v>-2.8642734688644378E-3</v>
      </c>
      <c r="P18" s="8">
        <f ca="1">1000/INDEX(USD_UAH!$B$1:$B$43,MATCH(Portfolio_USD!$A18,USD_UAH!$A$1:$A$104,0))*$D18-$F18+SUM($J18:$M18)</f>
        <v>-0.12902040090176969</v>
      </c>
      <c r="Q18">
        <f t="shared" si="3"/>
        <v>548</v>
      </c>
      <c r="R18" t="str">
        <f>IF(NOT(ISBLANK(UAH[[#This Row],[Bank Fee]])),UAH[[#This Row],[Bank Fee]]/INDEX(USD_UAH!$B$1:$B$43,MATCH(Portfolio_USD!$A19,USD_UAH!$A$1:$A$104,0)),"")</f>
        <v/>
      </c>
      <c r="S18" t="str">
        <f>IF(NOT(ISBLANK(UAH[[#This Row],[Broker Fee]])),UAH[[#This Row],[Broker Fee]]/INDEX(USD_UAH!$B$1:$B$43,MATCH(Portfolio_USD!$A19,USD_UAH!$A$1:$A$104,0)),"")</f>
        <v/>
      </c>
    </row>
    <row r="19" spans="1:19" x14ac:dyDescent="0.25">
      <c r="A19" s="2">
        <f>UAH[[#This Row],[Purchase Date]]</f>
        <v>45130</v>
      </c>
      <c r="B19" t="str">
        <f>UAH[[#This Row],[ISIN]]</f>
        <v>UA4000227656</v>
      </c>
      <c r="C19" t="str">
        <f>UAH[[#This Row],[Broker]]</f>
        <v>Kinto</v>
      </c>
      <c r="D19">
        <f>UAH[[#This Row],[Quantity]]</f>
        <v>4</v>
      </c>
      <c r="E19" s="8">
        <f>UAH[[#This Row],[Price]]/INDEX(USD_UAH!$B$1:$B$43,MATCH(Portfolio_USD!$A19,USD_UAH!$A$1:$A$104,0))</f>
        <v>27.610029535791458</v>
      </c>
      <c r="F19" s="8">
        <f t="shared" si="0"/>
        <v>110.44011814316583</v>
      </c>
      <c r="G19" s="8" t="str">
        <f>IF(NOT(ISBLANK(UAH[[#This Row],[Reinvest]])),UAH[[#This Row],[Reinvest]]/INDEX(USD_UAH!$B$1:$B$43,MATCH(Portfolio_USD!$A19,USD_UAH!$A$1:$A$104,0)),"")</f>
        <v/>
      </c>
      <c r="H19" s="2">
        <f>UAH[[#This Row],[Maturity date]]</f>
        <v>45672</v>
      </c>
      <c r="I19" s="8" t="str">
        <f ca="1">IFERROR(UAH[[#This Row],[Maturity Amont]]/INDEX(USD_UAH!$B$1:$B$43,MATCH(Portfolio_USD!$A19,USD_UAH!$A$1:$A$104,0)),"")</f>
        <v/>
      </c>
      <c r="J19" s="8" t="str">
        <f ca="1">IFERROR(UAH[[#This Row],['#1 2023]]/INDEX(USD_UAH!$B$1:$B$43,MATCH(Portfolio_USD!$A19,USD_UAH!$A$1:$A$104,0)),"")</f>
        <v/>
      </c>
      <c r="K19" s="8" t="str">
        <f ca="1">IFERROR(UAH[[#This Row],['#2 2023]]/INDEX(USD_UAH!$B$1:$B$43,MATCH(Portfolio_USD!$A19,USD_UAH!$A$1:$A$104,0)),"")</f>
        <v/>
      </c>
      <c r="L19" s="8" t="str">
        <f ca="1">IFERROR(UAH[[#This Row],['#1 2024]]/INDEX(USD_UAH!$B$1:$B$43,MATCH(Portfolio_USD!$A19,USD_UAH!$A$1:$A$104,0)),"")</f>
        <v/>
      </c>
      <c r="M19" s="8" t="str">
        <f ca="1">IFERROR(UAH[[#This Row],['#2 2024]]/INDEX(USD_UAH!$B$1:$B$43,MATCH(Portfolio_USD!$A19,USD_UAH!$A$1:$A$104,0)),"")</f>
        <v/>
      </c>
      <c r="N19" s="4">
        <f t="shared" ca="1" si="1"/>
        <v>0</v>
      </c>
      <c r="O19" s="4">
        <f t="shared" ca="1" si="2"/>
        <v>-9.3437183841796057E-3</v>
      </c>
      <c r="P19" s="8">
        <f ca="1">1000/INDEX(USD_UAH!$B$1:$B$43,MATCH(Portfolio_USD!$A19,USD_UAH!$A$1:$A$104,0))*$D19-$F19+SUM($J19:$M19)</f>
        <v>-1.5323325433888613</v>
      </c>
      <c r="Q19">
        <f t="shared" si="3"/>
        <v>542</v>
      </c>
      <c r="R19" t="str">
        <f>IF(NOT(ISBLANK(UAH[[#This Row],[Bank Fee]])),UAH[[#This Row],[Bank Fee]]/INDEX(USD_UAH!$B$1:$B$43,MATCH(Portfolio_USD!$A20,USD_UAH!$A$1:$A$104,0)),"")</f>
        <v/>
      </c>
      <c r="S19" t="str">
        <f>IF(NOT(ISBLANK(UAH[[#This Row],[Broker Fee]])),UAH[[#This Row],[Broker Fee]]/INDEX(USD_UAH!$B$1:$B$43,MATCH(Portfolio_USD!$A20,USD_UAH!$A$1:$A$104,0)),"")</f>
        <v/>
      </c>
    </row>
    <row r="20" spans="1:19" x14ac:dyDescent="0.25">
      <c r="A20" s="2">
        <f>UAH[[#This Row],[Purchase Date]]</f>
        <v>45138</v>
      </c>
      <c r="B20" t="str">
        <f>UAH[[#This Row],[ISIN]]</f>
        <v>UA4000227656</v>
      </c>
      <c r="C20" t="str">
        <f>UAH[[#This Row],[Broker]]</f>
        <v>Kinto</v>
      </c>
      <c r="D20">
        <f>UAH[[#This Row],[Quantity]]</f>
        <v>4</v>
      </c>
      <c r="E20" s="8">
        <f>UAH[[#This Row],[Price]]/INDEX(USD_UAH!$B$1:$B$43,MATCH(Portfolio_USD!$A20,USD_UAH!$A$1:$A$104,0))</f>
        <v>27.535346959876232</v>
      </c>
      <c r="F20" s="8">
        <f t="shared" si="0"/>
        <v>110.14138783950493</v>
      </c>
      <c r="G20" s="8" t="str">
        <f>IF(NOT(ISBLANK(UAH[[#This Row],[Reinvest]])),UAH[[#This Row],[Reinvest]]/INDEX(USD_UAH!$B$1:$B$43,MATCH(Portfolio_USD!$A20,USD_UAH!$A$1:$A$104,0)),"")</f>
        <v/>
      </c>
      <c r="H20" s="2">
        <f>UAH[[#This Row],[Maturity date]]</f>
        <v>45672</v>
      </c>
      <c r="I20" s="8" t="str">
        <f ca="1">IFERROR(UAH[[#This Row],[Maturity Amont]]/INDEX(USD_UAH!$B$1:$B$43,MATCH(Portfolio_USD!$A20,USD_UAH!$A$1:$A$104,0)),"")</f>
        <v/>
      </c>
      <c r="J20" s="8" t="str">
        <f ca="1">IFERROR(UAH[[#This Row],['#1 2023]]/INDEX(USD_UAH!$B$1:$B$43,MATCH(Portfolio_USD!$A20,USD_UAH!$A$1:$A$104,0)),"")</f>
        <v/>
      </c>
      <c r="K20" s="8" t="str">
        <f ca="1">IFERROR(UAH[[#This Row],['#2 2023]]/INDEX(USD_UAH!$B$1:$B$43,MATCH(Portfolio_USD!$A20,USD_UAH!$A$1:$A$104,0)),"")</f>
        <v/>
      </c>
      <c r="L20" s="8" t="str">
        <f ca="1">IFERROR(UAH[[#This Row],['#1 2024]]/INDEX(USD_UAH!$B$1:$B$43,MATCH(Portfolio_USD!$A20,USD_UAH!$A$1:$A$104,0)),"")</f>
        <v/>
      </c>
      <c r="M20" s="8" t="str">
        <f ca="1">IFERROR(UAH[[#This Row],['#2 2024]]/INDEX(USD_UAH!$B$1:$B$43,MATCH(Portfolio_USD!$A20,USD_UAH!$A$1:$A$104,0)),"")</f>
        <v/>
      </c>
      <c r="N20" s="4">
        <f t="shared" ca="1" si="1"/>
        <v>0</v>
      </c>
      <c r="O20" s="4">
        <f t="shared" ca="1" si="2"/>
        <v>-1.1782289945222199E-2</v>
      </c>
      <c r="P20" s="8">
        <f ca="1">1000/INDEX(USD_UAH!$B$1:$B$43,MATCH(Portfolio_USD!$A20,USD_UAH!$A$1:$A$104,0))*$D20-$F20+SUM($J20:$M20)</f>
        <v>-1.8985788693367454</v>
      </c>
      <c r="Q20">
        <f t="shared" si="3"/>
        <v>534</v>
      </c>
      <c r="R20" t="str">
        <f>IF(NOT(ISBLANK(UAH[[#This Row],[Bank Fee]])),UAH[[#This Row],[Bank Fee]]/INDEX(USD_UAH!$B$1:$B$43,MATCH(Portfolio_USD!$A21,USD_UAH!$A$1:$A$104,0)),"")</f>
        <v/>
      </c>
      <c r="S20" t="str">
        <f>IF(NOT(ISBLANK(UAH[[#This Row],[Broker Fee]])),UAH[[#This Row],[Broker Fee]]/INDEX(USD_UAH!$B$1:$B$43,MATCH(Portfolio_USD!$A21,USD_UAH!$A$1:$A$104,0)),"")</f>
        <v/>
      </c>
    </row>
    <row r="21" spans="1:19" x14ac:dyDescent="0.25">
      <c r="A21" s="2">
        <f>UAH[[#This Row],[Purchase Date]]</f>
        <v>45169</v>
      </c>
      <c r="B21" t="str">
        <f>UAH[[#This Row],[ISIN]]</f>
        <v>UA4000227656</v>
      </c>
      <c r="C21" t="str">
        <f>UAH[[#This Row],[Broker]]</f>
        <v>Kinto</v>
      </c>
      <c r="D21">
        <f>UAH[[#This Row],[Quantity]]</f>
        <v>5</v>
      </c>
      <c r="E21" s="8">
        <f>UAH[[#This Row],[Price]]/INDEX(USD_UAH!$B$1:$B$43,MATCH(Portfolio_USD!$A21,USD_UAH!$A$1:$A$104,0))</f>
        <v>28.129680050542348</v>
      </c>
      <c r="F21" s="8">
        <f t="shared" si="0"/>
        <v>140.64840025271172</v>
      </c>
      <c r="G21" s="8">
        <f>IF(NOT(ISBLANK(UAH[[#This Row],[Reinvest]])),UAH[[#This Row],[Reinvest]]/INDEX(USD_UAH!$B$1:$B$43,MATCH(Portfolio_USD!$A21,USD_UAH!$A$1:$A$104,0)),"")</f>
        <v>24.671476781128334</v>
      </c>
      <c r="H21" s="2">
        <f>UAH[[#This Row],[Maturity date]]</f>
        <v>45672</v>
      </c>
      <c r="I21" s="8" t="str">
        <f ca="1">IFERROR(UAH[[#This Row],[Maturity Amont]]/INDEX(USD_UAH!$B$1:$B$43,MATCH(Portfolio_USD!$A21,USD_UAH!$A$1:$A$104,0)),"")</f>
        <v/>
      </c>
      <c r="J21" s="8" t="str">
        <f ca="1">IFERROR(UAH[[#This Row],['#1 2023]]/INDEX(USD_UAH!$B$1:$B$43,MATCH(Portfolio_USD!$A21,USD_UAH!$A$1:$A$104,0)),"")</f>
        <v/>
      </c>
      <c r="K21" s="8" t="str">
        <f ca="1">IFERROR(UAH[[#This Row],['#2 2023]]/INDEX(USD_UAH!$B$1:$B$43,MATCH(Portfolio_USD!$A21,USD_UAH!$A$1:$A$104,0)),"")</f>
        <v/>
      </c>
      <c r="L21" s="8" t="str">
        <f ca="1">IFERROR(UAH[[#This Row],['#1 2024]]/INDEX(USD_UAH!$B$1:$B$43,MATCH(Portfolio_USD!$A21,USD_UAH!$A$1:$A$104,0)),"")</f>
        <v/>
      </c>
      <c r="M21" s="8" t="str">
        <f ca="1">IFERROR(UAH[[#This Row],['#2 2024]]/INDEX(USD_UAH!$B$1:$B$43,MATCH(Portfolio_USD!$A21,USD_UAH!$A$1:$A$104,0)),"")</f>
        <v/>
      </c>
      <c r="N21" s="4">
        <f t="shared" ca="1" si="1"/>
        <v>0</v>
      </c>
      <c r="O21" s="4">
        <f t="shared" ca="1" si="2"/>
        <v>-2.7224475817332137E-2</v>
      </c>
      <c r="P21" s="8">
        <f ca="1">1000/INDEX(USD_UAH!$B$1:$B$43,MATCH(Portfolio_USD!$A21,USD_UAH!$A$1:$A$104,0))*$D21-$F21+SUM($J21:$M21)</f>
        <v>-5.2767855414451503</v>
      </c>
      <c r="Q21">
        <f t="shared" si="3"/>
        <v>503</v>
      </c>
      <c r="R21" t="str">
        <f>IF(NOT(ISBLANK(UAH[[#This Row],[Bank Fee]])),UAH[[#This Row],[Bank Fee]]/INDEX(USD_UAH!$B$1:$B$43,MATCH(Portfolio_USD!$A22,USD_UAH!$A$1:$A$104,0)),"")</f>
        <v/>
      </c>
      <c r="S21" t="str">
        <f>IF(NOT(ISBLANK(UAH[[#This Row],[Broker Fee]])),UAH[[#This Row],[Broker Fee]]/INDEX(USD_UAH!$B$1:$B$43,MATCH(Portfolio_USD!$A22,USD_UAH!$A$1:$A$104,0)),"")</f>
        <v/>
      </c>
    </row>
    <row r="22" spans="1:19" x14ac:dyDescent="0.25">
      <c r="A22" s="2">
        <f>UAH[[#This Row],[Purchase Date]]</f>
        <v>45200</v>
      </c>
      <c r="B22" t="str">
        <f>UAH[[#This Row],[ISIN]]</f>
        <v>UA4000228043</v>
      </c>
      <c r="C22" t="str">
        <f>UAH[[#This Row],[Broker]]</f>
        <v>Kinto</v>
      </c>
      <c r="D22">
        <f>UAH[[#This Row],[Quantity]]</f>
        <v>5</v>
      </c>
      <c r="E22" s="8">
        <f>UAH[[#This Row],[Price]]/INDEX(USD_UAH!$B$1:$B$43,MATCH(Portfolio_USD!$A22,USD_UAH!$A$1:$A$104,0))</f>
        <v>28.791781363705493</v>
      </c>
      <c r="F22" s="8">
        <f t="shared" si="0"/>
        <v>143.95890681852745</v>
      </c>
      <c r="G22" s="8" t="str">
        <f>IF(NOT(ISBLANK(UAH[[#This Row],[Reinvest]])),UAH[[#This Row],[Reinvest]]/INDEX(USD_UAH!$B$1:$B$43,MATCH(Portfolio_USD!$A22,USD_UAH!$A$1:$A$104,0)),"")</f>
        <v/>
      </c>
      <c r="H22" s="2">
        <f>UAH[[#This Row],[Maturity date]]</f>
        <v>46225</v>
      </c>
      <c r="I22" s="8" t="str">
        <f ca="1">IFERROR(UAH[[#This Row],[Maturity Amont]]/INDEX(USD_UAH!$B$1:$B$43,MATCH(Portfolio_USD!$A22,USD_UAH!$A$1:$A$104,0)),"")</f>
        <v/>
      </c>
      <c r="J22" s="8" t="str">
        <f ca="1">IFERROR(UAH[[#This Row],['#1 2023]]/INDEX(USD_UAH!$B$1:$B$43,MATCH(Portfolio_USD!$A22,USD_UAH!$A$1:$A$104,0)),"")</f>
        <v/>
      </c>
      <c r="K22" s="8" t="str">
        <f ca="1">IFERROR(UAH[[#This Row],['#2 2023]]/INDEX(USD_UAH!$B$1:$B$43,MATCH(Portfolio_USD!$A22,USD_UAH!$A$1:$A$104,0)),"")</f>
        <v/>
      </c>
      <c r="L22" s="8" t="str">
        <f ca="1">IFERROR(UAH[[#This Row],['#1 2024]]/INDEX(USD_UAH!$B$1:$B$43,MATCH(Portfolio_USD!$A22,USD_UAH!$A$1:$A$104,0)),"")</f>
        <v/>
      </c>
      <c r="M22" s="8" t="str">
        <f ca="1">IFERROR(UAH[[#This Row],['#2 2024]]/INDEX(USD_UAH!$B$1:$B$43,MATCH(Portfolio_USD!$A22,USD_UAH!$A$1:$A$104,0)),"")</f>
        <v/>
      </c>
      <c r="N22" s="4">
        <f t="shared" ca="1" si="1"/>
        <v>0</v>
      </c>
      <c r="O22" s="4">
        <f t="shared" ca="1" si="2"/>
        <v>-2.192505792514118E-2</v>
      </c>
      <c r="P22" s="8">
        <f ca="1">1000/INDEX(USD_UAH!$B$1:$B$43,MATCH(Portfolio_USD!$A22,USD_UAH!$A$1:$A$104,0))*$D22-$F22+SUM($J22:$M22)</f>
        <v>-8.863602890704442</v>
      </c>
      <c r="Q22">
        <f t="shared" si="3"/>
        <v>1025</v>
      </c>
      <c r="R22" t="str">
        <f>IF(NOT(ISBLANK(UAH[[#This Row],[Bank Fee]])),UAH[[#This Row],[Bank Fee]]/INDEX(USD_UAH!$B$1:$B$43,MATCH(Portfolio_USD!$A23,USD_UAH!$A$1:$A$104,0)),"")</f>
        <v/>
      </c>
      <c r="S22" t="str">
        <f>IF(NOT(ISBLANK(UAH[[#This Row],[Broker Fee]])),UAH[[#This Row],[Broker Fee]]/INDEX(USD_UAH!$B$1:$B$43,MATCH(Portfolio_USD!$A23,USD_UAH!$A$1:$A$104,0)),"")</f>
        <v/>
      </c>
    </row>
    <row r="23" spans="1:19" x14ac:dyDescent="0.25">
      <c r="A23" s="2">
        <f>UAH[[#This Row],[Purchase Date]]</f>
        <v>45230</v>
      </c>
      <c r="B23" t="str">
        <f>UAH[[#This Row],[ISIN]]</f>
        <v>UA4000228043</v>
      </c>
      <c r="C23" t="str">
        <f>UAH[[#This Row],[Broker]]</f>
        <v>Kinto</v>
      </c>
      <c r="D23">
        <f>UAH[[#This Row],[Quantity]]</f>
        <v>18</v>
      </c>
      <c r="E23" s="8">
        <f>UAH[[#This Row],[Price]]/INDEX(USD_UAH!$B$1:$B$43,MATCH(Portfolio_USD!$A23,USD_UAH!$A$1:$A$104,0))</f>
        <v>29.825277866690215</v>
      </c>
      <c r="F23" s="8">
        <f t="shared" si="0"/>
        <v>536.85500160042386</v>
      </c>
      <c r="G23" s="8">
        <f>IF(NOT(ISBLANK(UAH[[#This Row],[Reinvest]])),UAH[[#This Row],[Reinvest]]/INDEX(USD_UAH!$B$1:$B$43,MATCH(Portfolio_USD!$A23,USD_UAH!$A$1:$A$104,0)),"")</f>
        <v>33.319168662597541</v>
      </c>
      <c r="H23" s="2">
        <f>UAH[[#This Row],[Maturity date]]</f>
        <v>46225</v>
      </c>
      <c r="I23" s="8" t="str">
        <f ca="1">IFERROR(UAH[[#This Row],[Maturity Amont]]/INDEX(USD_UAH!$B$1:$B$43,MATCH(Portfolio_USD!$A23,USD_UAH!$A$1:$A$104,0)),"")</f>
        <v/>
      </c>
      <c r="J23" s="8" t="str">
        <f ca="1">IFERROR(UAH[[#This Row],['#1 2023]]/INDEX(USD_UAH!$B$1:$B$43,MATCH(Portfolio_USD!$A23,USD_UAH!$A$1:$A$104,0)),"")</f>
        <v/>
      </c>
      <c r="K23" s="8" t="str">
        <f ca="1">IFERROR(UAH[[#This Row],['#2 2023]]/INDEX(USD_UAH!$B$1:$B$43,MATCH(Portfolio_USD!$A23,USD_UAH!$A$1:$A$104,0)),"")</f>
        <v/>
      </c>
      <c r="L23" s="8" t="str">
        <f ca="1">IFERROR(UAH[[#This Row],['#1 2024]]/INDEX(USD_UAH!$B$1:$B$43,MATCH(Portfolio_USD!$A23,USD_UAH!$A$1:$A$104,0)),"")</f>
        <v/>
      </c>
      <c r="M23" s="8" t="str">
        <f ca="1">IFERROR(UAH[[#This Row],['#2 2024]]/INDEX(USD_UAH!$B$1:$B$43,MATCH(Portfolio_USD!$A23,USD_UAH!$A$1:$A$104,0)),"")</f>
        <v/>
      </c>
      <c r="N23" s="4">
        <f t="shared" ca="1" si="1"/>
        <v>0</v>
      </c>
      <c r="O23" s="4">
        <f t="shared" ca="1" si="2"/>
        <v>-2.7449437253620652E-2</v>
      </c>
      <c r="P23" s="8">
        <f ca="1">1000/INDEX(USD_UAH!$B$1:$B$43,MATCH(Portfolio_USD!$A23,USD_UAH!$A$1:$A$104,0))*$D23-$F23+SUM($J23:$M23)</f>
        <v>-40.171742033752423</v>
      </c>
      <c r="Q23">
        <f t="shared" si="3"/>
        <v>995</v>
      </c>
      <c r="R23" s="8">
        <f>IF(NOT(ISBLANK(UAH[[#This Row],[Bank Fee]])),UAH[[#This Row],[Bank Fee]]/INDEX(USD_UAH!$B$1:$B$43,MATCH(Portfolio_USD!$A24,USD_UAH!$A$1:$A$104,0)),"")</f>
        <v>0.65855496906292121</v>
      </c>
      <c r="S23" t="str">
        <f>IF(NOT(ISBLANK(UAH[[#This Row],[Broker Fee]])),UAH[[#This Row],[Broker Fee]]/INDEX(USD_UAH!$B$1:$B$43,MATCH(Portfolio_USD!$A24,USD_UAH!$A$1:$A$104,0)),"")</f>
        <v/>
      </c>
    </row>
    <row r="24" spans="1:19" x14ac:dyDescent="0.25">
      <c r="A24" s="2">
        <f>UAH[[#This Row],[Purchase Date]]</f>
        <v>45231</v>
      </c>
      <c r="B24" t="str">
        <f>UAH[[#This Row],[ISIN]]</f>
        <v>UA4000228043</v>
      </c>
      <c r="C24" t="str">
        <f>UAH[[#This Row],[Broker]]</f>
        <v>Kinto</v>
      </c>
      <c r="D24">
        <f>UAH[[#This Row],[Quantity]]</f>
        <v>5</v>
      </c>
      <c r="E24" s="8">
        <f>UAH[[#This Row],[Price]]/INDEX(USD_UAH!$B$1:$B$43,MATCH(Portfolio_USD!$A24,USD_UAH!$A$1:$A$104,0))</f>
        <v>29.765473212904961</v>
      </c>
      <c r="F24" s="8">
        <f t="shared" si="0"/>
        <v>148.8273660645248</v>
      </c>
      <c r="G24" s="8" t="str">
        <f>IF(NOT(ISBLANK(UAH[[#This Row],[Reinvest]])),UAH[[#This Row],[Reinvest]]/INDEX(USD_UAH!$B$1:$B$43,MATCH(Portfolio_USD!$A24,USD_UAH!$A$1:$A$104,0)),"")</f>
        <v/>
      </c>
      <c r="H24" s="2">
        <f>UAH[[#This Row],[Maturity date]]</f>
        <v>46225</v>
      </c>
      <c r="I24" s="8" t="str">
        <f ca="1">IFERROR(UAH[[#This Row],[Maturity Amont]]/INDEX(USD_UAH!$B$1:$B$43,MATCH(Portfolio_USD!$A24,USD_UAH!$A$1:$A$104,0)),"")</f>
        <v/>
      </c>
      <c r="J24" s="8" t="str">
        <f ca="1">IFERROR(UAH[[#This Row],['#1 2023]]/INDEX(USD_UAH!$B$1:$B$43,MATCH(Portfolio_USD!$A24,USD_UAH!$A$1:$A$104,0)),"")</f>
        <v/>
      </c>
      <c r="K24" s="8" t="str">
        <f ca="1">IFERROR(UAH[[#This Row],['#2 2023]]/INDEX(USD_UAH!$B$1:$B$43,MATCH(Portfolio_USD!$A24,USD_UAH!$A$1:$A$104,0)),"")</f>
        <v/>
      </c>
      <c r="L24" s="8" t="str">
        <f ca="1">IFERROR(UAH[[#This Row],['#1 2024]]/INDEX(USD_UAH!$B$1:$B$43,MATCH(Portfolio_USD!$A24,USD_UAH!$A$1:$A$104,0)),"")</f>
        <v/>
      </c>
      <c r="M24" s="8" t="str">
        <f ca="1">IFERROR(UAH[[#This Row],['#2 2024]]/INDEX(USD_UAH!$B$1:$B$43,MATCH(Portfolio_USD!$A24,USD_UAH!$A$1:$A$104,0)),"")</f>
        <v/>
      </c>
      <c r="N24" s="4">
        <f t="shared" ca="1" si="1"/>
        <v>0</v>
      </c>
      <c r="O24" s="4">
        <f t="shared" ca="1" si="2"/>
        <v>-2.7558752072156915E-2</v>
      </c>
      <c r="P24" s="8">
        <f ca="1">1000/INDEX(USD_UAH!$B$1:$B$43,MATCH(Portfolio_USD!$A24,USD_UAH!$A$1:$A$104,0))*$D24-$F24+SUM($J24:$M24)</f>
        <v>-11.169554805552963</v>
      </c>
      <c r="Q24">
        <f t="shared" si="3"/>
        <v>994</v>
      </c>
      <c r="R24" t="str">
        <f>IF(NOT(ISBLANK(UAH[[#This Row],[Bank Fee]])),UAH[[#This Row],[Bank Fee]]/INDEX(USD_UAH!$B$1:$B$43,MATCH(Portfolio_USD!$A25,USD_UAH!$A$1:$A$104,0)),"")</f>
        <v/>
      </c>
      <c r="S24" t="str">
        <f>IF(NOT(ISBLANK(UAH[[#This Row],[Broker Fee]])),UAH[[#This Row],[Broker Fee]]/INDEX(USD_UAH!$B$1:$B$43,MATCH(Portfolio_USD!$A25,USD_UAH!$A$1:$A$104,0)),"")</f>
        <v/>
      </c>
    </row>
    <row r="25" spans="1:19" x14ac:dyDescent="0.25">
      <c r="A25" s="2"/>
    </row>
    <row r="26" spans="1:19" x14ac:dyDescent="0.25">
      <c r="A2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4"/>
  <sheetViews>
    <sheetView topLeftCell="A83" workbookViewId="0">
      <selection activeCell="E12" sqref="E12"/>
    </sheetView>
  </sheetViews>
  <sheetFormatPr defaultRowHeight="15" x14ac:dyDescent="0.25"/>
  <cols>
    <col min="1" max="1" width="18.28515625" bestFit="1" customWidth="1"/>
    <col min="6" max="6" width="10.140625" bestFit="1" customWidth="1"/>
  </cols>
  <sheetData>
    <row r="1" spans="1:6" x14ac:dyDescent="0.25">
      <c r="A1" s="9" t="s">
        <v>73</v>
      </c>
      <c r="B1" s="9" t="s">
        <v>74</v>
      </c>
    </row>
    <row r="2" spans="1:6" x14ac:dyDescent="0.25">
      <c r="A2" s="2">
        <v>45023</v>
      </c>
      <c r="B2">
        <v>36.769508999999999</v>
      </c>
      <c r="F2" s="3"/>
    </row>
    <row r="3" spans="1:6" x14ac:dyDescent="0.25">
      <c r="A3" s="2">
        <v>45024</v>
      </c>
      <c r="B3">
        <v>36.769508999999999</v>
      </c>
    </row>
    <row r="4" spans="1:6" x14ac:dyDescent="0.25">
      <c r="A4" s="2">
        <v>45032</v>
      </c>
      <c r="B4">
        <v>36.781213999999999</v>
      </c>
    </row>
    <row r="5" spans="1:6" x14ac:dyDescent="0.25">
      <c r="A5" s="2">
        <v>45036</v>
      </c>
      <c r="B5">
        <v>36.930866000000002</v>
      </c>
    </row>
    <row r="6" spans="1:6" x14ac:dyDescent="0.25">
      <c r="A6" s="2">
        <v>45042</v>
      </c>
      <c r="B6">
        <v>36.957768000000002</v>
      </c>
    </row>
    <row r="7" spans="1:6" x14ac:dyDescent="0.25">
      <c r="A7" s="2">
        <v>45043</v>
      </c>
      <c r="B7">
        <v>36.926380000000002</v>
      </c>
    </row>
    <row r="8" spans="1:6" x14ac:dyDescent="0.25">
      <c r="A8" s="2">
        <v>45046</v>
      </c>
      <c r="B8">
        <v>36.433405</v>
      </c>
    </row>
    <row r="9" spans="1:6" x14ac:dyDescent="0.25">
      <c r="A9" s="2">
        <v>45049</v>
      </c>
      <c r="B9">
        <v>36.925921000000002</v>
      </c>
    </row>
    <row r="10" spans="1:6" x14ac:dyDescent="0.25">
      <c r="A10" s="2">
        <v>45051</v>
      </c>
      <c r="B10">
        <v>36.937311000000001</v>
      </c>
    </row>
    <row r="11" spans="1:6" x14ac:dyDescent="0.25">
      <c r="A11" s="2">
        <v>45056</v>
      </c>
      <c r="B11">
        <v>36.771903000000002</v>
      </c>
    </row>
    <row r="12" spans="1:6" x14ac:dyDescent="0.25">
      <c r="A12" s="2">
        <v>45057</v>
      </c>
      <c r="B12">
        <v>36.919423999999999</v>
      </c>
    </row>
    <row r="13" spans="1:6" x14ac:dyDescent="0.25">
      <c r="A13" s="2">
        <v>45063</v>
      </c>
      <c r="B13">
        <v>36.924267</v>
      </c>
    </row>
    <row r="14" spans="1:6" x14ac:dyDescent="0.25">
      <c r="A14" s="2">
        <v>45064</v>
      </c>
      <c r="B14">
        <v>36.943311999999999</v>
      </c>
    </row>
    <row r="15" spans="1:6" x14ac:dyDescent="0.25">
      <c r="A15" s="2">
        <v>45070</v>
      </c>
      <c r="B15">
        <v>36.879103999999998</v>
      </c>
    </row>
    <row r="16" spans="1:6" x14ac:dyDescent="0.25">
      <c r="A16" s="2">
        <v>45071</v>
      </c>
      <c r="B16">
        <v>36.923166000000002</v>
      </c>
    </row>
    <row r="17" spans="1:2" x14ac:dyDescent="0.25">
      <c r="A17" s="2">
        <v>45077</v>
      </c>
      <c r="B17">
        <v>36.910369000000003</v>
      </c>
    </row>
    <row r="18" spans="1:2" x14ac:dyDescent="0.25">
      <c r="A18" s="2">
        <v>45078</v>
      </c>
      <c r="B18">
        <v>36.918616999999998</v>
      </c>
    </row>
    <row r="19" spans="1:2" x14ac:dyDescent="0.25">
      <c r="A19" s="2">
        <v>45084</v>
      </c>
      <c r="B19">
        <v>36.912126000000001</v>
      </c>
    </row>
    <row r="20" spans="1:2" x14ac:dyDescent="0.25">
      <c r="A20" s="2">
        <v>45085</v>
      </c>
      <c r="B20">
        <v>36.925572000000003</v>
      </c>
    </row>
    <row r="21" spans="1:2" x14ac:dyDescent="0.25">
      <c r="A21" s="2">
        <v>45089</v>
      </c>
      <c r="B21">
        <v>36.941509000000003</v>
      </c>
    </row>
    <row r="22" spans="1:2" x14ac:dyDescent="0.25">
      <c r="A22" s="2">
        <v>45105</v>
      </c>
      <c r="B22">
        <v>36.945411</v>
      </c>
    </row>
    <row r="23" spans="1:2" x14ac:dyDescent="0.25">
      <c r="A23" s="2">
        <v>45112</v>
      </c>
      <c r="B23">
        <v>36.919592000000002</v>
      </c>
    </row>
    <row r="24" spans="1:2" x14ac:dyDescent="0.25">
      <c r="A24" s="2">
        <v>45121</v>
      </c>
      <c r="B24">
        <v>36.723208999999997</v>
      </c>
    </row>
    <row r="25" spans="1:2" x14ac:dyDescent="0.25">
      <c r="A25" s="2">
        <v>45124</v>
      </c>
      <c r="B25">
        <v>36.738376000000002</v>
      </c>
    </row>
    <row r="26" spans="1:2" x14ac:dyDescent="0.25">
      <c r="A26" s="2">
        <v>45126</v>
      </c>
      <c r="B26">
        <v>36.760111999999999</v>
      </c>
    </row>
    <row r="27" spans="1:2" x14ac:dyDescent="0.25">
      <c r="A27" s="2">
        <v>45130</v>
      </c>
      <c r="B27">
        <v>36.728319999999997</v>
      </c>
    </row>
    <row r="28" spans="1:2" x14ac:dyDescent="0.25">
      <c r="A28" s="2">
        <v>45138</v>
      </c>
      <c r="B28">
        <v>36.953955999999998</v>
      </c>
    </row>
    <row r="29" spans="1:2" x14ac:dyDescent="0.25">
      <c r="A29" s="2">
        <v>45147</v>
      </c>
      <c r="B29">
        <v>36.934663</v>
      </c>
    </row>
    <row r="30" spans="1:2" x14ac:dyDescent="0.25">
      <c r="A30" s="2">
        <v>45154</v>
      </c>
      <c r="B30">
        <v>36.941322</v>
      </c>
    </row>
    <row r="31" spans="1:2" x14ac:dyDescent="0.25">
      <c r="A31" s="2">
        <v>45161</v>
      </c>
      <c r="B31">
        <v>36.934570000000001</v>
      </c>
    </row>
    <row r="32" spans="1:2" x14ac:dyDescent="0.25">
      <c r="A32" s="2">
        <v>45168</v>
      </c>
      <c r="B32">
        <v>36.955469000000001</v>
      </c>
    </row>
    <row r="33" spans="1:2" x14ac:dyDescent="0.25">
      <c r="A33" s="2">
        <v>45169</v>
      </c>
      <c r="B33">
        <v>36.935364999999997</v>
      </c>
    </row>
    <row r="34" spans="1:2" x14ac:dyDescent="0.25">
      <c r="A34" s="2">
        <v>45175</v>
      </c>
      <c r="B34">
        <v>36.921506999999998</v>
      </c>
    </row>
    <row r="35" spans="1:2" x14ac:dyDescent="0.25">
      <c r="A35" s="2">
        <v>45182</v>
      </c>
      <c r="B35">
        <v>36.941822000000002</v>
      </c>
    </row>
    <row r="36" spans="1:2" x14ac:dyDescent="0.25">
      <c r="A36" s="2">
        <v>45200</v>
      </c>
      <c r="B36">
        <v>37.010908999999998</v>
      </c>
    </row>
    <row r="37" spans="1:2" x14ac:dyDescent="0.25">
      <c r="A37" s="2">
        <v>45203</v>
      </c>
      <c r="B37">
        <v>36.613897999999999</v>
      </c>
    </row>
    <row r="38" spans="1:2" x14ac:dyDescent="0.25">
      <c r="A38" s="2">
        <v>45224</v>
      </c>
      <c r="B38">
        <v>36.529673000000003</v>
      </c>
    </row>
    <row r="39" spans="1:2" x14ac:dyDescent="0.25">
      <c r="A39" s="2">
        <v>45230</v>
      </c>
      <c r="B39">
        <v>36.240400000000001</v>
      </c>
    </row>
    <row r="40" spans="1:2" x14ac:dyDescent="0.25">
      <c r="A40" s="2">
        <v>45231</v>
      </c>
      <c r="B40">
        <v>36.321948999999996</v>
      </c>
    </row>
    <row r="41" spans="1:2" x14ac:dyDescent="0.25">
      <c r="A41" s="2">
        <v>45238</v>
      </c>
      <c r="B41">
        <v>36.056114999999998</v>
      </c>
    </row>
    <row r="42" spans="1:2" x14ac:dyDescent="0.25">
      <c r="A42" s="2">
        <v>45245</v>
      </c>
      <c r="B42">
        <v>36.232357</v>
      </c>
    </row>
    <row r="43" spans="1:2" x14ac:dyDescent="0.25">
      <c r="A43" s="2">
        <v>45252</v>
      </c>
      <c r="B43">
        <v>36.039493999999998</v>
      </c>
    </row>
    <row r="44" spans="1:2" x14ac:dyDescent="0.25">
      <c r="A44" s="2">
        <v>45259</v>
      </c>
    </row>
    <row r="45" spans="1:2" x14ac:dyDescent="0.25">
      <c r="A45" s="2">
        <v>45266</v>
      </c>
    </row>
    <row r="46" spans="1:2" x14ac:dyDescent="0.25">
      <c r="A46" s="2">
        <v>45280</v>
      </c>
    </row>
    <row r="47" spans="1:2" x14ac:dyDescent="0.25">
      <c r="A47" s="2">
        <v>45287</v>
      </c>
    </row>
    <row r="48" spans="1:2" x14ac:dyDescent="0.25">
      <c r="A48" s="2">
        <v>45294</v>
      </c>
    </row>
    <row r="49" spans="1:1" x14ac:dyDescent="0.25">
      <c r="A49" s="2">
        <v>45308</v>
      </c>
    </row>
    <row r="50" spans="1:1" x14ac:dyDescent="0.25">
      <c r="A50" s="2">
        <v>45315</v>
      </c>
    </row>
    <row r="51" spans="1:1" x14ac:dyDescent="0.25">
      <c r="A51" s="2">
        <v>45329</v>
      </c>
    </row>
    <row r="52" spans="1:1" x14ac:dyDescent="0.25">
      <c r="A52" s="2">
        <v>45336</v>
      </c>
    </row>
    <row r="53" spans="1:1" x14ac:dyDescent="0.25">
      <c r="A53" s="2">
        <v>45343</v>
      </c>
    </row>
    <row r="54" spans="1:1" x14ac:dyDescent="0.25">
      <c r="A54" s="2">
        <v>45350</v>
      </c>
    </row>
    <row r="55" spans="1:1" x14ac:dyDescent="0.25">
      <c r="A55" s="2">
        <v>45357</v>
      </c>
    </row>
    <row r="56" spans="1:1" x14ac:dyDescent="0.25">
      <c r="A56" s="2">
        <v>45364</v>
      </c>
    </row>
    <row r="57" spans="1:1" x14ac:dyDescent="0.25">
      <c r="A57" s="2">
        <v>45385</v>
      </c>
    </row>
    <row r="58" spans="1:1" x14ac:dyDescent="0.25">
      <c r="A58" s="2">
        <v>45420</v>
      </c>
    </row>
    <row r="59" spans="1:1" x14ac:dyDescent="0.25">
      <c r="A59" s="2">
        <v>45427</v>
      </c>
    </row>
    <row r="60" spans="1:1" x14ac:dyDescent="0.25">
      <c r="A60" s="2">
        <v>45434</v>
      </c>
    </row>
    <row r="61" spans="1:1" x14ac:dyDescent="0.25">
      <c r="A61" s="2">
        <v>45441</v>
      </c>
    </row>
    <row r="62" spans="1:1" x14ac:dyDescent="0.25">
      <c r="A62" s="2">
        <v>45448</v>
      </c>
    </row>
    <row r="63" spans="1:1" x14ac:dyDescent="0.25">
      <c r="A63" s="2">
        <v>45462</v>
      </c>
    </row>
    <row r="64" spans="1:1" x14ac:dyDescent="0.25">
      <c r="A64" s="2">
        <v>45469</v>
      </c>
    </row>
    <row r="65" spans="1:1" x14ac:dyDescent="0.25">
      <c r="A65" s="2">
        <v>45476</v>
      </c>
    </row>
    <row r="66" spans="1:1" x14ac:dyDescent="0.25">
      <c r="A66" s="2">
        <v>45490</v>
      </c>
    </row>
    <row r="67" spans="1:1" x14ac:dyDescent="0.25">
      <c r="A67" s="2">
        <v>45497</v>
      </c>
    </row>
    <row r="68" spans="1:1" x14ac:dyDescent="0.25">
      <c r="A68" s="2">
        <v>45511</v>
      </c>
    </row>
    <row r="69" spans="1:1" x14ac:dyDescent="0.25">
      <c r="A69" s="2">
        <v>45525</v>
      </c>
    </row>
    <row r="70" spans="1:1" x14ac:dyDescent="0.25">
      <c r="A70" s="2">
        <v>45532</v>
      </c>
    </row>
    <row r="71" spans="1:1" x14ac:dyDescent="0.25">
      <c r="A71" s="2">
        <v>45539</v>
      </c>
    </row>
    <row r="72" spans="1:1" x14ac:dyDescent="0.25">
      <c r="A72" s="2">
        <v>45546</v>
      </c>
    </row>
    <row r="73" spans="1:1" x14ac:dyDescent="0.25">
      <c r="A73" s="2">
        <v>45567</v>
      </c>
    </row>
    <row r="74" spans="1:1" x14ac:dyDescent="0.25">
      <c r="A74" s="2">
        <v>45602</v>
      </c>
    </row>
    <row r="75" spans="1:1" x14ac:dyDescent="0.25">
      <c r="A75" s="2">
        <v>45609</v>
      </c>
    </row>
    <row r="76" spans="1:1" x14ac:dyDescent="0.25">
      <c r="A76" s="2">
        <v>45616</v>
      </c>
    </row>
    <row r="77" spans="1:1" x14ac:dyDescent="0.25">
      <c r="A77" s="2">
        <v>45623</v>
      </c>
    </row>
    <row r="78" spans="1:1" x14ac:dyDescent="0.25">
      <c r="A78" s="2">
        <v>45630</v>
      </c>
    </row>
    <row r="79" spans="1:1" x14ac:dyDescent="0.25">
      <c r="A79" s="2">
        <v>45644</v>
      </c>
    </row>
    <row r="80" spans="1:1" x14ac:dyDescent="0.25">
      <c r="A80" s="2">
        <v>45672</v>
      </c>
    </row>
    <row r="81" spans="1:1" x14ac:dyDescent="0.25">
      <c r="A81" s="2">
        <v>45679</v>
      </c>
    </row>
    <row r="82" spans="1:1" x14ac:dyDescent="0.25">
      <c r="A82" s="2">
        <v>45693</v>
      </c>
    </row>
    <row r="83" spans="1:1" x14ac:dyDescent="0.25">
      <c r="A83" s="2">
        <v>45707</v>
      </c>
    </row>
    <row r="84" spans="1:1" x14ac:dyDescent="0.25">
      <c r="A84" s="2">
        <v>45714</v>
      </c>
    </row>
    <row r="85" spans="1:1" x14ac:dyDescent="0.25">
      <c r="A85" s="2">
        <v>45784</v>
      </c>
    </row>
    <row r="86" spans="1:1" x14ac:dyDescent="0.25">
      <c r="A86" s="2">
        <v>45791</v>
      </c>
    </row>
    <row r="87" spans="1:1" x14ac:dyDescent="0.25">
      <c r="A87" s="2">
        <v>45798</v>
      </c>
    </row>
    <row r="88" spans="1:1" x14ac:dyDescent="0.25">
      <c r="A88" s="2">
        <v>45805</v>
      </c>
    </row>
    <row r="89" spans="1:1" x14ac:dyDescent="0.25">
      <c r="A89" s="2">
        <v>45826</v>
      </c>
    </row>
    <row r="90" spans="1:1" x14ac:dyDescent="0.25">
      <c r="A90" s="2">
        <v>45861</v>
      </c>
    </row>
    <row r="91" spans="1:1" x14ac:dyDescent="0.25">
      <c r="A91" s="2">
        <v>45875</v>
      </c>
    </row>
    <row r="92" spans="1:1" x14ac:dyDescent="0.25">
      <c r="A92" s="2">
        <v>45889</v>
      </c>
    </row>
    <row r="93" spans="1:1" x14ac:dyDescent="0.25">
      <c r="A93" s="2">
        <v>45966</v>
      </c>
    </row>
    <row r="94" spans="1:1" x14ac:dyDescent="0.25">
      <c r="A94" s="2">
        <v>45973</v>
      </c>
    </row>
    <row r="95" spans="1:1" x14ac:dyDescent="0.25">
      <c r="A95" s="2">
        <v>45987</v>
      </c>
    </row>
    <row r="96" spans="1:1" x14ac:dyDescent="0.25">
      <c r="A96" s="2">
        <v>46043</v>
      </c>
    </row>
    <row r="97" spans="1:1" x14ac:dyDescent="0.25">
      <c r="A97" s="2">
        <v>46071</v>
      </c>
    </row>
    <row r="98" spans="1:1" x14ac:dyDescent="0.25">
      <c r="A98" s="2">
        <v>46148</v>
      </c>
    </row>
    <row r="99" spans="1:1" x14ac:dyDescent="0.25">
      <c r="A99" s="2">
        <v>46155</v>
      </c>
    </row>
    <row r="100" spans="1:1" x14ac:dyDescent="0.25">
      <c r="A100" s="2">
        <v>46169</v>
      </c>
    </row>
    <row r="101" spans="1:1" x14ac:dyDescent="0.25">
      <c r="A101" s="2">
        <v>46225</v>
      </c>
    </row>
    <row r="102" spans="1:1" x14ac:dyDescent="0.25">
      <c r="A102" s="2">
        <v>46330</v>
      </c>
    </row>
    <row r="103" spans="1:1" x14ac:dyDescent="0.25">
      <c r="A103" s="2">
        <v>46351</v>
      </c>
    </row>
    <row r="104" spans="1:1" x14ac:dyDescent="0.25">
      <c r="A104" s="2">
        <v>46533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A7"/>
  <sheetViews>
    <sheetView zoomScale="80" zoomScaleNormal="80" workbookViewId="0">
      <selection activeCell="A7" sqref="A7"/>
    </sheetView>
  </sheetViews>
  <sheetFormatPr defaultRowHeight="15" x14ac:dyDescent="0.25"/>
  <sheetData>
    <row r="6" spans="1:1" ht="17.25" x14ac:dyDescent="0.3">
      <c r="A6" s="10" t="s">
        <v>75</v>
      </c>
    </row>
    <row r="7" spans="1:1" ht="17.25" x14ac:dyDescent="0.25">
      <c r="A7" s="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Bonds_Info</vt:lpstr>
      <vt:lpstr>Portfolio_UAH</vt:lpstr>
      <vt:lpstr>Portfolio_USD</vt:lpstr>
      <vt:lpstr>USD_UAH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Alena Tsvek</cp:lastModifiedBy>
  <dcterms:created xsi:type="dcterms:W3CDTF">2023-11-20T21:28:03Z</dcterms:created>
  <dcterms:modified xsi:type="dcterms:W3CDTF">2023-11-28T19:32:22Z</dcterms:modified>
</cp:coreProperties>
</file>