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8805"/>
  <workbookPr defaultThemeVersion="124226"/>
  <xr:revisionPtr revIDLastSave="0" documentId="7937B50CD8E959AB4C4B72457686B4BF0AA068A7" xr6:coauthVersionLast="26" xr6:coauthVersionMax="26" xr10:uidLastSave="{00000000-0000-0000-0000-000000000000}"/>
  <bookViews>
    <workbookView xWindow="390" yWindow="525" windowWidth="20775" windowHeight="9405" firstSheet="1" activeTab="1" xr2:uid="{00000000-000D-0000-FFFF-FFFF00000000}"/>
  </bookViews>
  <sheets>
    <sheet name="tábla" sheetId="1" r:id="rId1"/>
    <sheet name="szabályok" sheetId="2" r:id="rId2"/>
  </sheets>
  <definedNames>
    <definedName name="akiH">tábla!$AT$3:$AT$50</definedName>
    <definedName name="akik">tábla!$AZ$3:$AZ$51</definedName>
    <definedName name="akiV">tábla!$AU$3:$AU$50</definedName>
    <definedName name="csm">tábla!$AN$3:$AQ$50</definedName>
    <definedName name="eeh">tábla!$AR$3:$AR$50</definedName>
    <definedName name="eev">tábla!$AS$3:$AS$50</definedName>
    <definedName name="epontH">tábla!$AV$3:$AV$50</definedName>
    <definedName name="hazai">tábla!$D$3:$D$50</definedName>
    <definedName name="Hee">tábla!$AN$3:$AN$50</definedName>
    <definedName name="pontH">tábla!$J$3:$J$50</definedName>
    <definedName name="pontV">tábla!$K$3:$K$50</definedName>
    <definedName name="rankA">tábla!$T$2:$AC$6</definedName>
    <definedName name="rankB">tábla!$T$8:$AC$12</definedName>
    <definedName name="rankC">tábla!$T$14:$AC$18</definedName>
    <definedName name="rankD">tábla!$T$20:$AC$24</definedName>
    <definedName name="rankE">tábla!$T$26:$AC$30</definedName>
    <definedName name="rankF">tábla!$T$32:$AC$36</definedName>
    <definedName name="rankG">tábla!$T$38:$AC$42</definedName>
    <definedName name="rankH">tábla!$T$44:$AC$48</definedName>
    <definedName name="Vee">tábla!$AO$3:$AO$50</definedName>
    <definedName name="vendeg">tábla!$G$3:$G$50</definedName>
    <definedName name="vepontV">tábla!$AW$3:$AW$50</definedName>
  </definedNames>
  <calcPr calcId="171026" calcCompleted="0"/>
</workbook>
</file>

<file path=xl/calcChain.xml><?xml version="1.0" encoding="utf-8"?>
<calcChain xmlns="http://schemas.openxmlformats.org/spreadsheetml/2006/main">
  <c r="O72" i="1" l="1"/>
  <c r="AX50" i="1"/>
  <c r="AN50" i="1"/>
  <c r="AO50" i="1"/>
  <c r="AS50" i="1"/>
  <c r="AU50" i="1"/>
  <c r="AQ50" i="1"/>
  <c r="AP50" i="1"/>
  <c r="AM50" i="1"/>
  <c r="K50" i="1"/>
  <c r="J50" i="1"/>
  <c r="AX49" i="1"/>
  <c r="AQ49" i="1"/>
  <c r="AP49" i="1"/>
  <c r="AO49" i="1"/>
  <c r="AN49" i="1"/>
  <c r="AS49" i="1"/>
  <c r="AU49" i="1"/>
  <c r="AM49" i="1"/>
  <c r="K49" i="1"/>
  <c r="J49" i="1"/>
  <c r="AX48" i="1"/>
  <c r="AQ48" i="1"/>
  <c r="AP48" i="1"/>
  <c r="AO48" i="1"/>
  <c r="AN48" i="1"/>
  <c r="AM48" i="1"/>
  <c r="AA48" i="1"/>
  <c r="Z48" i="1"/>
  <c r="AB48" i="1"/>
  <c r="W48" i="1"/>
  <c r="K48" i="1"/>
  <c r="J48" i="1"/>
  <c r="AX47" i="1"/>
  <c r="AQ47" i="1"/>
  <c r="AP47" i="1"/>
  <c r="AO47" i="1"/>
  <c r="AN47" i="1"/>
  <c r="AM47" i="1"/>
  <c r="AA47" i="1"/>
  <c r="Z47" i="1"/>
  <c r="AB47" i="1"/>
  <c r="Z45" i="1"/>
  <c r="AA45" i="1"/>
  <c r="AB45" i="1"/>
  <c r="Z46" i="1"/>
  <c r="AA46" i="1"/>
  <c r="AB46" i="1"/>
  <c r="N47" i="1"/>
  <c r="Q47" i="1"/>
  <c r="W47" i="1"/>
  <c r="K47" i="1"/>
  <c r="J47" i="1"/>
  <c r="AX46" i="1"/>
  <c r="AQ46" i="1"/>
  <c r="AP46" i="1"/>
  <c r="AO46" i="1"/>
  <c r="AN46" i="1"/>
  <c r="AM46" i="1"/>
  <c r="W46" i="1"/>
  <c r="O46" i="1"/>
  <c r="R46" i="1"/>
  <c r="K46" i="1"/>
  <c r="J46" i="1"/>
  <c r="AX45" i="1"/>
  <c r="AQ45" i="1"/>
  <c r="AP45" i="1"/>
  <c r="AO45" i="1"/>
  <c r="AN45" i="1"/>
  <c r="AM45" i="1"/>
  <c r="O45" i="1"/>
  <c r="J17" i="1"/>
  <c r="J32" i="1"/>
  <c r="X45" i="1"/>
  <c r="W45" i="1"/>
  <c r="R45" i="1"/>
  <c r="K45" i="1"/>
  <c r="J45" i="1"/>
  <c r="AX44" i="1"/>
  <c r="AQ44" i="1"/>
  <c r="AP44" i="1"/>
  <c r="AO44" i="1"/>
  <c r="AN44" i="1"/>
  <c r="AS44" i="1"/>
  <c r="AU44" i="1"/>
  <c r="AM44" i="1"/>
  <c r="U44" i="1"/>
  <c r="K44" i="1"/>
  <c r="J44" i="1"/>
  <c r="AX43" i="1"/>
  <c r="AQ43" i="1"/>
  <c r="AP43" i="1"/>
  <c r="AO43" i="1"/>
  <c r="AN43" i="1"/>
  <c r="AM43" i="1"/>
  <c r="K43" i="1"/>
  <c r="J43" i="1"/>
  <c r="AX42" i="1"/>
  <c r="AQ42" i="1"/>
  <c r="AP42" i="1"/>
  <c r="AO42" i="1"/>
  <c r="AN42" i="1"/>
  <c r="AM42" i="1"/>
  <c r="Z42" i="1"/>
  <c r="AA42" i="1"/>
  <c r="AB42" i="1"/>
  <c r="W42" i="1"/>
  <c r="K42" i="1"/>
  <c r="J42" i="1"/>
  <c r="K7" i="1"/>
  <c r="K25" i="1"/>
  <c r="AC16" i="1"/>
  <c r="AX41" i="1"/>
  <c r="AQ41" i="1"/>
  <c r="AP41" i="1"/>
  <c r="AO41" i="1"/>
  <c r="AN41" i="1"/>
  <c r="AM41" i="1"/>
  <c r="AA41" i="1"/>
  <c r="Z41" i="1"/>
  <c r="Z39" i="1"/>
  <c r="Z40" i="1"/>
  <c r="O41" i="1"/>
  <c r="R41" i="1"/>
  <c r="W41" i="1"/>
  <c r="K41" i="1"/>
  <c r="J41" i="1"/>
  <c r="AX40" i="1"/>
  <c r="AQ40" i="1"/>
  <c r="AP40" i="1"/>
  <c r="AO40" i="1"/>
  <c r="AN40" i="1"/>
  <c r="AM40" i="1"/>
  <c r="AA40" i="1"/>
  <c r="AB40" i="1"/>
  <c r="W40" i="1"/>
  <c r="K40" i="1"/>
  <c r="J40" i="1"/>
  <c r="AX39" i="1"/>
  <c r="AQ39" i="1"/>
  <c r="AP39" i="1"/>
  <c r="AO39" i="1"/>
  <c r="AN39" i="1"/>
  <c r="AM39" i="1"/>
  <c r="AA39" i="1"/>
  <c r="AB39" i="1"/>
  <c r="W39" i="1"/>
  <c r="O39" i="1"/>
  <c r="R39" i="1"/>
  <c r="K39" i="1"/>
  <c r="J8" i="1"/>
  <c r="J24" i="1"/>
  <c r="X21" i="1"/>
  <c r="J39" i="1"/>
  <c r="AX38" i="1"/>
  <c r="AQ38" i="1"/>
  <c r="AP38" i="1"/>
  <c r="AO38" i="1"/>
  <c r="AN38" i="1"/>
  <c r="AM38" i="1"/>
  <c r="U38" i="1"/>
  <c r="K38" i="1"/>
  <c r="J38" i="1"/>
  <c r="AX37" i="1"/>
  <c r="AQ37" i="1"/>
  <c r="AP37" i="1"/>
  <c r="AO37" i="1"/>
  <c r="AN37" i="1"/>
  <c r="AM37" i="1"/>
  <c r="K37" i="1"/>
  <c r="J37" i="1"/>
  <c r="AX36" i="1"/>
  <c r="AQ36" i="1"/>
  <c r="AP36" i="1"/>
  <c r="AO36" i="1"/>
  <c r="AN36" i="1"/>
  <c r="AM36" i="1"/>
  <c r="Z36" i="1"/>
  <c r="AA36" i="1"/>
  <c r="AB36" i="1"/>
  <c r="J31" i="1"/>
  <c r="K15" i="1"/>
  <c r="Y36" i="1"/>
  <c r="W36" i="1"/>
  <c r="Z33" i="1"/>
  <c r="Z34" i="1"/>
  <c r="Z35" i="1"/>
  <c r="O36" i="1"/>
  <c r="R36" i="1"/>
  <c r="K36" i="1"/>
  <c r="J36" i="1"/>
  <c r="AX35" i="1"/>
  <c r="AQ35" i="1"/>
  <c r="AP35" i="1"/>
  <c r="AO35" i="1"/>
  <c r="AN35" i="1"/>
  <c r="AM35" i="1"/>
  <c r="AA35" i="1"/>
  <c r="AB35" i="1"/>
  <c r="O35" i="1"/>
  <c r="R35" i="1"/>
  <c r="W35" i="1"/>
  <c r="K35" i="1"/>
  <c r="J35" i="1"/>
  <c r="AX34" i="1"/>
  <c r="AQ34" i="1"/>
  <c r="AP34" i="1"/>
  <c r="AO34" i="1"/>
  <c r="AN34" i="1"/>
  <c r="AM34" i="1"/>
  <c r="AA34" i="1"/>
  <c r="AB34" i="1"/>
  <c r="AA33" i="1"/>
  <c r="AB33" i="1"/>
  <c r="N34" i="1"/>
  <c r="Q34" i="1"/>
  <c r="O34" i="1"/>
  <c r="R34" i="1"/>
  <c r="W34" i="1"/>
  <c r="K34" i="1"/>
  <c r="J34" i="1"/>
  <c r="K16" i="1"/>
  <c r="AC42" i="1"/>
  <c r="AX33" i="1"/>
  <c r="AQ33" i="1"/>
  <c r="AP33" i="1"/>
  <c r="AO33" i="1"/>
  <c r="AN33" i="1"/>
  <c r="AM33" i="1"/>
  <c r="J13" i="1"/>
  <c r="J29" i="1"/>
  <c r="Y33" i="1"/>
  <c r="W33" i="1"/>
  <c r="O33" i="1"/>
  <c r="R33" i="1"/>
  <c r="K33" i="1"/>
  <c r="K17" i="1"/>
  <c r="X46" i="1"/>
  <c r="J33" i="1"/>
  <c r="K19" i="1"/>
  <c r="AC48" i="1"/>
  <c r="AX32" i="1"/>
  <c r="AQ32" i="1"/>
  <c r="AP32" i="1"/>
  <c r="AO32" i="1"/>
  <c r="AN32" i="1"/>
  <c r="AM32" i="1"/>
  <c r="U32" i="1"/>
  <c r="K32" i="1"/>
  <c r="AX31" i="1"/>
  <c r="AQ31" i="1"/>
  <c r="AP31" i="1"/>
  <c r="AO31" i="1"/>
  <c r="AN31" i="1"/>
  <c r="AS31" i="1"/>
  <c r="AU31" i="1"/>
  <c r="AM31" i="1"/>
  <c r="K31" i="1"/>
  <c r="AC36" i="1"/>
  <c r="AX30" i="1"/>
  <c r="AQ30" i="1"/>
  <c r="AP30" i="1"/>
  <c r="AO30" i="1"/>
  <c r="AN30" i="1"/>
  <c r="AM30" i="1"/>
  <c r="AA30" i="1"/>
  <c r="Z30" i="1"/>
  <c r="W30" i="1"/>
  <c r="K30" i="1"/>
  <c r="J30" i="1"/>
  <c r="AX29" i="1"/>
  <c r="AQ29" i="1"/>
  <c r="AP29" i="1"/>
  <c r="AO29" i="1"/>
  <c r="AN29" i="1"/>
  <c r="AM29" i="1"/>
  <c r="AA29" i="1"/>
  <c r="Z29" i="1"/>
  <c r="AB29" i="1"/>
  <c r="W29" i="1"/>
  <c r="K29" i="1"/>
  <c r="J15" i="1"/>
  <c r="X35" i="1"/>
  <c r="AX28" i="1"/>
  <c r="AQ28" i="1"/>
  <c r="AP28" i="1"/>
  <c r="AO28" i="1"/>
  <c r="AN28" i="1"/>
  <c r="AM28" i="1"/>
  <c r="AA28" i="1"/>
  <c r="Z28" i="1"/>
  <c r="K11" i="1"/>
  <c r="K28" i="1"/>
  <c r="X28" i="1"/>
  <c r="W28" i="1"/>
  <c r="Z27" i="1"/>
  <c r="O28" i="1"/>
  <c r="R28" i="1"/>
  <c r="J28" i="1"/>
  <c r="AX27" i="1"/>
  <c r="AQ27" i="1"/>
  <c r="AP27" i="1"/>
  <c r="AO27" i="1"/>
  <c r="AN27" i="1"/>
  <c r="AM27" i="1"/>
  <c r="AA27" i="1"/>
  <c r="W27" i="1"/>
  <c r="K27" i="1"/>
  <c r="J27" i="1"/>
  <c r="AX26" i="1"/>
  <c r="AQ26" i="1"/>
  <c r="AP26" i="1"/>
  <c r="AO26" i="1"/>
  <c r="AN26" i="1"/>
  <c r="AM26" i="1"/>
  <c r="U26" i="1"/>
  <c r="K26" i="1"/>
  <c r="K8" i="1"/>
  <c r="X22" i="1"/>
  <c r="J26" i="1"/>
  <c r="AX25" i="1"/>
  <c r="AQ25" i="1"/>
  <c r="AP25" i="1"/>
  <c r="AO25" i="1"/>
  <c r="AN25" i="1"/>
  <c r="AM25" i="1"/>
  <c r="J25" i="1"/>
  <c r="K10" i="1"/>
  <c r="X18" i="1"/>
  <c r="AX24" i="1"/>
  <c r="AQ24" i="1"/>
  <c r="AP24" i="1"/>
  <c r="AO24" i="1"/>
  <c r="AN24" i="1"/>
  <c r="AM24" i="1"/>
  <c r="AA24" i="1"/>
  <c r="Z24" i="1"/>
  <c r="Z21" i="1"/>
  <c r="Z22" i="1"/>
  <c r="Z23" i="1"/>
  <c r="O24" i="1"/>
  <c r="R24" i="1"/>
  <c r="W24" i="1"/>
  <c r="K24" i="1"/>
  <c r="AX23" i="1"/>
  <c r="AQ23" i="1"/>
  <c r="AP23" i="1"/>
  <c r="AO23" i="1"/>
  <c r="AN23" i="1"/>
  <c r="AM23" i="1"/>
  <c r="J9" i="1"/>
  <c r="AC23" i="1"/>
  <c r="AA23" i="1"/>
  <c r="W23" i="1"/>
  <c r="K23" i="1"/>
  <c r="J23" i="1"/>
  <c r="J7" i="1"/>
  <c r="X15" i="1"/>
  <c r="AX22" i="1"/>
  <c r="AQ22" i="1"/>
  <c r="AP22" i="1"/>
  <c r="AO22" i="1"/>
  <c r="AN22" i="1"/>
  <c r="AM22" i="1"/>
  <c r="AC22" i="1"/>
  <c r="AA22" i="1"/>
  <c r="AB22" i="1"/>
  <c r="Y22" i="1"/>
  <c r="W22" i="1"/>
  <c r="K22" i="1"/>
  <c r="J22" i="1"/>
  <c r="AX21" i="1"/>
  <c r="AQ21" i="1"/>
  <c r="AP21" i="1"/>
  <c r="AO21" i="1"/>
  <c r="AN21" i="1"/>
  <c r="AM21" i="1"/>
  <c r="AA21" i="1"/>
  <c r="AB21" i="1"/>
  <c r="W21" i="1"/>
  <c r="K21" i="1"/>
  <c r="J21" i="1"/>
  <c r="AX20" i="1"/>
  <c r="AQ20" i="1"/>
  <c r="AP20" i="1"/>
  <c r="AO20" i="1"/>
  <c r="AN20" i="1"/>
  <c r="AS20" i="1"/>
  <c r="AU20" i="1"/>
  <c r="AM20" i="1"/>
  <c r="U20" i="1"/>
  <c r="K20" i="1"/>
  <c r="J20" i="1"/>
  <c r="AX19" i="1"/>
  <c r="AQ19" i="1"/>
  <c r="AP19" i="1"/>
  <c r="AO19" i="1"/>
  <c r="AN19" i="1"/>
  <c r="AM19" i="1"/>
  <c r="J19" i="1"/>
  <c r="AX18" i="1"/>
  <c r="AQ18" i="1"/>
  <c r="AP18" i="1"/>
  <c r="AO18" i="1"/>
  <c r="AN18" i="1"/>
  <c r="AM18" i="1"/>
  <c r="Z18" i="1"/>
  <c r="AA18" i="1"/>
  <c r="AB18" i="1"/>
  <c r="Z15" i="1"/>
  <c r="Z16" i="1"/>
  <c r="Z17" i="1"/>
  <c r="O18" i="1"/>
  <c r="W18" i="1"/>
  <c r="R18" i="1"/>
  <c r="K18" i="1"/>
  <c r="J18" i="1"/>
  <c r="AX17" i="1"/>
  <c r="AQ17" i="1"/>
  <c r="AP17" i="1"/>
  <c r="AO17" i="1"/>
  <c r="AN17" i="1"/>
  <c r="AM17" i="1"/>
  <c r="J10" i="1"/>
  <c r="AC17" i="1"/>
  <c r="AA17" i="1"/>
  <c r="Y17" i="1"/>
  <c r="W17" i="1"/>
  <c r="AC46" i="1"/>
  <c r="Y45" i="1"/>
  <c r="AX16" i="1"/>
  <c r="AQ16" i="1"/>
  <c r="AP16" i="1"/>
  <c r="AO16" i="1"/>
  <c r="AN16" i="1"/>
  <c r="AM16" i="1"/>
  <c r="AA16" i="1"/>
  <c r="W16" i="1"/>
  <c r="X42" i="1"/>
  <c r="J16" i="1"/>
  <c r="AX15" i="1"/>
  <c r="AQ15" i="1"/>
  <c r="AP15" i="1"/>
  <c r="AO15" i="1"/>
  <c r="AN15" i="1"/>
  <c r="AM15" i="1"/>
  <c r="AA15" i="1"/>
  <c r="AB15" i="1"/>
  <c r="Y15" i="1"/>
  <c r="W15" i="1"/>
  <c r="O15" i="1"/>
  <c r="R15" i="1"/>
  <c r="AC35" i="1"/>
  <c r="AX14" i="1"/>
  <c r="AQ14" i="1"/>
  <c r="AP14" i="1"/>
  <c r="AO14" i="1"/>
  <c r="AN14" i="1"/>
  <c r="AM14" i="1"/>
  <c r="U14" i="1"/>
  <c r="K14" i="1"/>
  <c r="Y40" i="1"/>
  <c r="J14" i="1"/>
  <c r="AC39" i="1"/>
  <c r="AX13" i="1"/>
  <c r="AN13" i="1"/>
  <c r="AO13" i="1"/>
  <c r="AS13" i="1"/>
  <c r="AU13" i="1"/>
  <c r="AQ13" i="1"/>
  <c r="AP13" i="1"/>
  <c r="AM13" i="1"/>
  <c r="K13" i="1"/>
  <c r="AC34" i="1"/>
  <c r="AC33" i="1"/>
  <c r="M33" i="1"/>
  <c r="P33" i="1"/>
  <c r="AX12" i="1"/>
  <c r="AQ12" i="1"/>
  <c r="AP12" i="1"/>
  <c r="AO12" i="1"/>
  <c r="AN12" i="1"/>
  <c r="AM12" i="1"/>
  <c r="AA12" i="1"/>
  <c r="Z12" i="1"/>
  <c r="AB12" i="1"/>
  <c r="W12" i="1"/>
  <c r="Z9" i="1"/>
  <c r="Z10" i="1"/>
  <c r="Z11" i="1"/>
  <c r="O12" i="1"/>
  <c r="R12" i="1"/>
  <c r="K12" i="1"/>
  <c r="J12" i="1"/>
  <c r="AC29" i="1"/>
  <c r="AX11" i="1"/>
  <c r="AQ11" i="1"/>
  <c r="AP11" i="1"/>
  <c r="AO11" i="1"/>
  <c r="AN11" i="1"/>
  <c r="AM11" i="1"/>
  <c r="AA11" i="1"/>
  <c r="AB11" i="1"/>
  <c r="W11" i="1"/>
  <c r="J11" i="1"/>
  <c r="AX10" i="1"/>
  <c r="AQ10" i="1"/>
  <c r="AP10" i="1"/>
  <c r="AO10" i="1"/>
  <c r="AN10" i="1"/>
  <c r="AM10" i="1"/>
  <c r="AA10" i="1"/>
  <c r="AB10" i="1"/>
  <c r="W10" i="1"/>
  <c r="X17" i="1"/>
  <c r="AX9" i="1"/>
  <c r="AQ9" i="1"/>
  <c r="AP9" i="1"/>
  <c r="AO9" i="1"/>
  <c r="AN9" i="1"/>
  <c r="AM9" i="1"/>
  <c r="AA9" i="1"/>
  <c r="O11" i="1"/>
  <c r="R11" i="1"/>
  <c r="K6" i="1"/>
  <c r="X9" i="1"/>
  <c r="W9" i="1"/>
  <c r="K9" i="1"/>
  <c r="AC24" i="1"/>
  <c r="AC21" i="1"/>
  <c r="M24" i="1"/>
  <c r="P24" i="1"/>
  <c r="X23" i="1"/>
  <c r="AX8" i="1"/>
  <c r="AN8" i="1"/>
  <c r="AO8" i="1"/>
  <c r="AS8" i="1"/>
  <c r="AU8" i="1"/>
  <c r="AQ8" i="1"/>
  <c r="AP8" i="1"/>
  <c r="AM8" i="1"/>
  <c r="U8" i="1"/>
  <c r="AX7" i="1"/>
  <c r="AQ7" i="1"/>
  <c r="AP7" i="1"/>
  <c r="AO7" i="1"/>
  <c r="AN7" i="1"/>
  <c r="AM7" i="1"/>
  <c r="AC15" i="1"/>
  <c r="AX6" i="1"/>
  <c r="AQ6" i="1"/>
  <c r="AP6" i="1"/>
  <c r="AO6" i="1"/>
  <c r="AN6" i="1"/>
  <c r="AM6" i="1"/>
  <c r="Z6" i="1"/>
  <c r="AA6" i="1"/>
  <c r="AB6" i="1"/>
  <c r="K3" i="1"/>
  <c r="Y6" i="1"/>
  <c r="W6" i="1"/>
  <c r="Y9" i="1"/>
  <c r="J6" i="1"/>
  <c r="AX5" i="1"/>
  <c r="AQ5" i="1"/>
  <c r="AP5" i="1"/>
  <c r="AO5" i="1"/>
  <c r="AN5" i="1"/>
  <c r="AM5" i="1"/>
  <c r="J4" i="1"/>
  <c r="AC5" i="1"/>
  <c r="AA5" i="1"/>
  <c r="Z5" i="1"/>
  <c r="AB5" i="1"/>
  <c r="Y5" i="1"/>
  <c r="X5" i="1"/>
  <c r="W5" i="1"/>
  <c r="K5" i="1"/>
  <c r="Y10" i="1"/>
  <c r="J5" i="1"/>
  <c r="AX4" i="1"/>
  <c r="AQ4" i="1"/>
  <c r="AP4" i="1"/>
  <c r="AO4" i="1"/>
  <c r="AN4" i="1"/>
  <c r="AM4" i="1"/>
  <c r="AA4" i="1"/>
  <c r="Z4" i="1"/>
  <c r="Z3" i="1"/>
  <c r="O4" i="1"/>
  <c r="J3" i="1"/>
  <c r="Y4" i="1"/>
  <c r="W4" i="1"/>
  <c r="R4" i="1"/>
  <c r="K4" i="1"/>
  <c r="AX3" i="1"/>
  <c r="AQ3" i="1"/>
  <c r="AP3" i="1"/>
  <c r="AO3" i="1"/>
  <c r="AN3" i="1"/>
  <c r="AM3" i="1"/>
  <c r="AA3" i="1"/>
  <c r="W3" i="1"/>
  <c r="O6" i="1"/>
  <c r="R6" i="1"/>
  <c r="AB28" i="1"/>
  <c r="N35" i="1"/>
  <c r="Q35" i="1"/>
  <c r="M35" i="1"/>
  <c r="P35" i="1"/>
  <c r="S35" i="1"/>
  <c r="AC41" i="1"/>
  <c r="Y41" i="1"/>
  <c r="X41" i="1"/>
  <c r="AC27" i="1"/>
  <c r="Y27" i="1"/>
  <c r="X27" i="1"/>
  <c r="Y12" i="1"/>
  <c r="X12" i="1"/>
  <c r="N33" i="1"/>
  <c r="Q33" i="1"/>
  <c r="S33" i="1"/>
  <c r="AC28" i="1"/>
  <c r="Y28" i="1"/>
  <c r="BE48" i="1"/>
  <c r="BE30" i="1"/>
  <c r="BE42" i="1"/>
  <c r="BE6" i="1"/>
  <c r="BE24" i="1"/>
  <c r="BE36" i="1"/>
  <c r="BE18" i="1"/>
  <c r="AB41" i="1"/>
  <c r="N42" i="1"/>
  <c r="Q42" i="1"/>
  <c r="AB27" i="1"/>
  <c r="AB30" i="1"/>
  <c r="N27" i="1"/>
  <c r="Q27" i="1"/>
  <c r="AC30" i="1"/>
  <c r="M30" i="1"/>
  <c r="P30" i="1"/>
  <c r="X30" i="1"/>
  <c r="O10" i="1"/>
  <c r="R10" i="1"/>
  <c r="O9" i="1"/>
  <c r="R9" i="1"/>
  <c r="AC12" i="1"/>
  <c r="Y24" i="1"/>
  <c r="N39" i="1"/>
  <c r="Q39" i="1"/>
  <c r="N46" i="1"/>
  <c r="Q46" i="1"/>
  <c r="M36" i="1"/>
  <c r="P36" i="1"/>
  <c r="N36" i="1"/>
  <c r="Q36" i="1"/>
  <c r="S36" i="1"/>
  <c r="Y30" i="1"/>
  <c r="AC3" i="1"/>
  <c r="AC4" i="1"/>
  <c r="AC6" i="1"/>
  <c r="M3" i="1"/>
  <c r="P3" i="1"/>
  <c r="Y3" i="1"/>
  <c r="X3" i="1"/>
  <c r="O30" i="1"/>
  <c r="R30" i="1"/>
  <c r="M29" i="1"/>
  <c r="P29" i="1"/>
  <c r="AS7" i="1"/>
  <c r="AU7" i="1"/>
  <c r="AC11" i="1"/>
  <c r="Y11" i="1"/>
  <c r="X11" i="1"/>
  <c r="AB17" i="1"/>
  <c r="O17" i="1"/>
  <c r="R17" i="1"/>
  <c r="AB9" i="1"/>
  <c r="N11" i="1"/>
  <c r="Q11" i="1"/>
  <c r="X4" i="1"/>
  <c r="M21" i="1"/>
  <c r="P21" i="1"/>
  <c r="Y39" i="1"/>
  <c r="X39" i="1"/>
  <c r="O23" i="1"/>
  <c r="R23" i="1"/>
  <c r="AB23" i="1"/>
  <c r="AB24" i="1"/>
  <c r="N23" i="1"/>
  <c r="Q23" i="1"/>
  <c r="N48" i="1"/>
  <c r="Q48" i="1"/>
  <c r="O5" i="1"/>
  <c r="R5" i="1"/>
  <c r="N9" i="1"/>
  <c r="Q9" i="1"/>
  <c r="Y18" i="1"/>
  <c r="AC18" i="1"/>
  <c r="N10" i="1"/>
  <c r="Q10" i="1"/>
  <c r="X6" i="1"/>
  <c r="M23" i="1"/>
  <c r="P23" i="1"/>
  <c r="M34" i="1"/>
  <c r="P34" i="1"/>
  <c r="S34" i="1"/>
  <c r="AB4" i="1"/>
  <c r="AB3" i="1"/>
  <c r="N4" i="1"/>
  <c r="Q4" i="1"/>
  <c r="AC9" i="1"/>
  <c r="AC10" i="1"/>
  <c r="M9" i="1"/>
  <c r="P9" i="1"/>
  <c r="S9" i="1"/>
  <c r="O21" i="1"/>
  <c r="R21" i="1"/>
  <c r="O22" i="1"/>
  <c r="R22" i="1"/>
  <c r="AS32" i="1"/>
  <c r="AU32" i="1"/>
  <c r="AS25" i="1"/>
  <c r="AU25" i="1"/>
  <c r="O16" i="1"/>
  <c r="R16" i="1"/>
  <c r="M22" i="1"/>
  <c r="P22" i="1"/>
  <c r="AS14" i="1"/>
  <c r="AU14" i="1"/>
  <c r="AC47" i="1"/>
  <c r="Y47" i="1"/>
  <c r="X47" i="1"/>
  <c r="N21" i="1"/>
  <c r="Q21" i="1"/>
  <c r="O3" i="1"/>
  <c r="R3" i="1"/>
  <c r="BE12" i="1"/>
  <c r="N45" i="1"/>
  <c r="Q45" i="1"/>
  <c r="AS19" i="1"/>
  <c r="AU19" i="1"/>
  <c r="Y23" i="1"/>
  <c r="AS26" i="1"/>
  <c r="AU26" i="1"/>
  <c r="O29" i="1"/>
  <c r="R29" i="1"/>
  <c r="X36" i="1"/>
  <c r="AC40" i="1"/>
  <c r="M40" i="1"/>
  <c r="P40" i="1"/>
  <c r="AC45" i="1"/>
  <c r="M45" i="1"/>
  <c r="P45" i="1"/>
  <c r="S45" i="1"/>
  <c r="O42" i="1"/>
  <c r="R42" i="1"/>
  <c r="X33" i="1"/>
  <c r="AS37" i="1"/>
  <c r="AU37" i="1"/>
  <c r="O47" i="1"/>
  <c r="R47" i="1"/>
  <c r="Y46" i="1"/>
  <c r="X24" i="1"/>
  <c r="N41" i="1"/>
  <c r="Q41" i="1"/>
  <c r="X16" i="1"/>
  <c r="Y16" i="1"/>
  <c r="X29" i="1"/>
  <c r="Y29" i="1"/>
  <c r="Y21" i="1"/>
  <c r="O27" i="1"/>
  <c r="R27" i="1"/>
  <c r="X34" i="1"/>
  <c r="Y42" i="1"/>
  <c r="O48" i="1"/>
  <c r="R48" i="1"/>
  <c r="AB16" i="1"/>
  <c r="N18" i="1"/>
  <c r="Q18" i="1"/>
  <c r="Y34" i="1"/>
  <c r="O40" i="1"/>
  <c r="R40" i="1"/>
  <c r="AS43" i="1"/>
  <c r="AU43" i="1"/>
  <c r="Y35" i="1"/>
  <c r="AS38" i="1"/>
  <c r="AU38" i="1"/>
  <c r="X48" i="1"/>
  <c r="X40" i="1"/>
  <c r="Y48" i="1"/>
  <c r="X10" i="1"/>
  <c r="T33" i="1"/>
  <c r="M10" i="1"/>
  <c r="P10" i="1"/>
  <c r="S10" i="1"/>
  <c r="N30" i="1"/>
  <c r="Q30" i="1"/>
  <c r="S30" i="1"/>
  <c r="M27" i="1"/>
  <c r="P27" i="1"/>
  <c r="S27" i="1"/>
  <c r="M4" i="1"/>
  <c r="P4" i="1"/>
  <c r="S4" i="1"/>
  <c r="M47" i="1"/>
  <c r="P47" i="1"/>
  <c r="S47" i="1"/>
  <c r="N29" i="1"/>
  <c r="Q29" i="1"/>
  <c r="S29" i="1"/>
  <c r="M5" i="1"/>
  <c r="P5" i="1"/>
  <c r="N5" i="1"/>
  <c r="Q5" i="1"/>
  <c r="S5" i="1"/>
  <c r="M41" i="1"/>
  <c r="P41" i="1"/>
  <c r="S41" i="1"/>
  <c r="N24" i="1"/>
  <c r="Q24" i="1"/>
  <c r="S24" i="1"/>
  <c r="S23" i="1"/>
  <c r="N17" i="1"/>
  <c r="Q17" i="1"/>
  <c r="T35" i="1"/>
  <c r="N16" i="1"/>
  <c r="Q16" i="1"/>
  <c r="N15" i="1"/>
  <c r="Q15" i="1"/>
  <c r="T34" i="1"/>
  <c r="T36" i="1"/>
  <c r="M48" i="1"/>
  <c r="P48" i="1"/>
  <c r="S48" i="1"/>
  <c r="N28" i="1"/>
  <c r="Q28" i="1"/>
  <c r="M18" i="1"/>
  <c r="P18" i="1"/>
  <c r="S18" i="1"/>
  <c r="M16" i="1"/>
  <c r="P16" i="1"/>
  <c r="M6" i="1"/>
  <c r="P6" i="1"/>
  <c r="M28" i="1"/>
  <c r="P28" i="1"/>
  <c r="S28" i="1"/>
  <c r="N6" i="1"/>
  <c r="Q6" i="1"/>
  <c r="N3" i="1"/>
  <c r="Q3" i="1"/>
  <c r="S3" i="1"/>
  <c r="M17" i="1"/>
  <c r="P17" i="1"/>
  <c r="S17" i="1"/>
  <c r="S21" i="1"/>
  <c r="M11" i="1"/>
  <c r="P11" i="1"/>
  <c r="S11" i="1"/>
  <c r="M12" i="1"/>
  <c r="P12" i="1"/>
  <c r="N12" i="1"/>
  <c r="Q12" i="1"/>
  <c r="S12" i="1"/>
  <c r="T9" i="1"/>
  <c r="M46" i="1"/>
  <c r="P46" i="1"/>
  <c r="S46" i="1"/>
  <c r="M15" i="1"/>
  <c r="P15" i="1"/>
  <c r="N22" i="1"/>
  <c r="Q22" i="1"/>
  <c r="N40" i="1"/>
  <c r="Q40" i="1"/>
  <c r="S40" i="1"/>
  <c r="M42" i="1"/>
  <c r="P42" i="1"/>
  <c r="S42" i="1"/>
  <c r="S22" i="1"/>
  <c r="M39" i="1"/>
  <c r="P39" i="1"/>
  <c r="S39" i="1"/>
  <c r="T40" i="1"/>
  <c r="T30" i="1"/>
  <c r="T29" i="1"/>
  <c r="T47" i="1"/>
  <c r="T46" i="1"/>
  <c r="T24" i="1"/>
  <c r="T48" i="1"/>
  <c r="T45" i="1"/>
  <c r="T21" i="1"/>
  <c r="T41" i="1"/>
  <c r="T12" i="1"/>
  <c r="T28" i="1"/>
  <c r="T39" i="1"/>
  <c r="T22" i="1"/>
  <c r="T27" i="1"/>
  <c r="BB35" i="1"/>
  <c r="AZ35" i="1"/>
  <c r="AS35" i="1"/>
  <c r="AU35" i="1"/>
  <c r="S6" i="1"/>
  <c r="BB34" i="1"/>
  <c r="AZ34" i="1"/>
  <c r="AS34" i="1"/>
  <c r="AU34" i="1"/>
  <c r="T23" i="1"/>
  <c r="S16" i="1"/>
  <c r="BB36" i="1"/>
  <c r="AZ36" i="1"/>
  <c r="AS36" i="1"/>
  <c r="AU36" i="1"/>
  <c r="T10" i="1"/>
  <c r="T11" i="1"/>
  <c r="BB9" i="1"/>
  <c r="T42" i="1"/>
  <c r="BB33" i="1"/>
  <c r="AZ33" i="1"/>
  <c r="AS33" i="1"/>
  <c r="AU33" i="1"/>
  <c r="S15" i="1"/>
  <c r="T16" i="1"/>
  <c r="BB24" i="1"/>
  <c r="AZ24" i="1"/>
  <c r="AS24" i="1"/>
  <c r="AU24" i="1"/>
  <c r="AZ45" i="1"/>
  <c r="AS45" i="1"/>
  <c r="AU45" i="1"/>
  <c r="BB45" i="1"/>
  <c r="BB48" i="1"/>
  <c r="AZ48" i="1"/>
  <c r="AS48" i="1"/>
  <c r="AU48" i="1"/>
  <c r="T17" i="1"/>
  <c r="T6" i="1"/>
  <c r="T5" i="1"/>
  <c r="T15" i="1"/>
  <c r="T3" i="1"/>
  <c r="BB23" i="1"/>
  <c r="AZ23" i="1"/>
  <c r="AS23" i="1"/>
  <c r="AU23" i="1"/>
  <c r="BB46" i="1"/>
  <c r="AZ46" i="1"/>
  <c r="AS46" i="1"/>
  <c r="AU46" i="1"/>
  <c r="BB22" i="1"/>
  <c r="AZ22" i="1"/>
  <c r="AS22" i="1"/>
  <c r="AU22" i="1"/>
  <c r="AZ28" i="1"/>
  <c r="AS28" i="1"/>
  <c r="AU28" i="1"/>
  <c r="BB28" i="1"/>
  <c r="AZ9" i="1"/>
  <c r="AS9" i="1"/>
  <c r="AU9" i="1"/>
  <c r="AZ27" i="1"/>
  <c r="AS27" i="1"/>
  <c r="AU27" i="1"/>
  <c r="BB27" i="1"/>
  <c r="BB47" i="1"/>
  <c r="AZ47" i="1"/>
  <c r="AS47" i="1"/>
  <c r="AU47" i="1"/>
  <c r="T4" i="1"/>
  <c r="BB39" i="1"/>
  <c r="AZ39" i="1"/>
  <c r="BB29" i="1"/>
  <c r="AZ29" i="1"/>
  <c r="AS29" i="1"/>
  <c r="AU29" i="1"/>
  <c r="AZ12" i="1"/>
  <c r="AS12" i="1"/>
  <c r="AU12" i="1"/>
  <c r="BB12" i="1"/>
  <c r="AZ10" i="1"/>
  <c r="AS10" i="1"/>
  <c r="AU10" i="1"/>
  <c r="BB10" i="1"/>
  <c r="BB30" i="1"/>
  <c r="AZ30" i="1"/>
  <c r="AS30" i="1"/>
  <c r="AU30" i="1"/>
  <c r="BB11" i="1"/>
  <c r="AZ11" i="1"/>
  <c r="AS11" i="1"/>
  <c r="AU11" i="1"/>
  <c r="BB42" i="1"/>
  <c r="AZ42" i="1"/>
  <c r="AS42" i="1"/>
  <c r="AU42" i="1"/>
  <c r="T18" i="1"/>
  <c r="BB41" i="1"/>
  <c r="AZ41" i="1"/>
  <c r="AS41" i="1"/>
  <c r="AU41" i="1"/>
  <c r="BB40" i="1"/>
  <c r="AZ40" i="1"/>
  <c r="AS40" i="1"/>
  <c r="AU40" i="1"/>
  <c r="BB21" i="1"/>
  <c r="AZ21" i="1"/>
  <c r="AS21" i="1"/>
  <c r="AU21" i="1"/>
  <c r="BB5" i="1"/>
  <c r="AZ5" i="1"/>
  <c r="AS5" i="1"/>
  <c r="AU5" i="1"/>
  <c r="AZ18" i="1"/>
  <c r="AS18" i="1"/>
  <c r="AU18" i="1"/>
  <c r="BB18" i="1"/>
  <c r="BB6" i="1"/>
  <c r="AZ6" i="1"/>
  <c r="AS6" i="1"/>
  <c r="AU6" i="1"/>
  <c r="AR46" i="1"/>
  <c r="AT46" i="1"/>
  <c r="BF28" i="1"/>
  <c r="BD28" i="1"/>
  <c r="BI28" i="1"/>
  <c r="AR8" i="1"/>
  <c r="AT8" i="1"/>
  <c r="AR24" i="1"/>
  <c r="AT24" i="1"/>
  <c r="AS39" i="1"/>
  <c r="AU39" i="1"/>
  <c r="BF21" i="1"/>
  <c r="BD21" i="1"/>
  <c r="BI21" i="1"/>
  <c r="BB15" i="1"/>
  <c r="AZ15" i="1"/>
  <c r="AS15" i="1"/>
  <c r="AU15" i="1"/>
  <c r="BB16" i="1"/>
  <c r="AZ16" i="1"/>
  <c r="AS16" i="1"/>
  <c r="AU16" i="1"/>
  <c r="AR14" i="1"/>
  <c r="AR30" i="1"/>
  <c r="BD39" i="1"/>
  <c r="BI39" i="1"/>
  <c r="AR6" i="1"/>
  <c r="AT6" i="1"/>
  <c r="BF12" i="1"/>
  <c r="BJ12" i="1"/>
  <c r="BE11" i="1"/>
  <c r="BD12" i="1"/>
  <c r="BI12" i="1"/>
  <c r="BB4" i="1"/>
  <c r="AZ4" i="1"/>
  <c r="AS4" i="1"/>
  <c r="AU4" i="1"/>
  <c r="AR12" i="1"/>
  <c r="AT12" i="1"/>
  <c r="BF29" i="1"/>
  <c r="BD29" i="1"/>
  <c r="BI29" i="1"/>
  <c r="BE28" i="1"/>
  <c r="BJ28" i="1"/>
  <c r="BB3" i="1"/>
  <c r="AZ3" i="1"/>
  <c r="BB17" i="1"/>
  <c r="AZ17" i="1"/>
  <c r="AS17" i="1"/>
  <c r="AU17" i="1"/>
  <c r="BE27" i="1"/>
  <c r="AR26" i="1"/>
  <c r="AT26" i="1"/>
  <c r="AR39" i="1"/>
  <c r="AT39" i="1"/>
  <c r="BF24" i="1"/>
  <c r="BJ24" i="1"/>
  <c r="AR19" i="1"/>
  <c r="AT19" i="1"/>
  <c r="BE46" i="1"/>
  <c r="AR33" i="1"/>
  <c r="AT33" i="1"/>
  <c r="AR49" i="1"/>
  <c r="AT49" i="1"/>
  <c r="BE47" i="1"/>
  <c r="AR28" i="1"/>
  <c r="AT28" i="1"/>
  <c r="AR45" i="1"/>
  <c r="AT45" i="1"/>
  <c r="BE29" i="1"/>
  <c r="BJ29" i="1"/>
  <c r="AR36" i="1"/>
  <c r="AT36" i="1"/>
  <c r="BE9" i="1"/>
  <c r="AR23" i="1"/>
  <c r="AT23" i="1"/>
  <c r="AR40" i="1"/>
  <c r="AT40" i="1"/>
  <c r="BF22" i="1"/>
  <c r="AR20" i="1"/>
  <c r="AR13" i="1"/>
  <c r="AR48" i="1"/>
  <c r="AT48" i="1"/>
  <c r="BF40" i="1"/>
  <c r="AR27" i="1"/>
  <c r="AT27" i="1"/>
  <c r="AR35" i="1"/>
  <c r="AT35" i="1"/>
  <c r="AR43" i="1"/>
  <c r="AT43" i="1"/>
  <c r="AR22" i="1"/>
  <c r="AT22" i="1"/>
  <c r="AR50" i="1"/>
  <c r="AT50" i="1"/>
  <c r="BF46" i="1"/>
  <c r="AT30" i="1"/>
  <c r="AR9" i="1"/>
  <c r="AT9" i="1"/>
  <c r="AR17" i="1"/>
  <c r="AT17" i="1"/>
  <c r="AR32" i="1"/>
  <c r="AT32" i="1"/>
  <c r="BF45" i="1"/>
  <c r="AR25" i="1"/>
  <c r="AT25" i="1"/>
  <c r="AR47" i="1"/>
  <c r="AT47" i="1"/>
  <c r="AR42" i="1"/>
  <c r="AT42" i="1"/>
  <c r="AR34" i="1"/>
  <c r="AT34" i="1"/>
  <c r="BF42" i="1"/>
  <c r="BJ42" i="1"/>
  <c r="AT14" i="1"/>
  <c r="BF39" i="1"/>
  <c r="AR7" i="1"/>
  <c r="AT7" i="1"/>
  <c r="AR29" i="1"/>
  <c r="AT29" i="1"/>
  <c r="AR44" i="1"/>
  <c r="AR37" i="1"/>
  <c r="AT37" i="1"/>
  <c r="AR16" i="1"/>
  <c r="AT16" i="1"/>
  <c r="BF41" i="1"/>
  <c r="AR11" i="1"/>
  <c r="AT11" i="1"/>
  <c r="BF27" i="1"/>
  <c r="AR41" i="1"/>
  <c r="AT41" i="1"/>
  <c r="AR5" i="1"/>
  <c r="AT5" i="1"/>
  <c r="AR21" i="1"/>
  <c r="AT21" i="1"/>
  <c r="BE10" i="1"/>
  <c r="AR10" i="1"/>
  <c r="AT10" i="1"/>
  <c r="AR15" i="1"/>
  <c r="AR4" i="1"/>
  <c r="AT4" i="1"/>
  <c r="AR3" i="1"/>
  <c r="AT3" i="1"/>
  <c r="AR18" i="1"/>
  <c r="AT18" i="1"/>
  <c r="AR31" i="1"/>
  <c r="AR38" i="1"/>
  <c r="AT38" i="1"/>
  <c r="BF23" i="1"/>
  <c r="BD23" i="1"/>
  <c r="BI23" i="1"/>
  <c r="BE22" i="1"/>
  <c r="BJ46" i="1"/>
  <c r="BJ27" i="1"/>
  <c r="BD11" i="1"/>
  <c r="BI11" i="1"/>
  <c r="AW45" i="1"/>
  <c r="AV45" i="1"/>
  <c r="AV18" i="1"/>
  <c r="AW40" i="1"/>
  <c r="AW20" i="1"/>
  <c r="AW27" i="1"/>
  <c r="AV20" i="1"/>
  <c r="AV13" i="1"/>
  <c r="AV31" i="1"/>
  <c r="AW44" i="1"/>
  <c r="BH34" i="1"/>
  <c r="AW30" i="1"/>
  <c r="AV22" i="1"/>
  <c r="AV30" i="1"/>
  <c r="AV48" i="1"/>
  <c r="AW16" i="1"/>
  <c r="BH41" i="1"/>
  <c r="AW17" i="1"/>
  <c r="AW32" i="1"/>
  <c r="AV49" i="1"/>
  <c r="BG45" i="1"/>
  <c r="AV9" i="1"/>
  <c r="AW26" i="1"/>
  <c r="AW39" i="1"/>
  <c r="BH24" i="1"/>
  <c r="AW25" i="1"/>
  <c r="AV12" i="1"/>
  <c r="AW47" i="1"/>
  <c r="AV39" i="1"/>
  <c r="AV47" i="1"/>
  <c r="AW34" i="1"/>
  <c r="AW14" i="1"/>
  <c r="AW7" i="1"/>
  <c r="AV21" i="1"/>
  <c r="BG34" i="1"/>
  <c r="AW37" i="1"/>
  <c r="AW3" i="1"/>
  <c r="AS3" i="1"/>
  <c r="AU3" i="1"/>
  <c r="AW49" i="1"/>
  <c r="AV10" i="1"/>
  <c r="AV11" i="1"/>
  <c r="AV28" i="1"/>
  <c r="AW46" i="1"/>
  <c r="BH28" i="1"/>
  <c r="AW9" i="1"/>
  <c r="AW5" i="1"/>
  <c r="AW21" i="1"/>
  <c r="AV35" i="1"/>
  <c r="BG11" i="1"/>
  <c r="AW22" i="1"/>
  <c r="AW18" i="1"/>
  <c r="AV37" i="1"/>
  <c r="BG4" i="1"/>
  <c r="AW8" i="1"/>
  <c r="AW13" i="1"/>
  <c r="AW43" i="1"/>
  <c r="AV27" i="1"/>
  <c r="AW19" i="1"/>
  <c r="AV38" i="1"/>
  <c r="AW35" i="1"/>
  <c r="AV5" i="1"/>
  <c r="AV7" i="1"/>
  <c r="AV25" i="1"/>
  <c r="AW42" i="1"/>
  <c r="BH16" i="1"/>
  <c r="AV41" i="1"/>
  <c r="AV26" i="1"/>
  <c r="AW10" i="1"/>
  <c r="AV36" i="1"/>
  <c r="AV32" i="1"/>
  <c r="AV40" i="1"/>
  <c r="AW11" i="1"/>
  <c r="BG27" i="1"/>
  <c r="AW12" i="1"/>
  <c r="AV46" i="1"/>
  <c r="BG29" i="1"/>
  <c r="AV50" i="1"/>
  <c r="AW28" i="1"/>
  <c r="BG30" i="1"/>
  <c r="AW36" i="1"/>
  <c r="BG10" i="1"/>
  <c r="AV4" i="1"/>
  <c r="AV24" i="1"/>
  <c r="BH23" i="1"/>
  <c r="AW48" i="1"/>
  <c r="AV14" i="1"/>
  <c r="AV34" i="1"/>
  <c r="BG40" i="1"/>
  <c r="AW50" i="1"/>
  <c r="AV6" i="1"/>
  <c r="BH9" i="1"/>
  <c r="AW41" i="1"/>
  <c r="AW29" i="1"/>
  <c r="AV17" i="1"/>
  <c r="AV33" i="1"/>
  <c r="BH46" i="1"/>
  <c r="AW15" i="1"/>
  <c r="AV8" i="1"/>
  <c r="BH22" i="1"/>
  <c r="AV44" i="1"/>
  <c r="AW4" i="1"/>
  <c r="AV19" i="1"/>
  <c r="AV16" i="1"/>
  <c r="BH42" i="1"/>
  <c r="AV29" i="1"/>
  <c r="BH35" i="1"/>
  <c r="AW38" i="1"/>
  <c r="AV3" i="1"/>
  <c r="BG6" i="1"/>
  <c r="AV43" i="1"/>
  <c r="BH33" i="1"/>
  <c r="AW33" i="1"/>
  <c r="BG48" i="1"/>
  <c r="AV23" i="1"/>
  <c r="BH6" i="1"/>
  <c r="BH40" i="1"/>
  <c r="AW24" i="1"/>
  <c r="AW31" i="1"/>
  <c r="AV15" i="1"/>
  <c r="BG36" i="1"/>
  <c r="AW6" i="1"/>
  <c r="BG12" i="1"/>
  <c r="AV42" i="1"/>
  <c r="AW23" i="1"/>
  <c r="BF11" i="1"/>
  <c r="BJ11" i="1"/>
  <c r="BE39" i="1"/>
  <c r="BJ39" i="1"/>
  <c r="BE40" i="1"/>
  <c r="BJ40" i="1"/>
  <c r="BE41" i="1"/>
  <c r="BJ41" i="1"/>
  <c r="BL11" i="1"/>
  <c r="BO11" i="1"/>
  <c r="AT20" i="1"/>
  <c r="BF9" i="1"/>
  <c r="BJ9" i="1"/>
  <c r="BL9" i="1"/>
  <c r="BO9" i="1"/>
  <c r="BD9" i="1"/>
  <c r="BI9" i="1"/>
  <c r="BE45" i="1"/>
  <c r="BJ45" i="1"/>
  <c r="BD45" i="1"/>
  <c r="BI45" i="1"/>
  <c r="BD46" i="1"/>
  <c r="BI46" i="1"/>
  <c r="BD40" i="1"/>
  <c r="BI40" i="1"/>
  <c r="BD41" i="1"/>
  <c r="BI41" i="1"/>
  <c r="BD42" i="1"/>
  <c r="BI42" i="1"/>
  <c r="BM46" i="1"/>
  <c r="BP46" i="1"/>
  <c r="BF30" i="1"/>
  <c r="BJ30" i="1"/>
  <c r="BL30" i="1"/>
  <c r="BO30" i="1"/>
  <c r="BG3" i="1"/>
  <c r="BF3" i="1"/>
  <c r="BD3" i="1"/>
  <c r="BI3" i="1"/>
  <c r="BH3" i="1"/>
  <c r="AT44" i="1"/>
  <c r="BD34" i="1"/>
  <c r="BI34" i="1"/>
  <c r="BG16" i="1"/>
  <c r="BF16" i="1"/>
  <c r="BD16" i="1"/>
  <c r="BI16" i="1"/>
  <c r="BE15" i="1"/>
  <c r="BF15" i="1"/>
  <c r="BJ15" i="1"/>
  <c r="BD30" i="1"/>
  <c r="BI30" i="1"/>
  <c r="BJ22" i="1"/>
  <c r="BF48" i="1"/>
  <c r="BJ48" i="1"/>
  <c r="AT15" i="1"/>
  <c r="BD35" i="1"/>
  <c r="BI35" i="1"/>
  <c r="AT13" i="1"/>
  <c r="BF33" i="1"/>
  <c r="BD33" i="1"/>
  <c r="BI33" i="1"/>
  <c r="BE17" i="1"/>
  <c r="BH18" i="1"/>
  <c r="BF18" i="1"/>
  <c r="BJ18" i="1"/>
  <c r="BG18" i="1"/>
  <c r="BD18" i="1"/>
  <c r="BI18" i="1"/>
  <c r="BM18" i="1"/>
  <c r="BP18" i="1"/>
  <c r="BM23" i="1"/>
  <c r="BP23" i="1"/>
  <c r="BH15" i="1"/>
  <c r="BG15" i="1"/>
  <c r="BD15" i="1"/>
  <c r="BI15" i="1"/>
  <c r="BE3" i="1"/>
  <c r="BF4" i="1"/>
  <c r="BD4" i="1"/>
  <c r="BI4" i="1"/>
  <c r="BE23" i="1"/>
  <c r="BJ23" i="1"/>
  <c r="BF6" i="1"/>
  <c r="BJ6" i="1"/>
  <c r="BD6" i="1"/>
  <c r="BI6" i="1"/>
  <c r="BE5" i="1"/>
  <c r="BD24" i="1"/>
  <c r="BI24" i="1"/>
  <c r="BL41" i="1"/>
  <c r="BO41" i="1"/>
  <c r="BD48" i="1"/>
  <c r="BI48" i="1"/>
  <c r="BM48" i="1"/>
  <c r="BP48" i="1"/>
  <c r="BM42" i="1"/>
  <c r="BP42" i="1"/>
  <c r="BF47" i="1"/>
  <c r="BJ47" i="1"/>
  <c r="BL47" i="1"/>
  <c r="BO47" i="1"/>
  <c r="BM39" i="1"/>
  <c r="BP39" i="1"/>
  <c r="BH17" i="1"/>
  <c r="BF17" i="1"/>
  <c r="BD17" i="1"/>
  <c r="BI17" i="1"/>
  <c r="BE16" i="1"/>
  <c r="BJ16" i="1"/>
  <c r="BG17" i="1"/>
  <c r="BM21" i="1"/>
  <c r="BP21" i="1"/>
  <c r="BF10" i="1"/>
  <c r="BJ10" i="1"/>
  <c r="BL10" i="1"/>
  <c r="BO10" i="1"/>
  <c r="BD47" i="1"/>
  <c r="BI47" i="1"/>
  <c r="AT31" i="1"/>
  <c r="BD36" i="1"/>
  <c r="BI36" i="1"/>
  <c r="BD10" i="1"/>
  <c r="BI10" i="1"/>
  <c r="BE21" i="1"/>
  <c r="BJ21" i="1"/>
  <c r="BD22" i="1"/>
  <c r="BI22" i="1"/>
  <c r="BD27" i="1"/>
  <c r="BI27" i="1"/>
  <c r="BE4" i="1"/>
  <c r="BG5" i="1"/>
  <c r="BF5" i="1"/>
  <c r="BD5" i="1"/>
  <c r="BI5" i="1"/>
  <c r="BH5" i="1"/>
  <c r="BG33" i="1"/>
  <c r="BM3" i="1"/>
  <c r="BP3" i="1"/>
  <c r="BG21" i="1"/>
  <c r="BM45" i="1"/>
  <c r="BP45" i="1"/>
  <c r="BH48" i="1"/>
  <c r="BM33" i="1"/>
  <c r="BP33" i="1"/>
  <c r="BL45" i="1"/>
  <c r="BO45" i="1"/>
  <c r="BG24" i="1"/>
  <c r="BL39" i="1"/>
  <c r="BO39" i="1"/>
  <c r="BJ4" i="1"/>
  <c r="BL4" i="1"/>
  <c r="BO4" i="1"/>
  <c r="BJ5" i="1"/>
  <c r="BL5" i="1"/>
  <c r="BO5" i="1"/>
  <c r="BM28" i="1"/>
  <c r="BP28" i="1"/>
  <c r="BH45" i="1"/>
  <c r="BJ17" i="1"/>
  <c r="BL17" i="1"/>
  <c r="BO17" i="1"/>
  <c r="BM9" i="1"/>
  <c r="BP9" i="1"/>
  <c r="BH47" i="1"/>
  <c r="BG9" i="1"/>
  <c r="BM29" i="1"/>
  <c r="BP29" i="1"/>
  <c r="BL6" i="1"/>
  <c r="BO6" i="1"/>
  <c r="BE34" i="1"/>
  <c r="BF35" i="1"/>
  <c r="BG22" i="1"/>
  <c r="BM27" i="1"/>
  <c r="BP27" i="1"/>
  <c r="BM22" i="1"/>
  <c r="BP22" i="1"/>
  <c r="BL21" i="1"/>
  <c r="BO21" i="1"/>
  <c r="BL48" i="1"/>
  <c r="BO48" i="1"/>
  <c r="BM12" i="1"/>
  <c r="BP12" i="1"/>
  <c r="BG35" i="1"/>
  <c r="BL18" i="1"/>
  <c r="BO18" i="1"/>
  <c r="BG23" i="1"/>
  <c r="BM35" i="1"/>
  <c r="BP35" i="1"/>
  <c r="BL22" i="1"/>
  <c r="BO22" i="1"/>
  <c r="BG41" i="1"/>
  <c r="BG39" i="1"/>
  <c r="BG42" i="1"/>
  <c r="BN41" i="1"/>
  <c r="BQ41" i="1"/>
  <c r="BH27" i="1"/>
  <c r="BM6" i="1"/>
  <c r="BP6" i="1"/>
  <c r="BM41" i="1"/>
  <c r="BP41" i="1"/>
  <c r="BS41" i="1"/>
  <c r="BM10" i="1"/>
  <c r="BP10" i="1"/>
  <c r="BL12" i="1"/>
  <c r="BO12" i="1"/>
  <c r="BM30" i="1"/>
  <c r="BP30" i="1"/>
  <c r="BM11" i="1"/>
  <c r="BP11" i="1"/>
  <c r="BL23" i="1"/>
  <c r="BO23" i="1"/>
  <c r="BM36" i="1"/>
  <c r="BP36" i="1"/>
  <c r="BH4" i="1"/>
  <c r="BH10" i="1"/>
  <c r="BH12" i="1"/>
  <c r="BL24" i="1"/>
  <c r="BO24" i="1"/>
  <c r="BM24" i="1"/>
  <c r="BP24" i="1"/>
  <c r="BE35" i="1"/>
  <c r="BF36" i="1"/>
  <c r="BJ36" i="1"/>
  <c r="BL36" i="1"/>
  <c r="BO36" i="1"/>
  <c r="BM4" i="1"/>
  <c r="BP4" i="1"/>
  <c r="BL15" i="1"/>
  <c r="BO15" i="1"/>
  <c r="BH11" i="1"/>
  <c r="BL27" i="1"/>
  <c r="BO27" i="1"/>
  <c r="BM47" i="1"/>
  <c r="BP47" i="1"/>
  <c r="BM16" i="1"/>
  <c r="BP16" i="1"/>
  <c r="BG28" i="1"/>
  <c r="BN6" i="1"/>
  <c r="BQ6" i="1"/>
  <c r="BL42" i="1"/>
  <c r="BO42" i="1"/>
  <c r="BL40" i="1"/>
  <c r="BO40" i="1"/>
  <c r="BH36" i="1"/>
  <c r="BL46" i="1"/>
  <c r="BO46" i="1"/>
  <c r="BG47" i="1"/>
  <c r="BH39" i="1"/>
  <c r="BM5" i="1"/>
  <c r="BP5" i="1"/>
  <c r="BM34" i="1"/>
  <c r="BP34" i="1"/>
  <c r="BH29" i="1"/>
  <c r="BH21" i="1"/>
  <c r="BL29" i="1"/>
  <c r="BO29" i="1"/>
  <c r="BM40" i="1"/>
  <c r="BP40" i="1"/>
  <c r="BL16" i="1"/>
  <c r="BO16" i="1"/>
  <c r="BM15" i="1"/>
  <c r="BP15" i="1"/>
  <c r="BE33" i="1"/>
  <c r="BJ33" i="1"/>
  <c r="BL33" i="1"/>
  <c r="BO33" i="1"/>
  <c r="BF34" i="1"/>
  <c r="BG46" i="1"/>
  <c r="BJ3" i="1"/>
  <c r="BL3" i="1"/>
  <c r="BO3" i="1"/>
  <c r="BM17" i="1"/>
  <c r="BP17" i="1"/>
  <c r="BL28" i="1"/>
  <c r="BO28" i="1"/>
  <c r="BH30" i="1"/>
  <c r="BN29" i="1"/>
  <c r="BQ29" i="1"/>
  <c r="BN23" i="1"/>
  <c r="BQ23" i="1"/>
  <c r="BN3" i="1"/>
  <c r="BQ3" i="1"/>
  <c r="BS3" i="1"/>
  <c r="BN27" i="1"/>
  <c r="BQ27" i="1"/>
  <c r="BS27" i="1"/>
  <c r="BN24" i="1"/>
  <c r="BQ24" i="1"/>
  <c r="BS29" i="1"/>
  <c r="BN12" i="1"/>
  <c r="BQ12" i="1"/>
  <c r="BS12" i="1"/>
  <c r="BJ35" i="1"/>
  <c r="BL35" i="1"/>
  <c r="BO35" i="1"/>
  <c r="BN35" i="1"/>
  <c r="BQ35" i="1"/>
  <c r="BS35" i="1"/>
  <c r="BN45" i="1"/>
  <c r="BQ45" i="1"/>
  <c r="BS45" i="1"/>
  <c r="BN48" i="1"/>
  <c r="BQ48" i="1"/>
  <c r="BS48" i="1"/>
  <c r="BN47" i="1"/>
  <c r="BQ47" i="1"/>
  <c r="BS47" i="1"/>
  <c r="BN46" i="1"/>
  <c r="BQ46" i="1"/>
  <c r="BS46" i="1"/>
  <c r="BT47" i="1"/>
  <c r="U47" i="1"/>
  <c r="BS24" i="1"/>
  <c r="BN21" i="1"/>
  <c r="BQ21" i="1"/>
  <c r="BS21" i="1"/>
  <c r="BN5" i="1"/>
  <c r="BQ5" i="1"/>
  <c r="BS5" i="1"/>
  <c r="BN36" i="1"/>
  <c r="BQ36" i="1"/>
  <c r="BS36" i="1"/>
  <c r="BN30" i="1"/>
  <c r="BQ30" i="1"/>
  <c r="BS30" i="1"/>
  <c r="BN17" i="1"/>
  <c r="BQ17" i="1"/>
  <c r="BS17" i="1"/>
  <c r="BN15" i="1"/>
  <c r="BQ15" i="1"/>
  <c r="BS15" i="1"/>
  <c r="BN16" i="1"/>
  <c r="BQ16" i="1"/>
  <c r="BS16" i="1"/>
  <c r="BN18" i="1"/>
  <c r="BQ18" i="1"/>
  <c r="BS18" i="1"/>
  <c r="BT17" i="1"/>
  <c r="U17" i="1"/>
  <c r="BT16" i="1"/>
  <c r="U16" i="1"/>
  <c r="BS23" i="1"/>
  <c r="BN22" i="1"/>
  <c r="BQ22" i="1"/>
  <c r="BS22" i="1"/>
  <c r="BT22" i="1"/>
  <c r="U22" i="1"/>
  <c r="BN40" i="1"/>
  <c r="BQ40" i="1"/>
  <c r="BN33" i="1"/>
  <c r="BQ33" i="1"/>
  <c r="BS33" i="1"/>
  <c r="BJ34" i="1"/>
  <c r="BL34" i="1"/>
  <c r="BO34" i="1"/>
  <c r="BN34" i="1"/>
  <c r="BQ34" i="1"/>
  <c r="BS34" i="1"/>
  <c r="BT33" i="1"/>
  <c r="U33" i="1"/>
  <c r="BN42" i="1"/>
  <c r="BQ42" i="1"/>
  <c r="BS42" i="1"/>
  <c r="BN11" i="1"/>
  <c r="BQ11" i="1"/>
  <c r="BS11" i="1"/>
  <c r="BN28" i="1"/>
  <c r="BQ28" i="1"/>
  <c r="BS28" i="1"/>
  <c r="BT28" i="1"/>
  <c r="U28" i="1"/>
  <c r="BS40" i="1"/>
  <c r="BS6" i="1"/>
  <c r="BN10" i="1"/>
  <c r="BQ10" i="1"/>
  <c r="BS10" i="1"/>
  <c r="BN39" i="1"/>
  <c r="BQ39" i="1"/>
  <c r="BS39" i="1"/>
  <c r="BN9" i="1"/>
  <c r="BQ9" i="1"/>
  <c r="BS9" i="1"/>
  <c r="BT9" i="1"/>
  <c r="U9" i="1"/>
  <c r="BN4" i="1"/>
  <c r="BQ4" i="1"/>
  <c r="BS4" i="1"/>
  <c r="BT4" i="1"/>
  <c r="U4" i="1"/>
  <c r="BT10" i="1"/>
  <c r="U10" i="1"/>
  <c r="BT5" i="1"/>
  <c r="U5" i="1"/>
  <c r="AJ12" i="1"/>
  <c r="AG9" i="1"/>
  <c r="AI12" i="1"/>
  <c r="AF9" i="1"/>
  <c r="AG12" i="1"/>
  <c r="AE12" i="1"/>
  <c r="BT11" i="1"/>
  <c r="U11" i="1"/>
  <c r="AE11" i="1"/>
  <c r="BT12" i="1"/>
  <c r="U12" i="1"/>
  <c r="AL10" i="1"/>
  <c r="AK10" i="1"/>
  <c r="AJ10" i="1"/>
  <c r="AH10" i="1"/>
  <c r="AG10" i="1"/>
  <c r="AF10" i="1"/>
  <c r="AK9" i="1"/>
  <c r="AJ9" i="1"/>
  <c r="AK12" i="1"/>
  <c r="AH9" i="1"/>
  <c r="AL9" i="1"/>
  <c r="AL12" i="1"/>
  <c r="AI9" i="1"/>
  <c r="AE9" i="1"/>
  <c r="D55" i="1"/>
  <c r="J55" i="1"/>
  <c r="D65" i="1"/>
  <c r="J65" i="1"/>
  <c r="D70" i="1"/>
  <c r="K70" i="1"/>
  <c r="G73" i="1"/>
  <c r="J73" i="1"/>
  <c r="AG73" i="1"/>
  <c r="AH12" i="1"/>
  <c r="AF12" i="1"/>
  <c r="AI10" i="1"/>
  <c r="BT42" i="1"/>
  <c r="U42" i="1"/>
  <c r="BT34" i="1"/>
  <c r="U34" i="1"/>
  <c r="BT35" i="1"/>
  <c r="U35" i="1"/>
  <c r="BT36" i="1"/>
  <c r="U36" i="1"/>
  <c r="AI34" i="1"/>
  <c r="AH34" i="1"/>
  <c r="AG34" i="1"/>
  <c r="AK33" i="1"/>
  <c r="AJ33" i="1"/>
  <c r="AL36" i="1"/>
  <c r="AI33" i="1"/>
  <c r="AK36" i="1"/>
  <c r="AH33" i="1"/>
  <c r="AG33" i="1"/>
  <c r="AF33" i="1"/>
  <c r="AE33" i="1"/>
  <c r="D59" i="1"/>
  <c r="J59" i="1"/>
  <c r="D66" i="1"/>
  <c r="J66" i="1"/>
  <c r="G70" i="1"/>
  <c r="J70" i="1"/>
  <c r="G76" i="1"/>
  <c r="K76" i="1"/>
  <c r="AG72" i="1"/>
  <c r="AJ34" i="1"/>
  <c r="AJ35" i="1"/>
  <c r="AL33" i="1"/>
  <c r="AF34" i="1"/>
  <c r="AG35" i="1"/>
  <c r="AE34" i="1"/>
  <c r="G57" i="1"/>
  <c r="BT18" i="1"/>
  <c r="U18" i="1"/>
  <c r="BT15" i="1"/>
  <c r="U15" i="1"/>
  <c r="BT39" i="1"/>
  <c r="U39" i="1"/>
  <c r="BT41" i="1"/>
  <c r="U41" i="1"/>
  <c r="BT3" i="1"/>
  <c r="U3" i="1"/>
  <c r="BT21" i="1"/>
  <c r="U21" i="1"/>
  <c r="BT40" i="1"/>
  <c r="U40" i="1"/>
  <c r="BT6" i="1"/>
  <c r="U6" i="1"/>
  <c r="BT23" i="1"/>
  <c r="U23" i="1"/>
  <c r="BT29" i="1"/>
  <c r="U29" i="1"/>
  <c r="BT48" i="1"/>
  <c r="U48" i="1"/>
  <c r="BT27" i="1"/>
  <c r="U27" i="1"/>
  <c r="BT45" i="1"/>
  <c r="U45" i="1"/>
  <c r="AJ36" i="1"/>
  <c r="BT46" i="1"/>
  <c r="U46" i="1"/>
  <c r="BT24" i="1"/>
  <c r="U24" i="1"/>
  <c r="BT30" i="1"/>
  <c r="U30" i="1"/>
  <c r="AH17" i="1"/>
  <c r="AG17" i="1"/>
  <c r="AE17" i="1"/>
  <c r="AL16" i="1"/>
  <c r="AJ16" i="1"/>
  <c r="AF16" i="1"/>
  <c r="AE16" i="1"/>
  <c r="G56" i="1"/>
  <c r="AL15" i="1"/>
  <c r="AK15" i="1"/>
  <c r="AJ15" i="1"/>
  <c r="AL18" i="1"/>
  <c r="AI15" i="1"/>
  <c r="AH15" i="1"/>
  <c r="AK18" i="1"/>
  <c r="AJ18" i="1"/>
  <c r="AG15" i="1"/>
  <c r="AI18" i="1"/>
  <c r="AF15" i="1"/>
  <c r="AH18" i="1"/>
  <c r="AE15" i="1"/>
  <c r="D54" i="1"/>
  <c r="J54" i="1"/>
  <c r="G63" i="1"/>
  <c r="AG18" i="1"/>
  <c r="AE18" i="1"/>
  <c r="AL17" i="1"/>
  <c r="AK17" i="1"/>
  <c r="AI17" i="1"/>
  <c r="AK16" i="1"/>
  <c r="AJ17" i="1"/>
  <c r="AI16" i="1"/>
  <c r="AF17" i="1"/>
  <c r="AH16" i="1"/>
  <c r="AG16" i="1"/>
  <c r="AF18" i="1"/>
  <c r="AK47" i="1"/>
  <c r="AJ47" i="1"/>
  <c r="AI47" i="1"/>
  <c r="AH47" i="1"/>
  <c r="AG47" i="1"/>
  <c r="AF47" i="1"/>
  <c r="AJ46" i="1"/>
  <c r="AI46" i="1"/>
  <c r="AH46" i="1"/>
  <c r="AG46" i="1"/>
  <c r="AF46" i="1"/>
  <c r="AE46" i="1"/>
  <c r="G58" i="1"/>
  <c r="AL45" i="1"/>
  <c r="AK45" i="1"/>
  <c r="AJ45" i="1"/>
  <c r="AL48" i="1"/>
  <c r="AI45" i="1"/>
  <c r="AK48" i="1"/>
  <c r="AH45" i="1"/>
  <c r="AF45" i="1"/>
  <c r="AJ48" i="1"/>
  <c r="AG45" i="1"/>
  <c r="AI48" i="1"/>
  <c r="AH48" i="1"/>
  <c r="AE45" i="1"/>
  <c r="D60" i="1"/>
  <c r="J60" i="1"/>
  <c r="G66" i="1"/>
  <c r="AG48" i="1"/>
  <c r="AF48" i="1"/>
  <c r="AE48" i="1"/>
  <c r="AL47" i="1"/>
  <c r="AE47" i="1"/>
  <c r="AL46" i="1"/>
  <c r="AK46" i="1"/>
  <c r="AF11" i="1"/>
  <c r="AG11" i="1"/>
  <c r="AH11" i="1"/>
  <c r="AE36" i="1"/>
  <c r="AL11" i="1"/>
  <c r="AJ39" i="1"/>
  <c r="AH39" i="1"/>
  <c r="AL42" i="1"/>
  <c r="AI39" i="1"/>
  <c r="AK42" i="1"/>
  <c r="AJ42" i="1"/>
  <c r="AG39" i="1"/>
  <c r="AI42" i="1"/>
  <c r="AF39" i="1"/>
  <c r="AH42" i="1"/>
  <c r="AE39" i="1"/>
  <c r="D58" i="1"/>
  <c r="J58" i="1"/>
  <c r="G64" i="1"/>
  <c r="J64" i="1"/>
  <c r="G69" i="1"/>
  <c r="J69" i="1"/>
  <c r="D76" i="1"/>
  <c r="J76" i="1"/>
  <c r="AG71" i="1"/>
  <c r="AE42" i="1"/>
  <c r="AL41" i="1"/>
  <c r="AK41" i="1"/>
  <c r="AJ41" i="1"/>
  <c r="AI41" i="1"/>
  <c r="AH41" i="1"/>
  <c r="AG41" i="1"/>
  <c r="AF41" i="1"/>
  <c r="AE41" i="1"/>
  <c r="AL40" i="1"/>
  <c r="AK40" i="1"/>
  <c r="AJ40" i="1"/>
  <c r="AI40" i="1"/>
  <c r="AH40" i="1"/>
  <c r="AG40" i="1"/>
  <c r="AE40" i="1"/>
  <c r="G60" i="1"/>
  <c r="AL39" i="1"/>
  <c r="AF40" i="1"/>
  <c r="AK39" i="1"/>
  <c r="AG42" i="1"/>
  <c r="AF42" i="1"/>
  <c r="AL34" i="1"/>
  <c r="AI35" i="1"/>
  <c r="AI11" i="1"/>
  <c r="AF36" i="1"/>
  <c r="AE10" i="1"/>
  <c r="G53" i="1"/>
  <c r="AG36" i="1"/>
  <c r="AK11" i="1"/>
  <c r="AF35" i="1"/>
  <c r="AK35" i="1"/>
  <c r="AJ11" i="1"/>
  <c r="AE35" i="1"/>
  <c r="AH36" i="1"/>
  <c r="AF22" i="1"/>
  <c r="AE22" i="1"/>
  <c r="G54" i="1"/>
  <c r="AL21" i="1"/>
  <c r="AJ21" i="1"/>
  <c r="AL24" i="1"/>
  <c r="AI21" i="1"/>
  <c r="AK24" i="1"/>
  <c r="AH21" i="1"/>
  <c r="AH24" i="1"/>
  <c r="AE21" i="1"/>
  <c r="D56" i="1"/>
  <c r="J56" i="1"/>
  <c r="G65" i="1"/>
  <c r="AG24" i="1"/>
  <c r="AF24" i="1"/>
  <c r="AE24" i="1"/>
  <c r="AL23" i="1"/>
  <c r="AK23" i="1"/>
  <c r="AJ23" i="1"/>
  <c r="AI23" i="1"/>
  <c r="AH23" i="1"/>
  <c r="AG23" i="1"/>
  <c r="AF23" i="1"/>
  <c r="AE23" i="1"/>
  <c r="AL22" i="1"/>
  <c r="AJ22" i="1"/>
  <c r="AI22" i="1"/>
  <c r="AG22" i="1"/>
  <c r="AK22" i="1"/>
  <c r="AK21" i="1"/>
  <c r="AH22" i="1"/>
  <c r="AJ24" i="1"/>
  <c r="AI24" i="1"/>
  <c r="AG21" i="1"/>
  <c r="AF21" i="1"/>
  <c r="AI36" i="1"/>
  <c r="AK34" i="1"/>
  <c r="AH35" i="1"/>
  <c r="AH4" i="1"/>
  <c r="AJ6" i="1"/>
  <c r="AI6" i="1"/>
  <c r="AF3" i="1"/>
  <c r="AH6" i="1"/>
  <c r="AE3" i="1"/>
  <c r="D53" i="1"/>
  <c r="J53" i="1"/>
  <c r="D63" i="1"/>
  <c r="J63" i="1"/>
  <c r="D69" i="1"/>
  <c r="K69" i="1"/>
  <c r="D73" i="1"/>
  <c r="AG6" i="1"/>
  <c r="AF6" i="1"/>
  <c r="AE6" i="1"/>
  <c r="AL5" i="1"/>
  <c r="AJ5" i="1"/>
  <c r="AI5" i="1"/>
  <c r="AH5" i="1"/>
  <c r="AF5" i="1"/>
  <c r="AE5" i="1"/>
  <c r="AL4" i="1"/>
  <c r="AJ4" i="1"/>
  <c r="AI4" i="1"/>
  <c r="AK3" i="1"/>
  <c r="AH3" i="1"/>
  <c r="AL6" i="1"/>
  <c r="AK6" i="1"/>
  <c r="AG4" i="1"/>
  <c r="AF4" i="1"/>
  <c r="AE4" i="1"/>
  <c r="G55" i="1"/>
  <c r="AK5" i="1"/>
  <c r="AG5" i="1"/>
  <c r="AK4" i="1"/>
  <c r="AL3" i="1"/>
  <c r="AG3" i="1"/>
  <c r="AI3" i="1"/>
  <c r="AJ3" i="1"/>
  <c r="AG30" i="1"/>
  <c r="AF30" i="1"/>
  <c r="AK29" i="1"/>
  <c r="AJ29" i="1"/>
  <c r="AI29" i="1"/>
  <c r="AF29" i="1"/>
  <c r="AE29" i="1"/>
  <c r="AL28" i="1"/>
  <c r="AK28" i="1"/>
  <c r="AJ28" i="1"/>
  <c r="AI28" i="1"/>
  <c r="AH28" i="1"/>
  <c r="AG28" i="1"/>
  <c r="AF28" i="1"/>
  <c r="AE28" i="1"/>
  <c r="G59" i="1"/>
  <c r="AL27" i="1"/>
  <c r="AK27" i="1"/>
  <c r="AJ27" i="1"/>
  <c r="AK30" i="1"/>
  <c r="AH27" i="1"/>
  <c r="AJ30" i="1"/>
  <c r="AG27" i="1"/>
  <c r="AH30" i="1"/>
  <c r="AE27" i="1"/>
  <c r="D57" i="1"/>
  <c r="J57" i="1"/>
  <c r="D64" i="1"/>
  <c r="AL29" i="1"/>
  <c r="AH29" i="1"/>
  <c r="AG29" i="1"/>
  <c r="AL30" i="1"/>
  <c r="AI30" i="1"/>
  <c r="AE30" i="1"/>
  <c r="AI27" i="1"/>
  <c r="AF27" i="1"/>
  <c r="AL35" i="1"/>
</calcChain>
</file>

<file path=xl/sharedStrings.xml><?xml version="1.0" encoding="utf-8"?>
<sst xmlns="http://schemas.openxmlformats.org/spreadsheetml/2006/main" count="560" uniqueCount="112">
  <si>
    <t>Csoportmérkőzések</t>
  </si>
  <si>
    <t>pontH</t>
  </si>
  <si>
    <t>pontV</t>
  </si>
  <si>
    <t>sorszám</t>
  </si>
  <si>
    <t>Időpont</t>
  </si>
  <si>
    <t>Eredmény</t>
  </si>
  <si>
    <t>Csoport</t>
  </si>
  <si>
    <t>H</t>
  </si>
  <si>
    <t>V</t>
  </si>
  <si>
    <t>sorrend1</t>
  </si>
  <si>
    <t>sorrend2</t>
  </si>
  <si>
    <t>sorrend3</t>
  </si>
  <si>
    <t>ertek1</t>
  </si>
  <si>
    <t>ertek2</t>
  </si>
  <si>
    <t>ertek3</t>
  </si>
  <si>
    <t>total</t>
  </si>
  <si>
    <t>rank</t>
  </si>
  <si>
    <t>rank2</t>
  </si>
  <si>
    <t>Csoport A</t>
  </si>
  <si>
    <t>J</t>
  </si>
  <si>
    <t>győzelem</t>
  </si>
  <si>
    <t>döntetlen</t>
  </si>
  <si>
    <t>lg</t>
  </si>
  <si>
    <t>kg</t>
  </si>
  <si>
    <t>GK</t>
  </si>
  <si>
    <t>pont</t>
  </si>
  <si>
    <t>A Csoport</t>
  </si>
  <si>
    <t>j</t>
  </si>
  <si>
    <t>gy</t>
  </si>
  <si>
    <t>d</t>
  </si>
  <si>
    <t>gk</t>
  </si>
  <si>
    <t>epontH</t>
  </si>
  <si>
    <t>epontV</t>
  </si>
  <si>
    <t>csoport</t>
  </si>
  <si>
    <t>4seep</t>
  </si>
  <si>
    <t>5seegk</t>
  </si>
  <si>
    <t>6seelg</t>
  </si>
  <si>
    <t>ertek4</t>
  </si>
  <si>
    <t>ertek5</t>
  </si>
  <si>
    <t>ertek6</t>
  </si>
  <si>
    <t>nev</t>
  </si>
  <si>
    <t>total2</t>
  </si>
  <si>
    <t>Brazília</t>
  </si>
  <si>
    <t>Horvátország</t>
  </si>
  <si>
    <t>A</t>
  </si>
  <si>
    <t>Kamerun</t>
  </si>
  <si>
    <t>Mexico</t>
  </si>
  <si>
    <t>Spanyolország</t>
  </si>
  <si>
    <t>Hollandia</t>
  </si>
  <si>
    <t>B</t>
  </si>
  <si>
    <t>Chile</t>
  </si>
  <si>
    <t>Ausztrália</t>
  </si>
  <si>
    <t>Kolumbia</t>
  </si>
  <si>
    <t>Görögország</t>
  </si>
  <si>
    <t>C</t>
  </si>
  <si>
    <t>Uruguay</t>
  </si>
  <si>
    <t>Costa Rica</t>
  </si>
  <si>
    <t>D</t>
  </si>
  <si>
    <t>Csoport B</t>
  </si>
  <si>
    <t>B Csoport</t>
  </si>
  <si>
    <t>Anglia</t>
  </si>
  <si>
    <t>Olaszország</t>
  </si>
  <si>
    <t>Elefántcsontpart</t>
  </si>
  <si>
    <t>Japán</t>
  </si>
  <si>
    <t>Svájc</t>
  </si>
  <si>
    <t>Ecuador</t>
  </si>
  <si>
    <t>E</t>
  </si>
  <si>
    <t>Franciaország</t>
  </si>
  <si>
    <t>Hondurasz</t>
  </si>
  <si>
    <t>Argentína</t>
  </si>
  <si>
    <t>Bosznia-Herc.</t>
  </si>
  <si>
    <t>F</t>
  </si>
  <si>
    <t>Németország</t>
  </si>
  <si>
    <t>Portugália</t>
  </si>
  <si>
    <t>G</t>
  </si>
  <si>
    <t>Csoport C</t>
  </si>
  <si>
    <t>C Csoport</t>
  </si>
  <si>
    <t>Irán</t>
  </si>
  <si>
    <t>Nigéria</t>
  </si>
  <si>
    <t>Ghána</t>
  </si>
  <si>
    <t>USA</t>
  </si>
  <si>
    <t>Belgium</t>
  </si>
  <si>
    <t>Algéria</t>
  </si>
  <si>
    <t>Oroszország</t>
  </si>
  <si>
    <t>Dél-Korea</t>
  </si>
  <si>
    <t>Csoport D</t>
  </si>
  <si>
    <t>D Csoport</t>
  </si>
  <si>
    <t>Csoport E</t>
  </si>
  <si>
    <t>E Csoport</t>
  </si>
  <si>
    <t>Csoport F</t>
  </si>
  <si>
    <t>F Csoport</t>
  </si>
  <si>
    <t>1sp</t>
  </si>
  <si>
    <t>2sgk</t>
  </si>
  <si>
    <t>3slg</t>
  </si>
  <si>
    <t>Csoport G</t>
  </si>
  <si>
    <t>G Csoport</t>
  </si>
  <si>
    <t>dönt</t>
  </si>
  <si>
    <t>Csoport H</t>
  </si>
  <si>
    <t>H Csoport</t>
  </si>
  <si>
    <t>Nyolcaddöntő</t>
  </si>
  <si>
    <t>11-esek</t>
  </si>
  <si>
    <t>Negyeddöntő</t>
  </si>
  <si>
    <t>Elődöntő</t>
  </si>
  <si>
    <t>ma</t>
  </si>
  <si>
    <t>1.</t>
  </si>
  <si>
    <t>Bronzmeccs</t>
  </si>
  <si>
    <t>2.</t>
  </si>
  <si>
    <t>3.</t>
  </si>
  <si>
    <t>Döntő</t>
  </si>
  <si>
    <t>A táblázatba az alábbi lebonyolítási rendszert építettem be:</t>
  </si>
  <si>
    <t>Csoportkör sorrend meghatározása:
  1.  több szerzett pont az összes mérkőzésen
 2.   jobb gólkülönbség az összes mérkőzésen
 3.   több lőtt gól az összes mérkőzésen
  4.  több szerzett pont az azonosan álló csapatok között lejátszott mérkőzéseken
 5.   jobb gólkülönbség az azonosan álló csapatok között lejátszott mérkőzéseken
 6.   több lőtt gól az azonosan álló csapatok között lejátszott mérkőzéseken</t>
  </si>
  <si>
    <t>Az egyenes kieséses szakaszban az a tizenhat csapat vesz részt, amelyik a csoportkör során a saját csoportja első két helyének valamelyikén végzett.
Az egyes találkozók győztes csapatai jutnak tovább a következő körbe. Ha a rendes játékidő végén döntetlen az eredmény, akkor 2×15 perces hosszabbítás következik. Ha a hosszabbítás után is egyenlő az állás, akkor büntetőpárbajra kerül 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</si>
</sst>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numFmts>
  <fonts count="41">
    <font>
      <sz val="10"/>
      <color rgb="FF000000"/>
      <name val="Arial"/>
    </font>
    <font>
      <b/>
      <sz val="9"/>
      <color rgb="FFFFFFFF"/>
      <name val="Garamond"/>
    </font>
    <font>
      <b/>
      <sz val="9"/>
      <color rgb="FFFFFFFF"/>
      <name val="Trebuchet MS"/>
    </font>
    <font>
      <b/>
      <sz val="10"/>
      <color rgb="FFFFFFFF"/>
      <name val="Trebuchet MS"/>
    </font>
    <font>
      <sz val="11"/>
      <color rgb="FF000000"/>
      <name val="Calibri"/>
    </font>
    <font>
      <sz val="10"/>
      <color rgb="FF000000"/>
      <name val="Calibri"/>
    </font>
    <font>
      <b/>
      <sz val="9"/>
      <color rgb="FFBFBFBF"/>
      <name val="Garamond"/>
    </font>
    <font>
      <b/>
      <sz val="10"/>
      <color rgb="FF0070C0"/>
      <name val="Trebuchet MS"/>
    </font>
    <font>
      <sz val="10"/>
      <name val="Arial"/>
    </font>
    <font>
      <b/>
      <sz val="10"/>
      <color rgb="FFFFFFFF"/>
      <name val="Calibri"/>
    </font>
    <font>
      <b/>
      <sz val="10"/>
      <color rgb="FF808080"/>
      <name val="Calibri"/>
    </font>
    <font>
      <b/>
      <sz val="10"/>
      <color rgb="FFFFFFFF"/>
      <name val="Segoe ui"/>
    </font>
    <font>
      <sz val="10"/>
      <color rgb="FFFFFFFF"/>
      <name val="Segoe ui"/>
    </font>
    <font>
      <sz val="9"/>
      <color rgb="FF000000"/>
      <name val="Courier New"/>
    </font>
    <font>
      <b/>
      <sz val="9"/>
      <color rgb="FF000000"/>
      <name val="Trebuchet MS"/>
    </font>
    <font>
      <b/>
      <sz val="10"/>
      <color rgb="FF000000"/>
      <name val="Trebuchet MS"/>
    </font>
    <font>
      <sz val="11"/>
      <color rgb="FF808080"/>
      <name val="Calibri"/>
    </font>
    <font>
      <sz val="10"/>
      <color rgb="FF000000"/>
      <name val="Segoe ui"/>
    </font>
    <font>
      <b/>
      <sz val="11"/>
      <color rgb="FFBFBFBF"/>
      <name val="Calibri"/>
    </font>
    <font>
      <b/>
      <sz val="11"/>
      <color rgb="FF000000"/>
      <name val="Calibri"/>
    </font>
    <font>
      <b/>
      <sz val="11"/>
      <color rgb="FFFFFFFF"/>
      <name val="Calibri"/>
    </font>
    <font>
      <sz val="11"/>
      <color rgb="FFFFFFFF"/>
      <name val="Calibri"/>
    </font>
    <font>
      <b/>
      <sz val="10"/>
      <color rgb="FFFFFF00"/>
      <name val="Calibri"/>
    </font>
    <font>
      <sz val="9"/>
      <color rgb="FF000000"/>
      <name val="Trebuchet MS"/>
    </font>
    <font>
      <sz val="10"/>
      <color rgb="FF0070C0"/>
      <name val="Trebuchet MS"/>
    </font>
    <font>
      <sz val="10"/>
      <color rgb="FF000000"/>
      <name val="Trebuchet MS"/>
    </font>
    <font>
      <b/>
      <sz val="11"/>
      <color rgb="FF0070C0"/>
      <name val="Trebuchet MS"/>
    </font>
    <font>
      <b/>
      <sz val="11"/>
      <color rgb="FF0070C0"/>
      <name val="Calibri"/>
    </font>
    <font>
      <sz val="9"/>
      <color rgb="FF000000"/>
      <name val="Calibri"/>
    </font>
    <font>
      <sz val="11"/>
      <color rgb="FF0070C0"/>
      <name val="Trebuchet MS"/>
    </font>
    <font>
      <sz val="11"/>
      <color rgb="FF000000"/>
      <name val="Trebuchet MS"/>
    </font>
    <font>
      <b/>
      <sz val="11"/>
      <color rgb="FFFFFFFF"/>
      <name val="Trebuchet MS"/>
    </font>
    <font>
      <b/>
      <sz val="11"/>
      <color rgb="FF0070C0"/>
      <name val="Garamond"/>
    </font>
    <font>
      <b/>
      <sz val="11"/>
      <color rgb="FF4A86E8"/>
      <name val="Trebuchet MS"/>
    </font>
    <font>
      <sz val="11"/>
      <color rgb="FF0070C0"/>
      <name val="Garamond"/>
    </font>
    <font>
      <b/>
      <sz val="18"/>
      <color rgb="FFFFFFFF"/>
      <name val="Harrington"/>
    </font>
    <font>
      <sz val="18"/>
      <color rgb="FF000000"/>
      <name val="Harrington"/>
    </font>
    <font>
      <sz val="11"/>
      <color rgb="FF000000"/>
      <name val="Garamond"/>
    </font>
    <font>
      <b/>
      <u/>
      <sz val="10"/>
      <color rgb="FFFFFFFF"/>
      <name val="Trebuchet MS"/>
    </font>
    <font>
      <sz val="9"/>
      <color rgb="FF0070C0"/>
      <name val="Trebuchet MS"/>
    </font>
    <font>
      <sz val="12"/>
      <color rgb="FF000000"/>
      <name val="Constantia"/>
    </font>
  </fonts>
  <fills count="19">
    <fill>
      <patternFill patternType="none"/>
    </fill>
    <fill>
      <patternFill patternType="gray125"/>
    </fill>
    <fill>
      <patternFill patternType="solid">
        <fgColor rgb="FF0070C0"/>
        <bgColor rgb="FF0070C0"/>
      </patternFill>
    </fill>
    <fill>
      <patternFill patternType="solid">
        <fgColor rgb="FFF3E8D5"/>
        <bgColor rgb="FFF3E8D5"/>
      </patternFill>
    </fill>
    <fill>
      <patternFill patternType="solid">
        <fgColor rgb="FF254061"/>
        <bgColor rgb="FF254061"/>
      </patternFill>
    </fill>
    <fill>
      <patternFill patternType="solid">
        <fgColor rgb="FFFFFFCC"/>
        <bgColor rgb="FFFFFFCC"/>
      </patternFill>
    </fill>
    <fill>
      <patternFill patternType="solid">
        <fgColor rgb="FFDCE6F2"/>
        <bgColor rgb="FFDCE6F2"/>
      </patternFill>
    </fill>
    <fill>
      <patternFill patternType="solid">
        <fgColor rgb="FFFFFF00"/>
        <bgColor rgb="FFFFFF00"/>
      </patternFill>
    </fill>
    <fill>
      <patternFill patternType="solid">
        <fgColor rgb="FFFFFF99"/>
        <bgColor rgb="FFFFFF99"/>
      </patternFill>
    </fill>
    <fill>
      <patternFill patternType="solid">
        <fgColor rgb="FFFFFFFF"/>
        <bgColor rgb="FFFFFFFF"/>
      </patternFill>
    </fill>
    <fill>
      <patternFill patternType="solid">
        <fgColor rgb="FF558ED5"/>
        <bgColor rgb="FF558ED5"/>
      </patternFill>
    </fill>
    <fill>
      <patternFill patternType="solid">
        <fgColor rgb="FFF2F2F2"/>
        <bgColor rgb="FFF2F2F2"/>
      </patternFill>
    </fill>
    <fill>
      <patternFill patternType="solid">
        <fgColor rgb="FF948A54"/>
        <bgColor rgb="FF948A54"/>
      </patternFill>
    </fill>
    <fill>
      <patternFill patternType="solid">
        <fgColor rgb="FF92D050"/>
        <bgColor rgb="FF92D050"/>
      </patternFill>
    </fill>
    <fill>
      <patternFill patternType="solid">
        <fgColor rgb="FFDDD9C3"/>
        <bgColor rgb="FFDDD9C3"/>
      </patternFill>
    </fill>
    <fill>
      <patternFill patternType="solid">
        <fgColor rgb="FFFDEADA"/>
        <bgColor rgb="FFFDEADA"/>
      </patternFill>
    </fill>
    <fill>
      <patternFill patternType="solid">
        <fgColor rgb="FFFFCC00"/>
        <bgColor rgb="FFFFCC00"/>
      </patternFill>
    </fill>
    <fill>
      <patternFill patternType="solid">
        <fgColor rgb="FFDDDDDD"/>
        <bgColor rgb="FFDDDDDD"/>
      </patternFill>
    </fill>
    <fill>
      <patternFill patternType="solid">
        <fgColor rgb="FFCC6600"/>
        <bgColor rgb="FFCC6600"/>
      </patternFill>
    </fill>
  </fills>
  <borders count="24">
    <border>
      <left/>
      <right/>
      <top/>
      <bottom/>
      <diagonal/>
    </border>
    <border>
      <left style="thick">
        <color rgb="FFE46C0A"/>
      </left>
      <right/>
      <top style="thick">
        <color rgb="FFE46C0A"/>
      </top>
      <bottom style="thick">
        <color rgb="FFC4BD97"/>
      </bottom>
      <diagonal/>
    </border>
    <border>
      <left/>
      <right style="thick">
        <color rgb="FFE46C0A"/>
      </right>
      <top style="thick">
        <color rgb="FFE46C0A"/>
      </top>
      <bottom style="thick">
        <color rgb="FFC4BD97"/>
      </bottom>
      <diagonal/>
    </border>
    <border>
      <left style="dotted">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ck">
        <color rgb="FFC4BD97"/>
      </left>
      <right style="thick">
        <color rgb="FFC4BD97"/>
      </right>
      <top style="thick">
        <color rgb="FFC4BD97"/>
      </top>
      <bottom style="thick">
        <color rgb="FFC4BD97"/>
      </bottom>
      <diagonal/>
    </border>
    <border>
      <left style="thick">
        <color rgb="FF000000"/>
      </left>
      <right/>
      <top/>
      <bottom/>
      <diagonal/>
    </border>
    <border>
      <left/>
      <right style="thick">
        <color rgb="FF000000"/>
      </right>
      <top/>
      <bottom/>
      <diagonal/>
    </border>
    <border>
      <left style="thin">
        <color rgb="FF000000"/>
      </left>
      <right/>
      <top/>
      <bottom/>
      <diagonal/>
    </border>
    <border>
      <left/>
      <right style="thin">
        <color rgb="FF000000"/>
      </right>
      <top/>
      <bottom/>
      <diagonal/>
    </border>
    <border>
      <left style="thick">
        <color rgb="FFC4BD97"/>
      </left>
      <right/>
      <top style="thick">
        <color rgb="FFC4BD97"/>
      </top>
      <bottom style="thick">
        <color rgb="FFC4BD97"/>
      </bottom>
      <diagonal/>
    </border>
    <border>
      <left style="thick">
        <color rgb="FF000000"/>
      </left>
      <right style="thick">
        <color rgb="FF000000"/>
      </right>
      <top style="thick">
        <color rgb="FF000000"/>
      </top>
      <bottom style="thick">
        <color rgb="FF000000"/>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32">
    <xf numFmtId="0" fontId="0" fillId="0" borderId="0" xfId="0" applyFont="1" applyAlignment="1">
      <alignment wrapText="1"/>
    </xf>
    <xf numFmtId="0" fontId="1" fillId="2" borderId="0" xfId="0" applyFont="1" applyFill="1" applyBorder="1" applyAlignment="1">
      <alignment vertical="center"/>
    </xf>
    <xf numFmtId="164" fontId="2" fillId="2" borderId="0" xfId="0" applyNumberFormat="1" applyFont="1" applyFill="1" applyBorder="1" applyAlignment="1">
      <alignment vertical="center"/>
    </xf>
    <xf numFmtId="20" fontId="2" fillId="2" borderId="0" xfId="0" applyNumberFormat="1" applyFont="1" applyFill="1" applyBorder="1" applyAlignment="1">
      <alignment vertical="center"/>
    </xf>
    <xf numFmtId="0" fontId="3" fillId="2" borderId="0" xfId="0" applyFont="1" applyFill="1" applyBorder="1" applyAlignment="1">
      <alignment vertical="center"/>
    </xf>
    <xf numFmtId="1" fontId="3" fillId="2" borderId="0" xfId="0" applyNumberFormat="1" applyFont="1" applyFill="1" applyBorder="1" applyAlignment="1">
      <alignment vertical="center"/>
    </xf>
    <xf numFmtId="0" fontId="5" fillId="0" borderId="0" xfId="0" applyFont="1" applyAlignment="1">
      <alignment horizontal="center" shrinkToFit="1"/>
    </xf>
    <xf numFmtId="0" fontId="5" fillId="0" borderId="0" xfId="0" applyFont="1" applyAlignment="1">
      <alignment horizontal="center"/>
    </xf>
    <xf numFmtId="0" fontId="6" fillId="2" borderId="0" xfId="0" applyFont="1" applyFill="1" applyBorder="1" applyAlignment="1">
      <alignment horizontal="left" shrinkToFit="1"/>
    </xf>
    <xf numFmtId="164" fontId="2" fillId="2" borderId="0" xfId="0" applyNumberFormat="1" applyFont="1" applyFill="1" applyBorder="1" applyAlignment="1">
      <alignment horizontal="center" shrinkToFit="1"/>
    </xf>
    <xf numFmtId="20" fontId="2" fillId="2" borderId="0" xfId="0" applyNumberFormat="1" applyFont="1" applyFill="1" applyBorder="1" applyAlignment="1">
      <alignment horizontal="center" shrinkToFit="1"/>
    </xf>
    <xf numFmtId="0" fontId="7" fillId="2" borderId="0" xfId="0" applyFont="1" applyFill="1" applyBorder="1" applyAlignment="1">
      <alignment horizontal="center" shrinkToFit="1"/>
    </xf>
    <xf numFmtId="0" fontId="3" fillId="2" borderId="0" xfId="0" applyFont="1" applyFill="1" applyBorder="1" applyAlignment="1">
      <alignment horizontal="center" shrinkToFit="1"/>
    </xf>
    <xf numFmtId="0" fontId="9" fillId="2" borderId="0" xfId="0" applyFont="1" applyFill="1" applyBorder="1" applyAlignment="1">
      <alignment horizontal="center" shrinkToFit="1"/>
    </xf>
    <xf numFmtId="0" fontId="5" fillId="0" borderId="4" xfId="0" applyFont="1" applyBorder="1" applyAlignment="1">
      <alignment horizontal="center"/>
    </xf>
    <xf numFmtId="0" fontId="10" fillId="4" borderId="5" xfId="0" applyFont="1" applyFill="1" applyBorder="1"/>
    <xf numFmtId="0" fontId="10" fillId="4" borderId="6" xfId="0" applyFont="1" applyFill="1" applyBorder="1" applyAlignment="1">
      <alignment horizontal="center"/>
    </xf>
    <xf numFmtId="0" fontId="10" fillId="4" borderId="7" xfId="0" applyFont="1" applyFill="1" applyBorder="1" applyAlignment="1">
      <alignment horizontal="center"/>
    </xf>
    <xf numFmtId="0" fontId="11" fillId="4" borderId="8" xfId="0" applyFont="1" applyFill="1" applyBorder="1"/>
    <xf numFmtId="0" fontId="12" fillId="4" borderId="9" xfId="0" applyFont="1" applyFill="1" applyBorder="1" applyAlignment="1">
      <alignment horizontal="center" vertical="center"/>
    </xf>
    <xf numFmtId="0" fontId="12" fillId="4" borderId="10" xfId="0" applyFont="1" applyFill="1" applyBorder="1" applyAlignment="1">
      <alignment horizontal="center" vertical="center"/>
    </xf>
    <xf numFmtId="0" fontId="9" fillId="4" borderId="5" xfId="0" applyFont="1" applyFill="1" applyBorder="1"/>
    <xf numFmtId="0" fontId="9" fillId="4" borderId="6" xfId="0" applyFont="1" applyFill="1" applyBorder="1" applyAlignment="1">
      <alignment horizontal="center"/>
    </xf>
    <xf numFmtId="0" fontId="9" fillId="4" borderId="7" xfId="0" applyFont="1" applyFill="1" applyBorder="1" applyAlignment="1">
      <alignment horizontal="center"/>
    </xf>
    <xf numFmtId="0" fontId="13" fillId="3" borderId="0" xfId="0" applyFont="1" applyFill="1" applyBorder="1" applyAlignment="1">
      <alignment horizontal="center"/>
    </xf>
    <xf numFmtId="164" fontId="14" fillId="0" borderId="0" xfId="0" applyNumberFormat="1" applyFont="1" applyAlignment="1">
      <alignment horizontal="center"/>
    </xf>
    <xf numFmtId="20" fontId="14" fillId="0" borderId="0" xfId="0" applyNumberFormat="1" applyFont="1" applyAlignment="1">
      <alignment horizontal="center"/>
    </xf>
    <xf numFmtId="0" fontId="7" fillId="0" borderId="0" xfId="0" applyFont="1" applyAlignment="1">
      <alignment horizontal="center"/>
    </xf>
    <xf numFmtId="0" fontId="15" fillId="0" borderId="0" xfId="0" applyFont="1" applyAlignment="1">
      <alignment horizontal="center"/>
    </xf>
    <xf numFmtId="0" fontId="5" fillId="7" borderId="4" xfId="0" applyFont="1" applyFill="1" applyBorder="1" applyAlignment="1">
      <alignment horizontal="center"/>
    </xf>
    <xf numFmtId="0" fontId="16" fillId="8" borderId="12" xfId="0" applyFont="1" applyFill="1" applyBorder="1"/>
    <xf numFmtId="0" fontId="16" fillId="8" borderId="0" xfId="0" applyFont="1" applyFill="1" applyBorder="1" applyAlignment="1">
      <alignment horizontal="center"/>
    </xf>
    <xf numFmtId="0" fontId="16" fillId="8" borderId="13" xfId="0" applyFont="1" applyFill="1" applyBorder="1" applyAlignment="1">
      <alignment horizontal="center"/>
    </xf>
    <xf numFmtId="0" fontId="4" fillId="0" borderId="0" xfId="0" applyFont="1" applyAlignment="1">
      <alignment horizontal="center"/>
    </xf>
    <xf numFmtId="0" fontId="17" fillId="9" borderId="14" xfId="0" applyFont="1" applyFill="1" applyBorder="1"/>
    <xf numFmtId="0" fontId="17" fillId="9" borderId="0" xfId="0" applyFont="1" applyFill="1" applyBorder="1" applyAlignment="1">
      <alignment horizontal="center" vertical="center"/>
    </xf>
    <xf numFmtId="0" fontId="17" fillId="9" borderId="15" xfId="0" applyFont="1" applyFill="1" applyBorder="1" applyAlignment="1">
      <alignment horizontal="center" vertical="center"/>
    </xf>
    <xf numFmtId="0" fontId="18" fillId="0" borderId="0" xfId="0" applyFont="1" applyAlignment="1">
      <alignment horizontal="right"/>
    </xf>
    <xf numFmtId="0" fontId="4" fillId="0" borderId="0" xfId="0" applyFont="1"/>
    <xf numFmtId="1" fontId="19" fillId="5" borderId="11" xfId="0" applyNumberFormat="1" applyFont="1" applyFill="1" applyBorder="1" applyAlignment="1">
      <alignment horizontal="center"/>
    </xf>
    <xf numFmtId="1" fontId="19" fillId="5" borderId="16" xfId="0" applyNumberFormat="1" applyFont="1" applyFill="1" applyBorder="1" applyAlignment="1">
      <alignment horizontal="center"/>
    </xf>
    <xf numFmtId="0" fontId="20" fillId="10" borderId="17" xfId="0" applyFont="1" applyFill="1" applyBorder="1" applyAlignment="1">
      <alignment horizontal="center"/>
    </xf>
    <xf numFmtId="0" fontId="4" fillId="6" borderId="0" xfId="0" applyFont="1" applyFill="1" applyBorder="1" applyAlignment="1">
      <alignment horizontal="center"/>
    </xf>
    <xf numFmtId="0" fontId="4" fillId="11" borderId="0" xfId="0" applyFont="1" applyFill="1" applyBorder="1"/>
    <xf numFmtId="0" fontId="21" fillId="12" borderId="12" xfId="0" applyFont="1" applyFill="1" applyBorder="1"/>
    <xf numFmtId="0" fontId="21" fillId="12" borderId="0" xfId="0" applyFont="1" applyFill="1" applyBorder="1" applyAlignment="1">
      <alignment horizontal="center"/>
    </xf>
    <xf numFmtId="0" fontId="21" fillId="12" borderId="13" xfId="0" applyFont="1" applyFill="1" applyBorder="1" applyAlignment="1">
      <alignment horizontal="center"/>
    </xf>
    <xf numFmtId="0" fontId="5" fillId="0" borderId="3" xfId="0" applyFont="1" applyBorder="1" applyAlignment="1">
      <alignment horizontal="center"/>
    </xf>
    <xf numFmtId="0" fontId="17" fillId="8" borderId="14" xfId="0" applyFont="1" applyFill="1" applyBorder="1"/>
    <xf numFmtId="0" fontId="17" fillId="8" borderId="0" xfId="0" applyFont="1" applyFill="1" applyBorder="1" applyAlignment="1">
      <alignment horizontal="center" vertical="center"/>
    </xf>
    <xf numFmtId="0" fontId="17" fillId="8" borderId="15" xfId="0" applyFont="1" applyFill="1" applyBorder="1" applyAlignment="1">
      <alignment horizontal="center" vertical="center"/>
    </xf>
    <xf numFmtId="0" fontId="17" fillId="13" borderId="14" xfId="0" applyFont="1" applyFill="1" applyBorder="1"/>
    <xf numFmtId="0" fontId="17" fillId="13" borderId="0" xfId="0" applyFont="1" applyFill="1" applyBorder="1" applyAlignment="1">
      <alignment horizontal="center" vertical="center"/>
    </xf>
    <xf numFmtId="0" fontId="17" fillId="13" borderId="15" xfId="0" applyFont="1" applyFill="1" applyBorder="1" applyAlignment="1">
      <alignment horizontal="center" vertical="center"/>
    </xf>
    <xf numFmtId="0" fontId="16" fillId="8" borderId="18" xfId="0" applyFont="1" applyFill="1" applyBorder="1"/>
    <xf numFmtId="0" fontId="16" fillId="8" borderId="19" xfId="0" applyFont="1" applyFill="1" applyBorder="1" applyAlignment="1">
      <alignment horizontal="center"/>
    </xf>
    <xf numFmtId="0" fontId="16" fillId="8" borderId="20" xfId="0" applyFont="1" applyFill="1" applyBorder="1" applyAlignment="1">
      <alignment horizontal="center"/>
    </xf>
    <xf numFmtId="0" fontId="17" fillId="13" borderId="21" xfId="0" applyFont="1" applyFill="1" applyBorder="1"/>
    <xf numFmtId="0" fontId="17" fillId="13" borderId="22" xfId="0" applyFont="1" applyFill="1" applyBorder="1" applyAlignment="1">
      <alignment horizontal="center" vertical="center"/>
    </xf>
    <xf numFmtId="0" fontId="17" fillId="13" borderId="23" xfId="0" applyFont="1" applyFill="1" applyBorder="1" applyAlignment="1">
      <alignment horizontal="center" vertical="center"/>
    </xf>
    <xf numFmtId="0" fontId="21" fillId="12" borderId="18" xfId="0" applyFont="1" applyFill="1" applyBorder="1"/>
    <xf numFmtId="0" fontId="16" fillId="0" borderId="0" xfId="0" applyFont="1"/>
    <xf numFmtId="0" fontId="4" fillId="3" borderId="0" xfId="0" applyFont="1" applyFill="1" applyBorder="1"/>
    <xf numFmtId="0" fontId="10" fillId="4" borderId="3" xfId="0" applyFont="1" applyFill="1" applyBorder="1"/>
    <xf numFmtId="0" fontId="16" fillId="8" borderId="3" xfId="0" applyFont="1" applyFill="1" applyBorder="1"/>
    <xf numFmtId="0" fontId="16" fillId="0" borderId="3" xfId="0" applyFont="1" applyBorder="1"/>
    <xf numFmtId="0" fontId="22" fillId="4" borderId="5" xfId="0" applyFont="1" applyFill="1" applyBorder="1"/>
    <xf numFmtId="0" fontId="4" fillId="11" borderId="0" xfId="0" applyFont="1" applyFill="1" applyBorder="1" applyAlignment="1">
      <alignment horizontal="center" vertical="center"/>
    </xf>
    <xf numFmtId="164" fontId="23" fillId="6" borderId="0" xfId="0" applyNumberFormat="1" applyFont="1" applyFill="1" applyBorder="1" applyAlignment="1">
      <alignment horizontal="center"/>
    </xf>
    <xf numFmtId="20" fontId="23" fillId="6" borderId="0" xfId="0" applyNumberFormat="1" applyFont="1" applyFill="1" applyBorder="1" applyAlignment="1">
      <alignment horizontal="center"/>
    </xf>
    <xf numFmtId="0" fontId="24" fillId="6" borderId="0" xfId="0" applyFont="1" applyFill="1" applyBorder="1" applyAlignment="1">
      <alignment horizontal="center"/>
    </xf>
    <xf numFmtId="1" fontId="25" fillId="6" borderId="0" xfId="0" applyNumberFormat="1" applyFont="1" applyFill="1" applyBorder="1" applyAlignment="1">
      <alignment horizontal="center"/>
    </xf>
    <xf numFmtId="0" fontId="15" fillId="6" borderId="0" xfId="0" applyFont="1" applyFill="1" applyBorder="1"/>
    <xf numFmtId="0" fontId="19" fillId="6" borderId="0" xfId="0" applyFont="1" applyFill="1" applyBorder="1"/>
    <xf numFmtId="164" fontId="2" fillId="2" borderId="0" xfId="0" applyNumberFormat="1" applyFont="1" applyFill="1" applyBorder="1"/>
    <xf numFmtId="20" fontId="2" fillId="2" borderId="0" xfId="0" applyNumberFormat="1" applyFont="1" applyFill="1" applyBorder="1"/>
    <xf numFmtId="0" fontId="3" fillId="2" borderId="0" xfId="0" applyFont="1" applyFill="1" applyBorder="1"/>
    <xf numFmtId="1" fontId="3" fillId="2" borderId="0" xfId="0" applyNumberFormat="1" applyFont="1" applyFill="1" applyBorder="1"/>
    <xf numFmtId="0" fontId="17" fillId="0" borderId="0" xfId="0" applyFont="1" applyAlignment="1">
      <alignment horizontal="center" vertical="center"/>
    </xf>
    <xf numFmtId="0" fontId="26" fillId="0" borderId="0" xfId="0" applyFont="1" applyAlignment="1">
      <alignment horizontal="left"/>
    </xf>
    <xf numFmtId="0" fontId="28" fillId="11" borderId="0" xfId="0" applyFont="1" applyFill="1" applyBorder="1" applyAlignment="1">
      <alignment horizontal="left"/>
    </xf>
    <xf numFmtId="1" fontId="26" fillId="5" borderId="11" xfId="0" applyNumberFormat="1" applyFont="1" applyFill="1" applyBorder="1" applyAlignment="1">
      <alignment horizontal="center"/>
    </xf>
    <xf numFmtId="1" fontId="27" fillId="5" borderId="11" xfId="0" applyNumberFormat="1" applyFont="1" applyFill="1" applyBorder="1" applyAlignment="1">
      <alignment horizontal="center"/>
    </xf>
    <xf numFmtId="0" fontId="26" fillId="0" borderId="0" xfId="0" applyFont="1" applyAlignment="1">
      <alignment horizontal="right"/>
    </xf>
    <xf numFmtId="0" fontId="29" fillId="6" borderId="0" xfId="0" applyFont="1" applyFill="1" applyBorder="1" applyAlignment="1">
      <alignment horizontal="center"/>
    </xf>
    <xf numFmtId="1" fontId="30" fillId="6" borderId="0" xfId="0" applyNumberFormat="1" applyFont="1" applyFill="1" applyBorder="1" applyAlignment="1">
      <alignment horizontal="center"/>
    </xf>
    <xf numFmtId="0" fontId="30" fillId="6" borderId="0" xfId="0" applyFont="1" applyFill="1" applyBorder="1"/>
    <xf numFmtId="0" fontId="4" fillId="6" borderId="0" xfId="0" applyFont="1" applyFill="1" applyBorder="1"/>
    <xf numFmtId="0" fontId="31" fillId="2" borderId="0" xfId="0" applyFont="1" applyFill="1" applyBorder="1"/>
    <xf numFmtId="1" fontId="31" fillId="2" borderId="0" xfId="0" applyNumberFormat="1" applyFont="1" applyFill="1" applyBorder="1"/>
    <xf numFmtId="1" fontId="32" fillId="5" borderId="11" xfId="0" applyNumberFormat="1" applyFont="1" applyFill="1" applyBorder="1" applyAlignment="1">
      <alignment horizontal="center"/>
    </xf>
    <xf numFmtId="0" fontId="33" fillId="0" borderId="0" xfId="0" applyFont="1" applyAlignment="1">
      <alignment horizontal="right"/>
    </xf>
    <xf numFmtId="0" fontId="31" fillId="2" borderId="0" xfId="0" applyFont="1" applyFill="1" applyBorder="1" applyAlignment="1"/>
    <xf numFmtId="0" fontId="34" fillId="14" borderId="0" xfId="0" applyFont="1" applyFill="1" applyBorder="1" applyAlignment="1">
      <alignment horizontal="center" vertical="center"/>
    </xf>
    <xf numFmtId="1" fontId="35" fillId="16" borderId="0" xfId="0" applyNumberFormat="1" applyFont="1" applyFill="1" applyBorder="1" applyAlignment="1">
      <alignment horizontal="left" vertical="center"/>
    </xf>
    <xf numFmtId="0" fontId="35" fillId="16" borderId="0" xfId="0" applyFont="1" applyFill="1" applyBorder="1" applyAlignment="1">
      <alignment horizontal="left" vertical="center"/>
    </xf>
    <xf numFmtId="14" fontId="5" fillId="0" borderId="0" xfId="0" applyNumberFormat="1" applyFont="1" applyAlignment="1">
      <alignment horizontal="center"/>
    </xf>
    <xf numFmtId="1" fontId="36" fillId="17" borderId="0" xfId="0" applyNumberFormat="1" applyFont="1" applyFill="1" applyBorder="1" applyAlignment="1">
      <alignment horizontal="left" vertical="center"/>
    </xf>
    <xf numFmtId="0" fontId="36" fillId="17" borderId="0" xfId="0" applyFont="1" applyFill="1" applyBorder="1" applyAlignment="1">
      <alignment horizontal="left" vertical="center"/>
    </xf>
    <xf numFmtId="1" fontId="36" fillId="18" borderId="0" xfId="0" applyNumberFormat="1" applyFont="1" applyFill="1" applyBorder="1" applyAlignment="1">
      <alignment horizontal="left" vertical="center"/>
    </xf>
    <xf numFmtId="0" fontId="36" fillId="18" borderId="0" xfId="0" applyFont="1" applyFill="1" applyBorder="1" applyAlignment="1">
      <alignment horizontal="left" vertical="center"/>
    </xf>
    <xf numFmtId="0" fontId="25" fillId="6" borderId="0" xfId="0" applyFont="1" applyFill="1" applyBorder="1"/>
    <xf numFmtId="1" fontId="37" fillId="14" borderId="0" xfId="0" applyNumberFormat="1" applyFont="1" applyFill="1" applyBorder="1" applyAlignment="1">
      <alignment horizontal="center" vertical="center"/>
    </xf>
    <xf numFmtId="0" fontId="37" fillId="14" borderId="0" xfId="0" applyFont="1" applyFill="1" applyBorder="1" applyAlignment="1">
      <alignment horizontal="center" vertical="center"/>
    </xf>
    <xf numFmtId="0" fontId="4" fillId="14" borderId="0" xfId="0" applyFont="1" applyFill="1" applyBorder="1" applyAlignment="1">
      <alignment horizontal="center" vertical="center"/>
    </xf>
    <xf numFmtId="0" fontId="38" fillId="2" borderId="0" xfId="0" applyFont="1" applyFill="1" applyBorder="1"/>
    <xf numFmtId="0" fontId="7" fillId="0" borderId="0" xfId="0" applyFont="1" applyAlignment="1">
      <alignment horizontal="left"/>
    </xf>
    <xf numFmtId="1" fontId="7" fillId="5" borderId="11" xfId="0" applyNumberFormat="1" applyFont="1" applyFill="1" applyBorder="1" applyAlignment="1">
      <alignment horizontal="center"/>
    </xf>
    <xf numFmtId="0" fontId="7" fillId="0" borderId="0" xfId="0" applyFont="1" applyAlignment="1">
      <alignment horizontal="right"/>
    </xf>
    <xf numFmtId="0" fontId="28" fillId="15" borderId="0" xfId="0" applyFont="1" applyFill="1" applyBorder="1" applyAlignment="1">
      <alignment horizontal="left"/>
    </xf>
    <xf numFmtId="0" fontId="28" fillId="3" borderId="0" xfId="0" applyFont="1" applyFill="1" applyBorder="1"/>
    <xf numFmtId="164" fontId="23" fillId="3" borderId="0" xfId="0" applyNumberFormat="1" applyFont="1" applyFill="1" applyBorder="1" applyAlignment="1">
      <alignment horizontal="center"/>
    </xf>
    <xf numFmtId="20" fontId="23" fillId="3" borderId="0" xfId="0" applyNumberFormat="1" applyFont="1" applyFill="1" applyBorder="1" applyAlignment="1">
      <alignment horizontal="center"/>
    </xf>
    <xf numFmtId="0" fontId="24" fillId="3" borderId="0" xfId="0" applyFont="1" applyFill="1" applyBorder="1" applyAlignment="1">
      <alignment horizontal="center"/>
    </xf>
    <xf numFmtId="1" fontId="25" fillId="3" borderId="0" xfId="0" applyNumberFormat="1" applyFont="1" applyFill="1" applyBorder="1" applyAlignment="1">
      <alignment horizontal="center"/>
    </xf>
    <xf numFmtId="0" fontId="25" fillId="3" borderId="0" xfId="0" applyFont="1" applyFill="1" applyBorder="1"/>
    <xf numFmtId="0" fontId="28" fillId="0" borderId="0" xfId="0" applyFont="1"/>
    <xf numFmtId="1" fontId="23" fillId="0" borderId="0" xfId="0" applyNumberFormat="1" applyFont="1"/>
    <xf numFmtId="20" fontId="39" fillId="0" borderId="0" xfId="0" applyNumberFormat="1" applyFont="1"/>
    <xf numFmtId="0" fontId="25" fillId="0" borderId="0" xfId="0" applyFont="1"/>
    <xf numFmtId="1" fontId="25" fillId="0" borderId="0" xfId="0" applyNumberFormat="1" applyFont="1"/>
    <xf numFmtId="0" fontId="24" fillId="0" borderId="0" xfId="0" applyFont="1"/>
    <xf numFmtId="0" fontId="17" fillId="0" borderId="0" xfId="0" applyFont="1"/>
    <xf numFmtId="22" fontId="5" fillId="0" borderId="0" xfId="0" applyNumberFormat="1" applyFont="1" applyAlignment="1">
      <alignment horizontal="center"/>
    </xf>
    <xf numFmtId="0" fontId="40" fillId="0" borderId="0" xfId="0" applyFont="1" applyAlignment="1">
      <alignment wrapText="1"/>
    </xf>
    <xf numFmtId="0" fontId="40" fillId="0" borderId="0" xfId="0" applyFont="1" applyAlignment="1">
      <alignment horizontal="left" vertical="center" wrapText="1"/>
    </xf>
    <xf numFmtId="0" fontId="40" fillId="0" borderId="0" xfId="0" applyFont="1" applyAlignment="1">
      <alignment vertical="center"/>
    </xf>
    <xf numFmtId="0" fontId="20" fillId="2" borderId="19" xfId="0" applyFont="1" applyFill="1" applyBorder="1" applyAlignment="1">
      <alignment horizontal="center"/>
    </xf>
    <xf numFmtId="0" fontId="8" fillId="0" borderId="19" xfId="0" applyFont="1" applyBorder="1" applyAlignment="1">
      <alignment wrapText="1"/>
    </xf>
    <xf numFmtId="1" fontId="3" fillId="2" borderId="1" xfId="0" applyNumberFormat="1" applyFont="1" applyFill="1" applyBorder="1" applyAlignment="1">
      <alignment horizontal="center" shrinkToFit="1"/>
    </xf>
    <xf numFmtId="0" fontId="8" fillId="0" borderId="2" xfId="0" applyFont="1" applyBorder="1" applyAlignment="1">
      <alignment wrapText="1"/>
    </xf>
    <xf numFmtId="0" fontId="40" fillId="0" borderId="0" xfId="0" applyFont="1" applyAlignment="1">
      <alignment horizontal="left" vertical="center" wrapText="1"/>
    </xf>
  </cellXfs>
  <cellStyles count="1">
    <cellStyle name="Normál" xfId="0" builtinId="0"/>
  </cellStyles>
  <dxfs count="9">
    <dxf>
      <fill>
        <patternFill patternType="solid">
          <fgColor rgb="FF92D050"/>
          <bgColor rgb="FF92D050"/>
        </patternFill>
      </fill>
      <border>
        <left/>
        <right/>
        <top/>
        <bottom/>
      </border>
    </dxf>
    <dxf>
      <fill>
        <patternFill patternType="solid">
          <fgColor rgb="FF92D050"/>
          <bgColor rgb="FF92D050"/>
        </patternFill>
      </fill>
      <border>
        <left/>
        <right/>
        <top/>
        <bottom/>
      </border>
    </dxf>
    <dxf>
      <fill>
        <patternFill patternType="solid">
          <fgColor rgb="FF92D050"/>
          <bgColor rgb="FF92D050"/>
        </patternFill>
      </fill>
      <border>
        <left/>
        <right/>
        <top/>
        <bottom/>
      </border>
    </dxf>
    <dxf>
      <fill>
        <patternFill patternType="solid">
          <fgColor rgb="FF92D050"/>
          <bgColor rgb="FF92D050"/>
        </patternFill>
      </fill>
      <border>
        <left/>
        <right/>
        <top/>
        <bottom/>
      </border>
    </dxf>
    <dxf>
      <fill>
        <patternFill patternType="solid">
          <fgColor rgb="FFFFF2CC"/>
          <bgColor rgb="FFFFF2CC"/>
        </patternFill>
      </fill>
      <alignment wrapText="1"/>
      <border>
        <left/>
        <right/>
        <top/>
        <bottom/>
      </border>
    </dxf>
    <dxf>
      <font>
        <color rgb="FF38761D"/>
      </font>
      <fill>
        <patternFill patternType="none"/>
      </fill>
      <alignment wrapText="1"/>
      <border>
        <left/>
        <right/>
        <top/>
        <bottom/>
      </border>
    </dxf>
    <dxf>
      <font>
        <color rgb="FF38761D"/>
      </font>
      <fill>
        <patternFill patternType="none"/>
      </fill>
      <alignment wrapText="1"/>
      <border>
        <left/>
        <right/>
        <top/>
        <bottom/>
      </border>
    </dxf>
    <dxf>
      <font>
        <color rgb="FFE69138"/>
      </font>
      <fill>
        <patternFill patternType="none"/>
      </fill>
      <alignment wrapText="1"/>
      <border>
        <left/>
        <right/>
        <top/>
        <bottom/>
      </border>
    </dxf>
    <dxf>
      <font>
        <color rgb="FFE69138"/>
      </font>
      <fill>
        <patternFill patternType="none"/>
      </fill>
      <alignment wrapText="1"/>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30</xdr:col>
      <xdr:colOff>66675</xdr:colOff>
      <xdr:row>48</xdr:row>
      <xdr:rowOff>514350</xdr:rowOff>
    </xdr:from>
    <xdr:to>
      <xdr:col>37</xdr:col>
      <xdr:colOff>285750</xdr:colOff>
      <xdr:row>57</xdr:row>
      <xdr:rowOff>161925</xdr:rowOff>
    </xdr:to>
    <xdr:pic>
      <xdr:nvPicPr>
        <xdr:cNvPr id="2" name="image06.jpg" title="Kép">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3305175" cy="1790700"/>
        </a:xfrm>
        <a:prstGeom prst="rect">
          <a:avLst/>
        </a:prstGeom>
        <a:noFill/>
      </xdr:spPr>
    </xdr:pic>
    <xdr:clientData fLocksWithSheet="0"/>
  </xdr:twoCellAnchor>
  <xdr:twoCellAnchor>
    <xdr:from>
      <xdr:col>31</xdr:col>
      <xdr:colOff>0</xdr:colOff>
      <xdr:row>0</xdr:row>
      <xdr:rowOff>0</xdr:rowOff>
    </xdr:from>
    <xdr:to>
      <xdr:col>32</xdr:col>
      <xdr:colOff>38100</xdr:colOff>
      <xdr:row>0</xdr:row>
      <xdr:rowOff>200025</xdr:rowOff>
    </xdr:to>
    <xdr:pic>
      <xdr:nvPicPr>
        <xdr:cNvPr id="3" name="image04.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0" y="0"/>
          <a:ext cx="390525" cy="200025"/>
        </a:xfrm>
        <a:prstGeom prst="rect">
          <a:avLst/>
        </a:prstGeom>
        <a:noFill/>
      </xdr:spPr>
    </xdr:pic>
    <xdr:clientData fLocksWithSheet="0"/>
  </xdr:twoCellAnchor>
  <xdr:twoCellAnchor>
    <xdr:from>
      <xdr:col>33</xdr:col>
      <xdr:colOff>0</xdr:colOff>
      <xdr:row>0</xdr:row>
      <xdr:rowOff>0</xdr:rowOff>
    </xdr:from>
    <xdr:to>
      <xdr:col>34</xdr:col>
      <xdr:colOff>38100</xdr:colOff>
      <xdr:row>0</xdr:row>
      <xdr:rowOff>200025</xdr:rowOff>
    </xdr:to>
    <xdr:pic>
      <xdr:nvPicPr>
        <xdr:cNvPr id="4" name="image05.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xfrm>
          <a:off x="0" y="0"/>
          <a:ext cx="390525" cy="200025"/>
        </a:xfrm>
        <a:prstGeom prst="rect">
          <a:avLst/>
        </a:prstGeom>
        <a:noFill/>
      </xdr:spPr>
    </xdr:pic>
    <xdr:clientData fLocksWithSheet="0"/>
  </xdr:twoCellAnchor>
  <xdr:twoCellAnchor>
    <xdr:from>
      <xdr:col>35</xdr:col>
      <xdr:colOff>0</xdr:colOff>
      <xdr:row>0</xdr:row>
      <xdr:rowOff>0</xdr:rowOff>
    </xdr:from>
    <xdr:to>
      <xdr:col>36</xdr:col>
      <xdr:colOff>38100</xdr:colOff>
      <xdr:row>0</xdr:row>
      <xdr:rowOff>200025</xdr:rowOff>
    </xdr:to>
    <xdr:pic>
      <xdr:nvPicPr>
        <xdr:cNvPr id="5" name="image10.pn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xfrm>
          <a:off x="0" y="0"/>
          <a:ext cx="390525" cy="200025"/>
        </a:xfrm>
        <a:prstGeom prst="rect">
          <a:avLst/>
        </a:prstGeom>
        <a:noFill/>
      </xdr:spPr>
    </xdr:pic>
    <xdr:clientData fLocksWithSheet="0"/>
  </xdr:twoCellAnchor>
  <xdr:twoCellAnchor>
    <xdr:from>
      <xdr:col>37</xdr:col>
      <xdr:colOff>0</xdr:colOff>
      <xdr:row>0</xdr:row>
      <xdr:rowOff>0</xdr:rowOff>
    </xdr:from>
    <xdr:to>
      <xdr:col>38</xdr:col>
      <xdr:colOff>0</xdr:colOff>
      <xdr:row>0</xdr:row>
      <xdr:rowOff>200025</xdr:rowOff>
    </xdr:to>
    <xdr:pic>
      <xdr:nvPicPr>
        <xdr:cNvPr id="6" name="image02.pn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xfrm>
          <a:off x="0" y="0"/>
          <a:ext cx="400050" cy="200025"/>
        </a:xfrm>
        <a:prstGeom prst="rect">
          <a:avLst/>
        </a:prstGeom>
        <a:noFill/>
      </xdr:spPr>
    </xdr:pic>
    <xdr:clientData fLocksWithSheet="0"/>
  </xdr:twoCellAnchor>
  <xdr:twoCellAnchor>
    <xdr:from>
      <xdr:col>31</xdr:col>
      <xdr:colOff>0</xdr:colOff>
      <xdr:row>6</xdr:row>
      <xdr:rowOff>0</xdr:rowOff>
    </xdr:from>
    <xdr:to>
      <xdr:col>32</xdr:col>
      <xdr:colOff>38100</xdr:colOff>
      <xdr:row>6</xdr:row>
      <xdr:rowOff>209550</xdr:rowOff>
    </xdr:to>
    <xdr:pic>
      <xdr:nvPicPr>
        <xdr:cNvPr id="7" name="image01.png">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6" cstate="print"/>
        <a:stretch>
          <a:fillRect/>
        </a:stretch>
      </xdr:blipFill>
      <xdr:spPr>
        <a:xfrm>
          <a:off x="0" y="0"/>
          <a:ext cx="390525" cy="209550"/>
        </a:xfrm>
        <a:prstGeom prst="rect">
          <a:avLst/>
        </a:prstGeom>
        <a:noFill/>
      </xdr:spPr>
    </xdr:pic>
    <xdr:clientData fLocksWithSheet="0"/>
  </xdr:twoCellAnchor>
  <xdr:twoCellAnchor>
    <xdr:from>
      <xdr:col>33</xdr:col>
      <xdr:colOff>0</xdr:colOff>
      <xdr:row>6</xdr:row>
      <xdr:rowOff>0</xdr:rowOff>
    </xdr:from>
    <xdr:to>
      <xdr:col>34</xdr:col>
      <xdr:colOff>38100</xdr:colOff>
      <xdr:row>6</xdr:row>
      <xdr:rowOff>209550</xdr:rowOff>
    </xdr:to>
    <xdr:pic>
      <xdr:nvPicPr>
        <xdr:cNvPr id="8" name="image03.png">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7" cstate="print"/>
        <a:stretch>
          <a:fillRect/>
        </a:stretch>
      </xdr:blipFill>
      <xdr:spPr>
        <a:xfrm>
          <a:off x="0" y="0"/>
          <a:ext cx="390525" cy="209550"/>
        </a:xfrm>
        <a:prstGeom prst="rect">
          <a:avLst/>
        </a:prstGeom>
        <a:noFill/>
      </xdr:spPr>
    </xdr:pic>
    <xdr:clientData fLocksWithSheet="0"/>
  </xdr:twoCellAnchor>
  <xdr:twoCellAnchor>
    <xdr:from>
      <xdr:col>35</xdr:col>
      <xdr:colOff>0</xdr:colOff>
      <xdr:row>6</xdr:row>
      <xdr:rowOff>0</xdr:rowOff>
    </xdr:from>
    <xdr:to>
      <xdr:col>36</xdr:col>
      <xdr:colOff>38100</xdr:colOff>
      <xdr:row>6</xdr:row>
      <xdr:rowOff>209550</xdr:rowOff>
    </xdr:to>
    <xdr:pic>
      <xdr:nvPicPr>
        <xdr:cNvPr id="9" name="image07.png">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8" cstate="print"/>
        <a:stretch>
          <a:fillRect/>
        </a:stretch>
      </xdr:blipFill>
      <xdr:spPr>
        <a:xfrm>
          <a:off x="0" y="0"/>
          <a:ext cx="390525" cy="209550"/>
        </a:xfrm>
        <a:prstGeom prst="rect">
          <a:avLst/>
        </a:prstGeom>
        <a:noFill/>
      </xdr:spPr>
    </xdr:pic>
    <xdr:clientData fLocksWithSheet="0"/>
  </xdr:twoCellAnchor>
  <xdr:twoCellAnchor>
    <xdr:from>
      <xdr:col>37</xdr:col>
      <xdr:colOff>0</xdr:colOff>
      <xdr:row>6</xdr:row>
      <xdr:rowOff>0</xdr:rowOff>
    </xdr:from>
    <xdr:to>
      <xdr:col>38</xdr:col>
      <xdr:colOff>0</xdr:colOff>
      <xdr:row>6</xdr:row>
      <xdr:rowOff>209550</xdr:rowOff>
    </xdr:to>
    <xdr:pic>
      <xdr:nvPicPr>
        <xdr:cNvPr id="10" name="image09.png">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9" cstate="print"/>
        <a:stretch>
          <a:fillRect/>
        </a:stretch>
      </xdr:blipFill>
      <xdr:spPr>
        <a:xfrm>
          <a:off x="0" y="0"/>
          <a:ext cx="400050" cy="209550"/>
        </a:xfrm>
        <a:prstGeom prst="rect">
          <a:avLst/>
        </a:prstGeom>
        <a:noFill/>
      </xdr:spPr>
    </xdr:pic>
    <xdr:clientData fLocksWithSheet="0"/>
  </xdr:twoCellAnchor>
  <xdr:twoCellAnchor>
    <xdr:from>
      <xdr:col>31</xdr:col>
      <xdr:colOff>0</xdr:colOff>
      <xdr:row>12</xdr:row>
      <xdr:rowOff>0</xdr:rowOff>
    </xdr:from>
    <xdr:to>
      <xdr:col>32</xdr:col>
      <xdr:colOff>38100</xdr:colOff>
      <xdr:row>12</xdr:row>
      <xdr:rowOff>209550</xdr:rowOff>
    </xdr:to>
    <xdr:pic>
      <xdr:nvPicPr>
        <xdr:cNvPr id="11" name="image00.png">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0" cstate="print"/>
        <a:stretch>
          <a:fillRect/>
        </a:stretch>
      </xdr:blipFill>
      <xdr:spPr>
        <a:xfrm>
          <a:off x="0" y="0"/>
          <a:ext cx="390525" cy="209550"/>
        </a:xfrm>
        <a:prstGeom prst="rect">
          <a:avLst/>
        </a:prstGeom>
        <a:noFill/>
      </xdr:spPr>
    </xdr:pic>
    <xdr:clientData fLocksWithSheet="0"/>
  </xdr:twoCellAnchor>
  <xdr:twoCellAnchor>
    <xdr:from>
      <xdr:col>33</xdr:col>
      <xdr:colOff>0</xdr:colOff>
      <xdr:row>12</xdr:row>
      <xdr:rowOff>0</xdr:rowOff>
    </xdr:from>
    <xdr:to>
      <xdr:col>34</xdr:col>
      <xdr:colOff>38100</xdr:colOff>
      <xdr:row>12</xdr:row>
      <xdr:rowOff>209550</xdr:rowOff>
    </xdr:to>
    <xdr:pic>
      <xdr:nvPicPr>
        <xdr:cNvPr id="12" name="image08.png">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1" cstate="print"/>
        <a:stretch>
          <a:fillRect/>
        </a:stretch>
      </xdr:blipFill>
      <xdr:spPr>
        <a:xfrm>
          <a:off x="0" y="0"/>
          <a:ext cx="390525" cy="209550"/>
        </a:xfrm>
        <a:prstGeom prst="rect">
          <a:avLst/>
        </a:prstGeom>
        <a:noFill/>
      </xdr:spPr>
    </xdr:pic>
    <xdr:clientData fLocksWithSheet="0"/>
  </xdr:twoCellAnchor>
  <xdr:twoCellAnchor>
    <xdr:from>
      <xdr:col>35</xdr:col>
      <xdr:colOff>0</xdr:colOff>
      <xdr:row>12</xdr:row>
      <xdr:rowOff>0</xdr:rowOff>
    </xdr:from>
    <xdr:to>
      <xdr:col>36</xdr:col>
      <xdr:colOff>38100</xdr:colOff>
      <xdr:row>12</xdr:row>
      <xdr:rowOff>209550</xdr:rowOff>
    </xdr:to>
    <xdr:pic>
      <xdr:nvPicPr>
        <xdr:cNvPr id="13" name="image12.png">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2" cstate="print"/>
        <a:stretch>
          <a:fillRect/>
        </a:stretch>
      </xdr:blipFill>
      <xdr:spPr>
        <a:xfrm>
          <a:off x="0" y="0"/>
          <a:ext cx="390525" cy="209550"/>
        </a:xfrm>
        <a:prstGeom prst="rect">
          <a:avLst/>
        </a:prstGeom>
        <a:noFill/>
      </xdr:spPr>
    </xdr:pic>
    <xdr:clientData fLocksWithSheet="0"/>
  </xdr:twoCellAnchor>
  <xdr:twoCellAnchor>
    <xdr:from>
      <xdr:col>37</xdr:col>
      <xdr:colOff>0</xdr:colOff>
      <xdr:row>12</xdr:row>
      <xdr:rowOff>0</xdr:rowOff>
    </xdr:from>
    <xdr:to>
      <xdr:col>38</xdr:col>
      <xdr:colOff>0</xdr:colOff>
      <xdr:row>12</xdr:row>
      <xdr:rowOff>209550</xdr:rowOff>
    </xdr:to>
    <xdr:pic>
      <xdr:nvPicPr>
        <xdr:cNvPr id="14" name="image11.png">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13" cstate="print"/>
        <a:stretch>
          <a:fillRect/>
        </a:stretch>
      </xdr:blipFill>
      <xdr:spPr>
        <a:xfrm>
          <a:off x="0" y="0"/>
          <a:ext cx="400050" cy="209550"/>
        </a:xfrm>
        <a:prstGeom prst="rect">
          <a:avLst/>
        </a:prstGeom>
        <a:noFill/>
      </xdr:spPr>
    </xdr:pic>
    <xdr:clientData fLocksWithSheet="0"/>
  </xdr:twoCellAnchor>
  <xdr:twoCellAnchor>
    <xdr:from>
      <xdr:col>31</xdr:col>
      <xdr:colOff>0</xdr:colOff>
      <xdr:row>18</xdr:row>
      <xdr:rowOff>0</xdr:rowOff>
    </xdr:from>
    <xdr:to>
      <xdr:col>32</xdr:col>
      <xdr:colOff>38100</xdr:colOff>
      <xdr:row>18</xdr:row>
      <xdr:rowOff>209550</xdr:rowOff>
    </xdr:to>
    <xdr:pic>
      <xdr:nvPicPr>
        <xdr:cNvPr id="15" name="image16.png">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4" cstate="print"/>
        <a:stretch>
          <a:fillRect/>
        </a:stretch>
      </xdr:blipFill>
      <xdr:spPr>
        <a:xfrm>
          <a:off x="0" y="0"/>
          <a:ext cx="390525" cy="209550"/>
        </a:xfrm>
        <a:prstGeom prst="rect">
          <a:avLst/>
        </a:prstGeom>
        <a:noFill/>
      </xdr:spPr>
    </xdr:pic>
    <xdr:clientData fLocksWithSheet="0"/>
  </xdr:twoCellAnchor>
  <xdr:twoCellAnchor>
    <xdr:from>
      <xdr:col>33</xdr:col>
      <xdr:colOff>0</xdr:colOff>
      <xdr:row>18</xdr:row>
      <xdr:rowOff>0</xdr:rowOff>
    </xdr:from>
    <xdr:to>
      <xdr:col>34</xdr:col>
      <xdr:colOff>38100</xdr:colOff>
      <xdr:row>18</xdr:row>
      <xdr:rowOff>209550</xdr:rowOff>
    </xdr:to>
    <xdr:pic>
      <xdr:nvPicPr>
        <xdr:cNvPr id="16" name="image13.png">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5" cstate="print"/>
        <a:stretch>
          <a:fillRect/>
        </a:stretch>
      </xdr:blipFill>
      <xdr:spPr>
        <a:xfrm>
          <a:off x="0" y="0"/>
          <a:ext cx="390525" cy="209550"/>
        </a:xfrm>
        <a:prstGeom prst="rect">
          <a:avLst/>
        </a:prstGeom>
        <a:noFill/>
      </xdr:spPr>
    </xdr:pic>
    <xdr:clientData fLocksWithSheet="0"/>
  </xdr:twoCellAnchor>
  <xdr:twoCellAnchor>
    <xdr:from>
      <xdr:col>35</xdr:col>
      <xdr:colOff>0</xdr:colOff>
      <xdr:row>18</xdr:row>
      <xdr:rowOff>0</xdr:rowOff>
    </xdr:from>
    <xdr:to>
      <xdr:col>36</xdr:col>
      <xdr:colOff>38100</xdr:colOff>
      <xdr:row>18</xdr:row>
      <xdr:rowOff>209550</xdr:rowOff>
    </xdr:to>
    <xdr:pic>
      <xdr:nvPicPr>
        <xdr:cNvPr id="17" name="image19.png">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6" cstate="print"/>
        <a:stretch>
          <a:fillRect/>
        </a:stretch>
      </xdr:blipFill>
      <xdr:spPr>
        <a:xfrm>
          <a:off x="0" y="0"/>
          <a:ext cx="390525" cy="209550"/>
        </a:xfrm>
        <a:prstGeom prst="rect">
          <a:avLst/>
        </a:prstGeom>
        <a:noFill/>
      </xdr:spPr>
    </xdr:pic>
    <xdr:clientData fLocksWithSheet="0"/>
  </xdr:twoCellAnchor>
  <xdr:twoCellAnchor>
    <xdr:from>
      <xdr:col>37</xdr:col>
      <xdr:colOff>0</xdr:colOff>
      <xdr:row>18</xdr:row>
      <xdr:rowOff>0</xdr:rowOff>
    </xdr:from>
    <xdr:to>
      <xdr:col>38</xdr:col>
      <xdr:colOff>0</xdr:colOff>
      <xdr:row>18</xdr:row>
      <xdr:rowOff>209550</xdr:rowOff>
    </xdr:to>
    <xdr:pic>
      <xdr:nvPicPr>
        <xdr:cNvPr id="18" name="image14.png">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7" cstate="print"/>
        <a:stretch>
          <a:fillRect/>
        </a:stretch>
      </xdr:blipFill>
      <xdr:spPr>
        <a:xfrm>
          <a:off x="0" y="0"/>
          <a:ext cx="400050" cy="209550"/>
        </a:xfrm>
        <a:prstGeom prst="rect">
          <a:avLst/>
        </a:prstGeom>
        <a:noFill/>
      </xdr:spPr>
    </xdr:pic>
    <xdr:clientData fLocksWithSheet="0"/>
  </xdr:twoCellAnchor>
  <xdr:twoCellAnchor>
    <xdr:from>
      <xdr:col>31</xdr:col>
      <xdr:colOff>0</xdr:colOff>
      <xdr:row>24</xdr:row>
      <xdr:rowOff>0</xdr:rowOff>
    </xdr:from>
    <xdr:to>
      <xdr:col>32</xdr:col>
      <xdr:colOff>38100</xdr:colOff>
      <xdr:row>24</xdr:row>
      <xdr:rowOff>209550</xdr:rowOff>
    </xdr:to>
    <xdr:pic>
      <xdr:nvPicPr>
        <xdr:cNvPr id="19" name="image32.png">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18" cstate="print"/>
        <a:stretch>
          <a:fillRect/>
        </a:stretch>
      </xdr:blipFill>
      <xdr:spPr>
        <a:xfrm>
          <a:off x="0" y="0"/>
          <a:ext cx="390525" cy="209550"/>
        </a:xfrm>
        <a:prstGeom prst="rect">
          <a:avLst/>
        </a:prstGeom>
        <a:noFill/>
      </xdr:spPr>
    </xdr:pic>
    <xdr:clientData fLocksWithSheet="0"/>
  </xdr:twoCellAnchor>
  <xdr:twoCellAnchor>
    <xdr:from>
      <xdr:col>33</xdr:col>
      <xdr:colOff>0</xdr:colOff>
      <xdr:row>24</xdr:row>
      <xdr:rowOff>0</xdr:rowOff>
    </xdr:from>
    <xdr:to>
      <xdr:col>34</xdr:col>
      <xdr:colOff>38100</xdr:colOff>
      <xdr:row>24</xdr:row>
      <xdr:rowOff>209550</xdr:rowOff>
    </xdr:to>
    <xdr:pic>
      <xdr:nvPicPr>
        <xdr:cNvPr id="20" name="image18.png">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9" cstate="print"/>
        <a:stretch>
          <a:fillRect/>
        </a:stretch>
      </xdr:blipFill>
      <xdr:spPr>
        <a:xfrm>
          <a:off x="0" y="0"/>
          <a:ext cx="390525" cy="209550"/>
        </a:xfrm>
        <a:prstGeom prst="rect">
          <a:avLst/>
        </a:prstGeom>
        <a:noFill/>
      </xdr:spPr>
    </xdr:pic>
    <xdr:clientData fLocksWithSheet="0"/>
  </xdr:twoCellAnchor>
  <xdr:twoCellAnchor>
    <xdr:from>
      <xdr:col>35</xdr:col>
      <xdr:colOff>0</xdr:colOff>
      <xdr:row>24</xdr:row>
      <xdr:rowOff>0</xdr:rowOff>
    </xdr:from>
    <xdr:to>
      <xdr:col>36</xdr:col>
      <xdr:colOff>38100</xdr:colOff>
      <xdr:row>24</xdr:row>
      <xdr:rowOff>209550</xdr:rowOff>
    </xdr:to>
    <xdr:pic>
      <xdr:nvPicPr>
        <xdr:cNvPr id="21" name="image20.png">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20" cstate="print"/>
        <a:stretch>
          <a:fillRect/>
        </a:stretch>
      </xdr:blipFill>
      <xdr:spPr>
        <a:xfrm>
          <a:off x="0" y="0"/>
          <a:ext cx="390525" cy="209550"/>
        </a:xfrm>
        <a:prstGeom prst="rect">
          <a:avLst/>
        </a:prstGeom>
        <a:noFill/>
      </xdr:spPr>
    </xdr:pic>
    <xdr:clientData fLocksWithSheet="0"/>
  </xdr:twoCellAnchor>
  <xdr:twoCellAnchor>
    <xdr:from>
      <xdr:col>37</xdr:col>
      <xdr:colOff>0</xdr:colOff>
      <xdr:row>24</xdr:row>
      <xdr:rowOff>0</xdr:rowOff>
    </xdr:from>
    <xdr:to>
      <xdr:col>38</xdr:col>
      <xdr:colOff>0</xdr:colOff>
      <xdr:row>24</xdr:row>
      <xdr:rowOff>209550</xdr:rowOff>
    </xdr:to>
    <xdr:pic>
      <xdr:nvPicPr>
        <xdr:cNvPr id="22" name="image15.png">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21" cstate="print"/>
        <a:stretch>
          <a:fillRect/>
        </a:stretch>
      </xdr:blipFill>
      <xdr:spPr>
        <a:xfrm>
          <a:off x="0" y="0"/>
          <a:ext cx="400050" cy="209550"/>
        </a:xfrm>
        <a:prstGeom prst="rect">
          <a:avLst/>
        </a:prstGeom>
        <a:noFill/>
      </xdr:spPr>
    </xdr:pic>
    <xdr:clientData fLocksWithSheet="0"/>
  </xdr:twoCellAnchor>
  <xdr:twoCellAnchor>
    <xdr:from>
      <xdr:col>31</xdr:col>
      <xdr:colOff>0</xdr:colOff>
      <xdr:row>30</xdr:row>
      <xdr:rowOff>0</xdr:rowOff>
    </xdr:from>
    <xdr:to>
      <xdr:col>32</xdr:col>
      <xdr:colOff>38100</xdr:colOff>
      <xdr:row>30</xdr:row>
      <xdr:rowOff>209550</xdr:rowOff>
    </xdr:to>
    <xdr:pic>
      <xdr:nvPicPr>
        <xdr:cNvPr id="23" name="image17.png">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22" cstate="print"/>
        <a:stretch>
          <a:fillRect/>
        </a:stretch>
      </xdr:blipFill>
      <xdr:spPr>
        <a:xfrm>
          <a:off x="0" y="0"/>
          <a:ext cx="390525" cy="209550"/>
        </a:xfrm>
        <a:prstGeom prst="rect">
          <a:avLst/>
        </a:prstGeom>
        <a:noFill/>
      </xdr:spPr>
    </xdr:pic>
    <xdr:clientData fLocksWithSheet="0"/>
  </xdr:twoCellAnchor>
  <xdr:twoCellAnchor>
    <xdr:from>
      <xdr:col>33</xdr:col>
      <xdr:colOff>0</xdr:colOff>
      <xdr:row>30</xdr:row>
      <xdr:rowOff>0</xdr:rowOff>
    </xdr:from>
    <xdr:to>
      <xdr:col>34</xdr:col>
      <xdr:colOff>38100</xdr:colOff>
      <xdr:row>30</xdr:row>
      <xdr:rowOff>209550</xdr:rowOff>
    </xdr:to>
    <xdr:pic>
      <xdr:nvPicPr>
        <xdr:cNvPr id="24" name="image21.png">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3" cstate="print"/>
        <a:stretch>
          <a:fillRect/>
        </a:stretch>
      </xdr:blipFill>
      <xdr:spPr>
        <a:xfrm>
          <a:off x="0" y="0"/>
          <a:ext cx="390525" cy="209550"/>
        </a:xfrm>
        <a:prstGeom prst="rect">
          <a:avLst/>
        </a:prstGeom>
        <a:noFill/>
      </xdr:spPr>
    </xdr:pic>
    <xdr:clientData fLocksWithSheet="0"/>
  </xdr:twoCellAnchor>
  <xdr:twoCellAnchor>
    <xdr:from>
      <xdr:col>35</xdr:col>
      <xdr:colOff>0</xdr:colOff>
      <xdr:row>30</xdr:row>
      <xdr:rowOff>0</xdr:rowOff>
    </xdr:from>
    <xdr:to>
      <xdr:col>36</xdr:col>
      <xdr:colOff>38100</xdr:colOff>
      <xdr:row>30</xdr:row>
      <xdr:rowOff>209550</xdr:rowOff>
    </xdr:to>
    <xdr:pic>
      <xdr:nvPicPr>
        <xdr:cNvPr id="25" name="image23.png">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4" cstate="print"/>
        <a:stretch>
          <a:fillRect/>
        </a:stretch>
      </xdr:blipFill>
      <xdr:spPr>
        <a:xfrm>
          <a:off x="0" y="0"/>
          <a:ext cx="390525" cy="209550"/>
        </a:xfrm>
        <a:prstGeom prst="rect">
          <a:avLst/>
        </a:prstGeom>
        <a:noFill/>
      </xdr:spPr>
    </xdr:pic>
    <xdr:clientData fLocksWithSheet="0"/>
  </xdr:twoCellAnchor>
  <xdr:twoCellAnchor>
    <xdr:from>
      <xdr:col>37</xdr:col>
      <xdr:colOff>0</xdr:colOff>
      <xdr:row>30</xdr:row>
      <xdr:rowOff>0</xdr:rowOff>
    </xdr:from>
    <xdr:to>
      <xdr:col>38</xdr:col>
      <xdr:colOff>0</xdr:colOff>
      <xdr:row>30</xdr:row>
      <xdr:rowOff>209550</xdr:rowOff>
    </xdr:to>
    <xdr:pic>
      <xdr:nvPicPr>
        <xdr:cNvPr id="26" name="image22.png">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25" cstate="print"/>
        <a:stretch>
          <a:fillRect/>
        </a:stretch>
      </xdr:blipFill>
      <xdr:spPr>
        <a:xfrm>
          <a:off x="0" y="0"/>
          <a:ext cx="400050" cy="209550"/>
        </a:xfrm>
        <a:prstGeom prst="rect">
          <a:avLst/>
        </a:prstGeom>
        <a:noFill/>
      </xdr:spPr>
    </xdr:pic>
    <xdr:clientData fLocksWithSheet="0"/>
  </xdr:twoCellAnchor>
  <xdr:twoCellAnchor>
    <xdr:from>
      <xdr:col>31</xdr:col>
      <xdr:colOff>0</xdr:colOff>
      <xdr:row>36</xdr:row>
      <xdr:rowOff>0</xdr:rowOff>
    </xdr:from>
    <xdr:to>
      <xdr:col>32</xdr:col>
      <xdr:colOff>38100</xdr:colOff>
      <xdr:row>36</xdr:row>
      <xdr:rowOff>209550</xdr:rowOff>
    </xdr:to>
    <xdr:pic>
      <xdr:nvPicPr>
        <xdr:cNvPr id="27" name="image26.png">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6" cstate="print"/>
        <a:stretch>
          <a:fillRect/>
        </a:stretch>
      </xdr:blipFill>
      <xdr:spPr>
        <a:xfrm>
          <a:off x="0" y="0"/>
          <a:ext cx="390525" cy="209550"/>
        </a:xfrm>
        <a:prstGeom prst="rect">
          <a:avLst/>
        </a:prstGeom>
        <a:noFill/>
      </xdr:spPr>
    </xdr:pic>
    <xdr:clientData fLocksWithSheet="0"/>
  </xdr:twoCellAnchor>
  <xdr:twoCellAnchor>
    <xdr:from>
      <xdr:col>33</xdr:col>
      <xdr:colOff>0</xdr:colOff>
      <xdr:row>36</xdr:row>
      <xdr:rowOff>0</xdr:rowOff>
    </xdr:from>
    <xdr:to>
      <xdr:col>34</xdr:col>
      <xdr:colOff>38100</xdr:colOff>
      <xdr:row>36</xdr:row>
      <xdr:rowOff>209550</xdr:rowOff>
    </xdr:to>
    <xdr:pic>
      <xdr:nvPicPr>
        <xdr:cNvPr id="28" name="image28.png">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27" cstate="print"/>
        <a:stretch>
          <a:fillRect/>
        </a:stretch>
      </xdr:blipFill>
      <xdr:spPr>
        <a:xfrm>
          <a:off x="0" y="0"/>
          <a:ext cx="390525" cy="209550"/>
        </a:xfrm>
        <a:prstGeom prst="rect">
          <a:avLst/>
        </a:prstGeom>
        <a:noFill/>
      </xdr:spPr>
    </xdr:pic>
    <xdr:clientData fLocksWithSheet="0"/>
  </xdr:twoCellAnchor>
  <xdr:twoCellAnchor>
    <xdr:from>
      <xdr:col>35</xdr:col>
      <xdr:colOff>0</xdr:colOff>
      <xdr:row>36</xdr:row>
      <xdr:rowOff>0</xdr:rowOff>
    </xdr:from>
    <xdr:to>
      <xdr:col>36</xdr:col>
      <xdr:colOff>38100</xdr:colOff>
      <xdr:row>36</xdr:row>
      <xdr:rowOff>209550</xdr:rowOff>
    </xdr:to>
    <xdr:pic>
      <xdr:nvPicPr>
        <xdr:cNvPr id="29" name="image24.png">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8" cstate="print"/>
        <a:stretch>
          <a:fillRect/>
        </a:stretch>
      </xdr:blipFill>
      <xdr:spPr>
        <a:xfrm>
          <a:off x="0" y="0"/>
          <a:ext cx="390525" cy="209550"/>
        </a:xfrm>
        <a:prstGeom prst="rect">
          <a:avLst/>
        </a:prstGeom>
        <a:noFill/>
      </xdr:spPr>
    </xdr:pic>
    <xdr:clientData fLocksWithSheet="0"/>
  </xdr:twoCellAnchor>
  <xdr:twoCellAnchor>
    <xdr:from>
      <xdr:col>37</xdr:col>
      <xdr:colOff>0</xdr:colOff>
      <xdr:row>36</xdr:row>
      <xdr:rowOff>0</xdr:rowOff>
    </xdr:from>
    <xdr:to>
      <xdr:col>38</xdr:col>
      <xdr:colOff>0</xdr:colOff>
      <xdr:row>36</xdr:row>
      <xdr:rowOff>209550</xdr:rowOff>
    </xdr:to>
    <xdr:pic>
      <xdr:nvPicPr>
        <xdr:cNvPr id="30" name="image30.png">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9" cstate="print"/>
        <a:stretch>
          <a:fillRect/>
        </a:stretch>
      </xdr:blipFill>
      <xdr:spPr>
        <a:xfrm>
          <a:off x="0" y="0"/>
          <a:ext cx="400050" cy="209550"/>
        </a:xfrm>
        <a:prstGeom prst="rect">
          <a:avLst/>
        </a:prstGeom>
        <a:noFill/>
      </xdr:spPr>
    </xdr:pic>
    <xdr:clientData fLocksWithSheet="0"/>
  </xdr:twoCellAnchor>
  <xdr:twoCellAnchor>
    <xdr:from>
      <xdr:col>31</xdr:col>
      <xdr:colOff>0</xdr:colOff>
      <xdr:row>42</xdr:row>
      <xdr:rowOff>0</xdr:rowOff>
    </xdr:from>
    <xdr:to>
      <xdr:col>32</xdr:col>
      <xdr:colOff>38100</xdr:colOff>
      <xdr:row>42</xdr:row>
      <xdr:rowOff>209550</xdr:rowOff>
    </xdr:to>
    <xdr:pic>
      <xdr:nvPicPr>
        <xdr:cNvPr id="31" name="image25.png">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30" cstate="print"/>
        <a:stretch>
          <a:fillRect/>
        </a:stretch>
      </xdr:blipFill>
      <xdr:spPr>
        <a:xfrm>
          <a:off x="0" y="0"/>
          <a:ext cx="390525" cy="209550"/>
        </a:xfrm>
        <a:prstGeom prst="rect">
          <a:avLst/>
        </a:prstGeom>
        <a:noFill/>
      </xdr:spPr>
    </xdr:pic>
    <xdr:clientData fLocksWithSheet="0"/>
  </xdr:twoCellAnchor>
  <xdr:twoCellAnchor>
    <xdr:from>
      <xdr:col>33</xdr:col>
      <xdr:colOff>0</xdr:colOff>
      <xdr:row>42</xdr:row>
      <xdr:rowOff>0</xdr:rowOff>
    </xdr:from>
    <xdr:to>
      <xdr:col>34</xdr:col>
      <xdr:colOff>38100</xdr:colOff>
      <xdr:row>42</xdr:row>
      <xdr:rowOff>209550</xdr:rowOff>
    </xdr:to>
    <xdr:pic>
      <xdr:nvPicPr>
        <xdr:cNvPr id="32" name="image27.png">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31" cstate="print"/>
        <a:stretch>
          <a:fillRect/>
        </a:stretch>
      </xdr:blipFill>
      <xdr:spPr>
        <a:xfrm>
          <a:off x="0" y="0"/>
          <a:ext cx="390525" cy="209550"/>
        </a:xfrm>
        <a:prstGeom prst="rect">
          <a:avLst/>
        </a:prstGeom>
        <a:noFill/>
      </xdr:spPr>
    </xdr:pic>
    <xdr:clientData fLocksWithSheet="0"/>
  </xdr:twoCellAnchor>
  <xdr:twoCellAnchor>
    <xdr:from>
      <xdr:col>35</xdr:col>
      <xdr:colOff>0</xdr:colOff>
      <xdr:row>42</xdr:row>
      <xdr:rowOff>0</xdr:rowOff>
    </xdr:from>
    <xdr:to>
      <xdr:col>36</xdr:col>
      <xdr:colOff>38100</xdr:colOff>
      <xdr:row>42</xdr:row>
      <xdr:rowOff>209550</xdr:rowOff>
    </xdr:to>
    <xdr:pic>
      <xdr:nvPicPr>
        <xdr:cNvPr id="33" name="image31.png">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32" cstate="print"/>
        <a:stretch>
          <a:fillRect/>
        </a:stretch>
      </xdr:blipFill>
      <xdr:spPr>
        <a:xfrm>
          <a:off x="0" y="0"/>
          <a:ext cx="390525" cy="209550"/>
        </a:xfrm>
        <a:prstGeom prst="rect">
          <a:avLst/>
        </a:prstGeom>
        <a:noFill/>
      </xdr:spPr>
    </xdr:pic>
    <xdr:clientData fLocksWithSheet="0"/>
  </xdr:twoCellAnchor>
  <xdr:twoCellAnchor>
    <xdr:from>
      <xdr:col>37</xdr:col>
      <xdr:colOff>0</xdr:colOff>
      <xdr:row>42</xdr:row>
      <xdr:rowOff>0</xdr:rowOff>
    </xdr:from>
    <xdr:to>
      <xdr:col>38</xdr:col>
      <xdr:colOff>0</xdr:colOff>
      <xdr:row>42</xdr:row>
      <xdr:rowOff>209550</xdr:rowOff>
    </xdr:to>
    <xdr:pic>
      <xdr:nvPicPr>
        <xdr:cNvPr id="34" name="image29.png">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33" cstate="print"/>
        <a:stretch>
          <a:fillRect/>
        </a:stretch>
      </xdr:blipFill>
      <xdr:spPr>
        <a:xfrm>
          <a:off x="0" y="0"/>
          <a:ext cx="400050" cy="20955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U81"/>
  <sheetViews>
    <sheetView showGridLines="0" showRowColHeaders="0" topLeftCell="A9" workbookViewId="0" xr3:uid="{AEA406A1-0E4B-5B11-9CD5-51D6E497D94C}">
      <selection activeCell="AH74" sqref="AH74"/>
    </sheetView>
  </sheetViews>
  <sheetFormatPr defaultColWidth="17.28515625" defaultRowHeight="15.75" customHeight="1"/>
  <cols>
    <col min="1" max="1" width="5" customWidth="1"/>
    <col min="2" max="2" width="12" customWidth="1"/>
    <col min="3" max="3" width="5.5703125" customWidth="1"/>
    <col min="4" max="4" width="22" customWidth="1"/>
    <col min="5" max="6" width="4.85546875" customWidth="1"/>
    <col min="7" max="7" width="22" customWidth="1"/>
    <col min="8" max="8" width="5" customWidth="1"/>
    <col min="9" max="9" width="4.5703125" customWidth="1"/>
    <col min="10" max="29" width="5.42578125" hidden="1" customWidth="1"/>
    <col min="30" max="30" width="2.7109375" hidden="1" customWidth="1"/>
    <col min="31" max="31" width="14.5703125" customWidth="1"/>
    <col min="32" max="37" width="5.28515625" customWidth="1"/>
    <col min="38" max="38" width="6" customWidth="1"/>
    <col min="39" max="61" width="9.140625" hidden="1" customWidth="1"/>
    <col min="62" max="62" width="6.7109375" hidden="1" customWidth="1"/>
    <col min="63" max="71" width="9.140625" hidden="1" customWidth="1"/>
    <col min="72" max="72" width="8.7109375" hidden="1" customWidth="1"/>
    <col min="73" max="73" width="8.7109375" customWidth="1"/>
  </cols>
  <sheetData>
    <row r="1" spans="1:73" ht="18.75" customHeight="1">
      <c r="A1" s="1" t="s">
        <v>0</v>
      </c>
      <c r="B1" s="2"/>
      <c r="C1" s="3"/>
      <c r="D1" s="4"/>
      <c r="E1" s="5"/>
      <c r="F1" s="5"/>
      <c r="G1" s="4"/>
      <c r="H1" s="4"/>
      <c r="I1" s="62"/>
      <c r="J1" s="6" t="s">
        <v>1</v>
      </c>
      <c r="K1" s="6" t="s">
        <v>2</v>
      </c>
      <c r="L1" s="33"/>
      <c r="M1" s="7"/>
      <c r="N1" s="7"/>
      <c r="O1" s="7"/>
      <c r="P1" s="7"/>
      <c r="Q1" s="7"/>
      <c r="R1" s="7"/>
      <c r="S1" s="7"/>
      <c r="T1" s="7"/>
      <c r="U1" s="7"/>
      <c r="V1" s="38"/>
      <c r="W1" s="38"/>
      <c r="X1" s="38"/>
      <c r="Y1" s="38"/>
      <c r="Z1" s="38"/>
      <c r="AA1" s="38"/>
      <c r="AB1" s="38"/>
      <c r="AC1" s="38"/>
      <c r="AD1" s="33"/>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row>
    <row r="2" spans="1:73" ht="18.75" customHeight="1">
      <c r="A2" s="8" t="s">
        <v>3</v>
      </c>
      <c r="B2" s="9" t="s">
        <v>4</v>
      </c>
      <c r="C2" s="10"/>
      <c r="D2" s="11"/>
      <c r="E2" s="129" t="s">
        <v>5</v>
      </c>
      <c r="F2" s="130"/>
      <c r="G2" s="11"/>
      <c r="H2" s="12" t="s">
        <v>6</v>
      </c>
      <c r="I2" s="62"/>
      <c r="J2" s="13" t="s">
        <v>7</v>
      </c>
      <c r="K2" s="13" t="s">
        <v>8</v>
      </c>
      <c r="L2" s="33"/>
      <c r="M2" s="47" t="s">
        <v>9</v>
      </c>
      <c r="N2" s="47" t="s">
        <v>10</v>
      </c>
      <c r="O2" s="47" t="s">
        <v>11</v>
      </c>
      <c r="P2" s="47" t="s">
        <v>12</v>
      </c>
      <c r="Q2" s="47" t="s">
        <v>13</v>
      </c>
      <c r="R2" s="47" t="s">
        <v>14</v>
      </c>
      <c r="S2" s="14" t="s">
        <v>15</v>
      </c>
      <c r="T2" s="47" t="s">
        <v>16</v>
      </c>
      <c r="U2" s="47" t="s">
        <v>17</v>
      </c>
      <c r="V2" s="15" t="s">
        <v>18</v>
      </c>
      <c r="W2" s="16" t="s">
        <v>19</v>
      </c>
      <c r="X2" s="16" t="s">
        <v>20</v>
      </c>
      <c r="Y2" s="16" t="s">
        <v>21</v>
      </c>
      <c r="Z2" s="16" t="s">
        <v>22</v>
      </c>
      <c r="AA2" s="16" t="s">
        <v>23</v>
      </c>
      <c r="AB2" s="16" t="s">
        <v>24</v>
      </c>
      <c r="AC2" s="17" t="s">
        <v>25</v>
      </c>
      <c r="AD2" s="33"/>
      <c r="AE2" s="18" t="s">
        <v>26</v>
      </c>
      <c r="AF2" s="19" t="s">
        <v>27</v>
      </c>
      <c r="AG2" s="19" t="s">
        <v>28</v>
      </c>
      <c r="AH2" s="19" t="s">
        <v>29</v>
      </c>
      <c r="AI2" s="19" t="s">
        <v>22</v>
      </c>
      <c r="AJ2" s="19" t="s">
        <v>23</v>
      </c>
      <c r="AK2" s="19" t="s">
        <v>30</v>
      </c>
      <c r="AL2" s="20" t="s">
        <v>25</v>
      </c>
      <c r="AM2" s="38"/>
      <c r="AN2" s="38" t="s">
        <v>7</v>
      </c>
      <c r="AO2" s="38" t="s">
        <v>8</v>
      </c>
      <c r="AP2" s="38"/>
      <c r="AQ2" s="38"/>
      <c r="AR2" s="33"/>
      <c r="AS2" s="33"/>
      <c r="AT2" s="13" t="s">
        <v>1</v>
      </c>
      <c r="AU2" s="13" t="s">
        <v>2</v>
      </c>
      <c r="AV2" s="13" t="s">
        <v>31</v>
      </c>
      <c r="AW2" s="13" t="s">
        <v>32</v>
      </c>
      <c r="AX2" s="13" t="s">
        <v>33</v>
      </c>
      <c r="AY2" s="38"/>
      <c r="AZ2" s="38"/>
      <c r="BA2" s="38"/>
      <c r="BB2" s="33"/>
      <c r="BC2" s="21" t="s">
        <v>18</v>
      </c>
      <c r="BD2" s="22" t="s">
        <v>19</v>
      </c>
      <c r="BE2" s="22"/>
      <c r="BF2" s="22"/>
      <c r="BG2" s="22" t="s">
        <v>22</v>
      </c>
      <c r="BH2" s="22" t="s">
        <v>23</v>
      </c>
      <c r="BI2" s="22" t="s">
        <v>24</v>
      </c>
      <c r="BJ2" s="23" t="s">
        <v>25</v>
      </c>
      <c r="BK2" s="38"/>
      <c r="BL2" s="47" t="s">
        <v>34</v>
      </c>
      <c r="BM2" s="47" t="s">
        <v>35</v>
      </c>
      <c r="BN2" s="47" t="s">
        <v>36</v>
      </c>
      <c r="BO2" s="47" t="s">
        <v>37</v>
      </c>
      <c r="BP2" s="47" t="s">
        <v>38</v>
      </c>
      <c r="BQ2" s="47" t="s">
        <v>39</v>
      </c>
      <c r="BR2" s="47" t="s">
        <v>40</v>
      </c>
      <c r="BS2" s="47" t="s">
        <v>41</v>
      </c>
      <c r="BT2" s="7" t="s">
        <v>17</v>
      </c>
      <c r="BU2" s="62"/>
    </row>
    <row r="3" spans="1:73" ht="18.75" customHeight="1">
      <c r="A3" s="24">
        <v>1</v>
      </c>
      <c r="B3" s="25">
        <v>41802</v>
      </c>
      <c r="C3" s="26">
        <v>0.91666666666666596</v>
      </c>
      <c r="D3" s="27" t="s">
        <v>42</v>
      </c>
      <c r="E3" s="107">
        <v>3</v>
      </c>
      <c r="F3" s="107">
        <v>1</v>
      </c>
      <c r="G3" s="27" t="s">
        <v>43</v>
      </c>
      <c r="H3" s="28" t="s">
        <v>44</v>
      </c>
      <c r="I3" s="62"/>
      <c r="J3" s="42">
        <f t="shared" ref="J3:J50" si="0">IF(ISNUMBER(E3),IF(E3&gt;F3,3,IF(E3=F3,1,"0")),"")</f>
        <v>3</v>
      </c>
      <c r="K3" s="42" t="str">
        <f t="shared" ref="K3:K50" si="1">IF(ISNUMBER(F3),IF(E3&lt;F3,3,IF(E3=F3,1,"0")),"")</f>
        <v>0</v>
      </c>
      <c r="L3" s="33"/>
      <c r="M3" s="47">
        <f t="shared" ref="M3:M6" si="2">RANK(AC3,AC$3:AC$6)</f>
        <v>4</v>
      </c>
      <c r="N3" s="47">
        <f t="shared" ref="N3:N6" si="3">RANK(AB3,AB$3:AB$6)</f>
        <v>4</v>
      </c>
      <c r="O3" s="47">
        <f t="shared" ref="O3:O6" si="4">RANK(Z3,Z$3:Z$6)</f>
        <v>4</v>
      </c>
      <c r="P3" s="47">
        <f t="shared" ref="P3:P6" si="5">3125*M3</f>
        <v>12500</v>
      </c>
      <c r="Q3" s="47">
        <f t="shared" ref="Q3:Q6" si="6">625*N3</f>
        <v>2500</v>
      </c>
      <c r="R3" s="47">
        <f t="shared" ref="R3:R6" si="7">125*O3</f>
        <v>500</v>
      </c>
      <c r="S3" s="29">
        <f t="shared" ref="S3:S6" si="8">SUM(P3:R3)</f>
        <v>15500</v>
      </c>
      <c r="T3" s="47">
        <f t="shared" ref="T3:T6" si="9">RANK(S3,$S$3:$S$6,1)</f>
        <v>4</v>
      </c>
      <c r="U3" s="47">
        <f t="shared" ref="U3:U6" si="10">BT3</f>
        <v>4</v>
      </c>
      <c r="V3" s="30" t="s">
        <v>45</v>
      </c>
      <c r="W3" s="31">
        <f t="shared" ref="W3:W6" si="11">COUNTIFS($D$3:$D$50,$V3,$E$3:$E$50,"&gt;-1")+COUNTIFS($G$3:$G$50,$V3,$F$3:$F$50,"&gt;-1")</f>
        <v>3</v>
      </c>
      <c r="X3" s="31">
        <f>COUNTIFS(hazai,V3,pontH,3)+COUNTIFS(vendeg,V3,pontV,3)</f>
        <v>0</v>
      </c>
      <c r="Y3" s="31">
        <f>COUNTIFS(hazai,V3,pontH,1)+COUNTIFS(vendeg,V3,pontV,1)</f>
        <v>0</v>
      </c>
      <c r="Z3" s="31">
        <f t="shared" ref="Z3:Z6" si="12">SUMIFS($E$3:$E$50,$D$3:$D$50,$V3)+SUMIFS($F$3:$F$50,$G$3:$G$50,$V3)</f>
        <v>1</v>
      </c>
      <c r="AA3" s="31">
        <f t="shared" ref="AA3:AA6" si="13">SUMIFS($F$3:$F$50,$D$3:$D$50,$V3)+SUMIFS($E$3:$E$50,$G$3:$G$50,$V3)</f>
        <v>9</v>
      </c>
      <c r="AB3" s="31">
        <f t="shared" ref="AB3:AB6" si="14">Z3-AA3</f>
        <v>-8</v>
      </c>
      <c r="AC3" s="32">
        <f>SUMIF(hazai,$V3,$J$3:$J$50)+SUMIF(vendeg,V3,$K$3:$K$50)</f>
        <v>0</v>
      </c>
      <c r="AD3" s="33">
        <v>1</v>
      </c>
      <c r="AE3" s="34" t="str">
        <f>VLOOKUP(AD3,U3:AC6,2,0)</f>
        <v>Brazília</v>
      </c>
      <c r="AF3" s="35">
        <f>VLOOKUP(AD3,U3:AC6,3,0)</f>
        <v>3</v>
      </c>
      <c r="AG3" s="35">
        <f>VLOOKUP(AD3,U3:AC6,4,0)</f>
        <v>2</v>
      </c>
      <c r="AH3" s="35">
        <f>VLOOKUP(AD3,U3:AC6,5,0)</f>
        <v>1</v>
      </c>
      <c r="AI3" s="35">
        <f>VLOOKUP(AD3,U3:AC6,6,0)</f>
        <v>7</v>
      </c>
      <c r="AJ3" s="35">
        <f>VLOOKUP(AD3,U3:AC6,7,0)</f>
        <v>2</v>
      </c>
      <c r="AK3" s="35">
        <f>VLOOKUP(AD3,U3:AC6,8,0)</f>
        <v>5</v>
      </c>
      <c r="AL3" s="36">
        <f>VLOOKUP(AD3,U3:AC6,9,0)</f>
        <v>7</v>
      </c>
      <c r="AM3" s="37">
        <f t="shared" ref="AM3:AM50" si="15">A3</f>
        <v>1</v>
      </c>
      <c r="AN3" s="38" t="str">
        <f t="shared" ref="AN3:AN50" si="16">D3</f>
        <v>Brazília</v>
      </c>
      <c r="AO3" s="38" t="str">
        <f t="shared" ref="AO3:AO50" si="17">G3</f>
        <v>Horvátország</v>
      </c>
      <c r="AP3" s="39">
        <f t="shared" ref="AP3:AQ3" si="18">IF(E3&lt;&gt;"",E3,"")</f>
        <v>3</v>
      </c>
      <c r="AQ3" s="40">
        <f t="shared" si="18"/>
        <v>1</v>
      </c>
      <c r="AR3" s="41" t="str">
        <f t="shared" ref="AR3:AR50" si="19">IF(AND(OR($AZ$39=$AN3,$AZ$40=$AN3,$AZ$41=$AN3,$AZ$42=$AN3),OR($AZ$39=$AO3,$AZ$40=$AO3,$AZ$41=$AO3,$AZ$42=$AO3)),AP3,"")</f>
        <v/>
      </c>
      <c r="AS3" s="41" t="str">
        <f t="shared" ref="AS3:AS50" si="20">IF(AND(OR(akik=$AN3),OR(akik=$AO3)),AQ3,"")</f>
        <v/>
      </c>
      <c r="AT3" s="42" t="str">
        <f t="shared" ref="AT3:AT50" si="21">IF(ISNUMBER(AR3),IF(AR3&gt;AS3,3,IF(AS3=AR3,1,"0")),"")</f>
        <v/>
      </c>
      <c r="AU3" s="42" t="str">
        <f t="shared" ref="AU3:AU50" si="22">IF(ISNUMBER(AS3),IF(AS3&gt;AR3,3,IF(AS3=AR3,1,"0")),"")</f>
        <v/>
      </c>
      <c r="AV3" s="42" t="e">
        <f t="shared" ref="AV3:AW3" si="23">INDEX($AZ$3:$BB$48,MATCH(AN3,$AZ$3:$AZ$48,),3)</f>
        <v>#N/A</v>
      </c>
      <c r="AW3" s="42" t="e">
        <f t="shared" si="23"/>
        <v>#N/A</v>
      </c>
      <c r="AX3" s="42" t="str">
        <f t="shared" ref="AX3:AX33" si="24">H3</f>
        <v>A</v>
      </c>
      <c r="AY3" s="38"/>
      <c r="AZ3" s="43" t="b">
        <f t="shared" ref="AZ3:AZ4" si="25">IF(COUNTIF(T2:T5,T3)&gt;1,V3)</f>
        <v>0</v>
      </c>
      <c r="BA3" s="38"/>
      <c r="BB3" s="33" t="b">
        <f>IF(COUNTIF(T3:T6,T3)&gt;1,T3)</f>
        <v>0</v>
      </c>
      <c r="BC3" s="44" t="s">
        <v>45</v>
      </c>
      <c r="BD3" s="45">
        <f>COUNTIFS(Hee,BC3,eeh,"&gt;-1",$AW$3:$AW$50,BB3)+COUNTIFS(Vee,BC3,eev,"&gt;-1",$AV$3:$AV$50,BB3)</f>
        <v>0</v>
      </c>
      <c r="BE3" s="45">
        <f>COUNTIFS(Hee,BC4,akiH,3,vepontV,BB4)+COUNTIFS(Vee,BC4,akiV,3,epontH,BB4)</f>
        <v>0</v>
      </c>
      <c r="BF3" s="45">
        <f>COUNTIFS(Hee,BC3,akiH,1,vepontV,BB3)+COUNTIFS(Vee,BC3,akiV,1,epontH,BB3)</f>
        <v>0</v>
      </c>
      <c r="BG3" s="45">
        <f>SUMIFS(eeh,Hee,BC3,vepontV,BB3)+SUMIFS(eev,Vee,BC3,epontH,BB3)</f>
        <v>0</v>
      </c>
      <c r="BH3" s="45">
        <f>SUMIFS(eeh,Vee,BC3,epontH,BB3)+SUMIFS(eev,Hee,BC3,vepontV,BB3)</f>
        <v>0</v>
      </c>
      <c r="BI3" s="45">
        <f t="shared" ref="BI3:BI6" si="26">IF(BD3&gt;0,BG3-BH3,0)</f>
        <v>0</v>
      </c>
      <c r="BJ3" s="46">
        <f t="shared" ref="BJ3:BJ6" si="27">BE3*3+BF3</f>
        <v>0</v>
      </c>
      <c r="BK3" s="38"/>
      <c r="BL3" s="47">
        <f t="shared" ref="BL3:BL6" si="28">RANK(BJ3,BJ$39:BJ$42)</f>
        <v>1</v>
      </c>
      <c r="BM3" s="47">
        <f t="shared" ref="BM3:BM6" si="29">RANK(BI3,BI$39:BI$42)</f>
        <v>1</v>
      </c>
      <c r="BN3" s="47">
        <f t="shared" ref="BN3:BN6" si="30">RANK(BG3,BG$39:BG$42)</f>
        <v>1</v>
      </c>
      <c r="BO3" s="47">
        <f t="shared" ref="BO3:BO6" si="31">BL3*25</f>
        <v>25</v>
      </c>
      <c r="BP3" s="47">
        <f t="shared" ref="BP3:BP6" si="32">BM3*5</f>
        <v>5</v>
      </c>
      <c r="BQ3" s="47">
        <f t="shared" ref="BQ3:BQ6" si="33">BN3</f>
        <v>1</v>
      </c>
      <c r="BR3" s="47">
        <v>0.1</v>
      </c>
      <c r="BS3" s="29">
        <f t="shared" ref="BS3:BS6" si="34">SUM(BO3:BR3)+S3</f>
        <v>15531.1</v>
      </c>
      <c r="BT3" s="47">
        <f>RANK(BS3,BS3:BS6,1)</f>
        <v>4</v>
      </c>
      <c r="BU3" s="62"/>
    </row>
    <row r="4" spans="1:73" ht="18.75" customHeight="1">
      <c r="A4" s="24">
        <v>2</v>
      </c>
      <c r="B4" s="25">
        <v>41803</v>
      </c>
      <c r="C4" s="26">
        <v>0.75</v>
      </c>
      <c r="D4" s="27" t="s">
        <v>46</v>
      </c>
      <c r="E4" s="107">
        <v>1</v>
      </c>
      <c r="F4" s="107">
        <v>0</v>
      </c>
      <c r="G4" s="27" t="s">
        <v>45</v>
      </c>
      <c r="H4" s="28" t="s">
        <v>44</v>
      </c>
      <c r="I4" s="62"/>
      <c r="J4" s="42">
        <f t="shared" si="0"/>
        <v>3</v>
      </c>
      <c r="K4" s="42" t="str">
        <f t="shared" si="1"/>
        <v>0</v>
      </c>
      <c r="L4" s="33"/>
      <c r="M4" s="47">
        <f t="shared" si="2"/>
        <v>1</v>
      </c>
      <c r="N4" s="47">
        <f t="shared" si="3"/>
        <v>1</v>
      </c>
      <c r="O4" s="47">
        <f t="shared" si="4"/>
        <v>1</v>
      </c>
      <c r="P4" s="47">
        <f t="shared" si="5"/>
        <v>3125</v>
      </c>
      <c r="Q4" s="47">
        <f t="shared" si="6"/>
        <v>625</v>
      </c>
      <c r="R4" s="47">
        <f t="shared" si="7"/>
        <v>125</v>
      </c>
      <c r="S4" s="29">
        <f t="shared" si="8"/>
        <v>3875</v>
      </c>
      <c r="T4" s="47">
        <f t="shared" si="9"/>
        <v>1</v>
      </c>
      <c r="U4" s="47">
        <f t="shared" si="10"/>
        <v>1</v>
      </c>
      <c r="V4" s="30" t="s">
        <v>42</v>
      </c>
      <c r="W4" s="31">
        <f t="shared" si="11"/>
        <v>3</v>
      </c>
      <c r="X4" s="31">
        <f>COUNTIFS(hazai,V4,pontH,3)+COUNTIFS(vendeg,V4,pontV,3)</f>
        <v>2</v>
      </c>
      <c r="Y4" s="31">
        <f>COUNTIFS(hazai,V4,pontH,1)+COUNTIFS(vendeg,V4,pontV,1)</f>
        <v>1</v>
      </c>
      <c r="Z4" s="31">
        <f t="shared" si="12"/>
        <v>7</v>
      </c>
      <c r="AA4" s="31">
        <f t="shared" si="13"/>
        <v>2</v>
      </c>
      <c r="AB4" s="31">
        <f t="shared" si="14"/>
        <v>5</v>
      </c>
      <c r="AC4" s="32">
        <f>SUMIF(hazai,$V4,$J$3:$J$50)+SUMIF(vendeg,V4,$K$3:$K$50)</f>
        <v>7</v>
      </c>
      <c r="AD4" s="33">
        <v>2</v>
      </c>
      <c r="AE4" s="48" t="str">
        <f>VLOOKUP(AD4,U3:AC6,2,0)</f>
        <v>Mexico</v>
      </c>
      <c r="AF4" s="49">
        <f>VLOOKUP(AD4,U3:AC6,3,0)</f>
        <v>3</v>
      </c>
      <c r="AG4" s="49">
        <f>VLOOKUP(AD4,U3:AC6,4,0)</f>
        <v>2</v>
      </c>
      <c r="AH4" s="49">
        <f>VLOOKUP(AD4,U3:AC6,5,0)</f>
        <v>1</v>
      </c>
      <c r="AI4" s="49">
        <f>VLOOKUP(AD4,U3:AC6,6,0)</f>
        <v>4</v>
      </c>
      <c r="AJ4" s="49">
        <f>VLOOKUP(AD4,U3:AC6,7,0)</f>
        <v>1</v>
      </c>
      <c r="AK4" s="49">
        <f>VLOOKUP(AD4,U3:AC6,8,0)</f>
        <v>3</v>
      </c>
      <c r="AL4" s="50">
        <f>VLOOKUP(AD4,U3:AC6,9,0)</f>
        <v>7</v>
      </c>
      <c r="AM4" s="37">
        <f t="shared" si="15"/>
        <v>2</v>
      </c>
      <c r="AN4" s="38" t="str">
        <f t="shared" si="16"/>
        <v>Mexico</v>
      </c>
      <c r="AO4" s="38" t="str">
        <f t="shared" si="17"/>
        <v>Kamerun</v>
      </c>
      <c r="AP4" s="39">
        <f t="shared" ref="AP4:AQ4" si="35">IF(E4&lt;&gt;"",E4,"")</f>
        <v>1</v>
      </c>
      <c r="AQ4" s="40">
        <f t="shared" si="35"/>
        <v>0</v>
      </c>
      <c r="AR4" s="41" t="str">
        <f t="shared" si="19"/>
        <v/>
      </c>
      <c r="AS4" s="41" t="str">
        <f t="shared" si="20"/>
        <v/>
      </c>
      <c r="AT4" s="42" t="str">
        <f t="shared" si="21"/>
        <v/>
      </c>
      <c r="AU4" s="42" t="str">
        <f t="shared" si="22"/>
        <v/>
      </c>
      <c r="AV4" s="42" t="e">
        <f t="shared" ref="AV4:AW4" si="36">INDEX($AZ$3:$BB$48,MATCH(AN4,$AZ$3:$AZ$48,),3)</f>
        <v>#N/A</v>
      </c>
      <c r="AW4" s="42" t="e">
        <f t="shared" si="36"/>
        <v>#N/A</v>
      </c>
      <c r="AX4" s="42" t="str">
        <f t="shared" si="24"/>
        <v>A</v>
      </c>
      <c r="AY4" s="38"/>
      <c r="AZ4" s="43" t="b">
        <f t="shared" si="25"/>
        <v>0</v>
      </c>
      <c r="BA4" s="38"/>
      <c r="BB4" s="33" t="b">
        <f>IF(COUNTIF(T3:T6,T4)&gt;1,T4)</f>
        <v>0</v>
      </c>
      <c r="BC4" s="44" t="s">
        <v>42</v>
      </c>
      <c r="BD4" s="45">
        <f>COUNTIFS(Hee,BC4,eeh,"&gt;-1",$AW$3:$AW$50,BB4)+COUNTIFS(Vee,BC4,eev,"&gt;-1",$AV$3:$AV$50,BB4)</f>
        <v>0</v>
      </c>
      <c r="BE4" s="45">
        <f>COUNTIFS(Hee,BC5,akiH,3,vepontV,BB5)+COUNTIFS(Vee,BC5,akiV,3,epontH,BB5)</f>
        <v>0</v>
      </c>
      <c r="BF4" s="45">
        <f>COUNTIFS(Hee,BC4,akiH,1,vepontV,BB4)+COUNTIFS(Vee,BC4,akiV,1,epontH,BB4)</f>
        <v>0</v>
      </c>
      <c r="BG4" s="45">
        <f>SUMIFS(eeh,Hee,BC4,vepontV,BB4)+SUMIFS(eev,Vee,BC4,epontH,BB4)</f>
        <v>0</v>
      </c>
      <c r="BH4" s="45">
        <f>SUMIFS(eeh,Vee,BC4,epontH,BB4)+SUMIFS(eev,Hee,BC4,vepontV,BB4)</f>
        <v>0</v>
      </c>
      <c r="BI4" s="45">
        <f t="shared" si="26"/>
        <v>0</v>
      </c>
      <c r="BJ4" s="46">
        <f t="shared" si="27"/>
        <v>0</v>
      </c>
      <c r="BK4" s="38"/>
      <c r="BL4" s="47">
        <f t="shared" si="28"/>
        <v>1</v>
      </c>
      <c r="BM4" s="47">
        <f t="shared" si="29"/>
        <v>1</v>
      </c>
      <c r="BN4" s="47">
        <f t="shared" si="30"/>
        <v>1</v>
      </c>
      <c r="BO4" s="47">
        <f t="shared" si="31"/>
        <v>25</v>
      </c>
      <c r="BP4" s="47">
        <f t="shared" si="32"/>
        <v>5</v>
      </c>
      <c r="BQ4" s="47">
        <f t="shared" si="33"/>
        <v>1</v>
      </c>
      <c r="BR4" s="47">
        <v>0.2</v>
      </c>
      <c r="BS4" s="29">
        <f t="shared" si="34"/>
        <v>3906.2</v>
      </c>
      <c r="BT4" s="47">
        <f>RANK(BS4,BS3:BS6,1)</f>
        <v>1</v>
      </c>
      <c r="BU4" s="62"/>
    </row>
    <row r="5" spans="1:73" ht="18.75" customHeight="1">
      <c r="A5" s="24">
        <v>3</v>
      </c>
      <c r="B5" s="25">
        <v>41803</v>
      </c>
      <c r="C5" s="26">
        <v>0.875</v>
      </c>
      <c r="D5" s="27" t="s">
        <v>47</v>
      </c>
      <c r="E5" s="107">
        <v>1</v>
      </c>
      <c r="F5" s="107">
        <v>5</v>
      </c>
      <c r="G5" s="27" t="s">
        <v>48</v>
      </c>
      <c r="H5" s="28" t="s">
        <v>49</v>
      </c>
      <c r="I5" s="62"/>
      <c r="J5" s="42" t="str">
        <f t="shared" si="0"/>
        <v>0</v>
      </c>
      <c r="K5" s="42">
        <f t="shared" si="1"/>
        <v>3</v>
      </c>
      <c r="L5" s="33"/>
      <c r="M5" s="47">
        <f t="shared" si="2"/>
        <v>1</v>
      </c>
      <c r="N5" s="47">
        <f t="shared" si="3"/>
        <v>2</v>
      </c>
      <c r="O5" s="47">
        <f t="shared" si="4"/>
        <v>3</v>
      </c>
      <c r="P5" s="47">
        <f t="shared" si="5"/>
        <v>3125</v>
      </c>
      <c r="Q5" s="47">
        <f t="shared" si="6"/>
        <v>1250</v>
      </c>
      <c r="R5" s="47">
        <f t="shared" si="7"/>
        <v>375</v>
      </c>
      <c r="S5" s="29">
        <f t="shared" si="8"/>
        <v>4750</v>
      </c>
      <c r="T5" s="47">
        <f t="shared" si="9"/>
        <v>2</v>
      </c>
      <c r="U5" s="47">
        <f t="shared" si="10"/>
        <v>2</v>
      </c>
      <c r="V5" s="30" t="s">
        <v>46</v>
      </c>
      <c r="W5" s="31">
        <f t="shared" si="11"/>
        <v>3</v>
      </c>
      <c r="X5" s="31">
        <f>COUNTIFS(hazai,V5,pontH,3)+COUNTIFS(vendeg,V5,pontV,3)</f>
        <v>2</v>
      </c>
      <c r="Y5" s="31">
        <f>COUNTIFS(hazai,V5,pontH,1)+COUNTIFS(vendeg,V5,pontV,1)</f>
        <v>1</v>
      </c>
      <c r="Z5" s="31">
        <f t="shared" si="12"/>
        <v>4</v>
      </c>
      <c r="AA5" s="31">
        <f t="shared" si="13"/>
        <v>1</v>
      </c>
      <c r="AB5" s="31">
        <f t="shared" si="14"/>
        <v>3</v>
      </c>
      <c r="AC5" s="32">
        <f>SUMIF(hazai,$V5,$J$3:$J$50)+SUMIF(vendeg,V5,$K$3:$K$50)</f>
        <v>7</v>
      </c>
      <c r="AD5" s="33">
        <v>3</v>
      </c>
      <c r="AE5" s="51" t="str">
        <f>VLOOKUP(AD5,U3:AC6,2,0)</f>
        <v>Horvátország</v>
      </c>
      <c r="AF5" s="52">
        <f>VLOOKUP(AD5,U3:AC6,3,0)</f>
        <v>3</v>
      </c>
      <c r="AG5" s="52">
        <f>VLOOKUP(AD5,U3:AC6,4,0)</f>
        <v>1</v>
      </c>
      <c r="AH5" s="52">
        <f>VLOOKUP(AD5,U3:AC6,5,0)</f>
        <v>0</v>
      </c>
      <c r="AI5" s="52">
        <f>VLOOKUP(AD5,U3:AC6,6,0)</f>
        <v>6</v>
      </c>
      <c r="AJ5" s="52">
        <f>VLOOKUP(AD5,U3:AC6,7,0)</f>
        <v>6</v>
      </c>
      <c r="AK5" s="52">
        <f>VLOOKUP(AD5,U3:AC6,8,0)</f>
        <v>0</v>
      </c>
      <c r="AL5" s="53">
        <f>VLOOKUP(AD5,U3:AC6,9,0)</f>
        <v>3</v>
      </c>
      <c r="AM5" s="37">
        <f t="shared" si="15"/>
        <v>3</v>
      </c>
      <c r="AN5" s="38" t="str">
        <f t="shared" si="16"/>
        <v>Spanyolország</v>
      </c>
      <c r="AO5" s="38" t="str">
        <f t="shared" si="17"/>
        <v>Hollandia</v>
      </c>
      <c r="AP5" s="39">
        <f t="shared" ref="AP5:AQ5" si="37">IF(E5&lt;&gt;"",E5,"")</f>
        <v>1</v>
      </c>
      <c r="AQ5" s="40">
        <f t="shared" si="37"/>
        <v>5</v>
      </c>
      <c r="AR5" s="41" t="str">
        <f t="shared" si="19"/>
        <v/>
      </c>
      <c r="AS5" s="41" t="str">
        <f t="shared" si="20"/>
        <v/>
      </c>
      <c r="AT5" s="42" t="str">
        <f t="shared" si="21"/>
        <v/>
      </c>
      <c r="AU5" s="42" t="str">
        <f t="shared" si="22"/>
        <v/>
      </c>
      <c r="AV5" s="42" t="e">
        <f t="shared" ref="AV5:AW5" si="38">INDEX($AZ$3:$BB$48,MATCH(AN5,$AZ$3:$AZ$48,),3)</f>
        <v>#N/A</v>
      </c>
      <c r="AW5" s="42" t="e">
        <f t="shared" si="38"/>
        <v>#N/A</v>
      </c>
      <c r="AX5" s="42" t="str">
        <f t="shared" si="24"/>
        <v>B</v>
      </c>
      <c r="AY5" s="38"/>
      <c r="AZ5" s="43" t="b">
        <f>IF(COUNTIF(T3:T6,T5)&gt;1,V5)</f>
        <v>0</v>
      </c>
      <c r="BA5" s="38"/>
      <c r="BB5" s="33" t="b">
        <f>IF(COUNTIF(T3:T6,T5)&gt;1,T5)</f>
        <v>0</v>
      </c>
      <c r="BC5" s="44" t="s">
        <v>46</v>
      </c>
      <c r="BD5" s="45">
        <f>COUNTIFS(Hee,BC5,eeh,"&gt;-1",$AW$3:$AW$50,BB5)+COUNTIFS(Vee,BC5,eev,"&gt;-1",$AV$3:$AV$50,BB5)</f>
        <v>0</v>
      </c>
      <c r="BE5" s="45">
        <f>COUNTIFS(Hee,BC6,akiH,3,vepontV,BB6)+COUNTIFS(Vee,BC6,akiV,3,epontH,BB6)</f>
        <v>0</v>
      </c>
      <c r="BF5" s="45">
        <f>COUNTIFS(Hee,BC5,akiH,1,vepontV,BB5)+COUNTIFS(Vee,BC5,akiV,1,epontH,BB5)</f>
        <v>0</v>
      </c>
      <c r="BG5" s="45">
        <f>SUMIFS(eeh,Hee,BC5,vepontV,BB5)+SUMIFS(eev,Vee,BC5,epontH,BB5)</f>
        <v>0</v>
      </c>
      <c r="BH5" s="45">
        <f>SUMIFS(eeh,Vee,BC5,epontH,BB5)+SUMIFS(eev,Hee,BC5,vepontV,BB5)</f>
        <v>0</v>
      </c>
      <c r="BI5" s="45">
        <f t="shared" si="26"/>
        <v>0</v>
      </c>
      <c r="BJ5" s="46">
        <f t="shared" si="27"/>
        <v>0</v>
      </c>
      <c r="BK5" s="38"/>
      <c r="BL5" s="47">
        <f t="shared" si="28"/>
        <v>1</v>
      </c>
      <c r="BM5" s="47">
        <f t="shared" si="29"/>
        <v>1</v>
      </c>
      <c r="BN5" s="47">
        <f t="shared" si="30"/>
        <v>1</v>
      </c>
      <c r="BO5" s="47">
        <f t="shared" si="31"/>
        <v>25</v>
      </c>
      <c r="BP5" s="47">
        <f t="shared" si="32"/>
        <v>5</v>
      </c>
      <c r="BQ5" s="47">
        <f t="shared" si="33"/>
        <v>1</v>
      </c>
      <c r="BR5" s="47">
        <v>0.3</v>
      </c>
      <c r="BS5" s="29">
        <f t="shared" si="34"/>
        <v>4781.3</v>
      </c>
      <c r="BT5" s="47">
        <f>RANK(BS5,BS3:BS6,1)</f>
        <v>2</v>
      </c>
      <c r="BU5" s="62"/>
    </row>
    <row r="6" spans="1:73" ht="18.75" customHeight="1">
      <c r="A6" s="24">
        <v>4</v>
      </c>
      <c r="B6" s="25">
        <v>41804</v>
      </c>
      <c r="C6" s="26">
        <v>0</v>
      </c>
      <c r="D6" s="27" t="s">
        <v>50</v>
      </c>
      <c r="E6" s="107">
        <v>3</v>
      </c>
      <c r="F6" s="107">
        <v>1</v>
      </c>
      <c r="G6" s="27" t="s">
        <v>51</v>
      </c>
      <c r="H6" s="28" t="s">
        <v>49</v>
      </c>
      <c r="I6" s="62"/>
      <c r="J6" s="42">
        <f t="shared" si="0"/>
        <v>3</v>
      </c>
      <c r="K6" s="42" t="str">
        <f t="shared" si="1"/>
        <v>0</v>
      </c>
      <c r="L6" s="33"/>
      <c r="M6" s="47">
        <f t="shared" si="2"/>
        <v>3</v>
      </c>
      <c r="N6" s="47">
        <f t="shared" si="3"/>
        <v>3</v>
      </c>
      <c r="O6" s="47">
        <f t="shared" si="4"/>
        <v>2</v>
      </c>
      <c r="P6" s="47">
        <f t="shared" si="5"/>
        <v>9375</v>
      </c>
      <c r="Q6" s="47">
        <f t="shared" si="6"/>
        <v>1875</v>
      </c>
      <c r="R6" s="47">
        <f t="shared" si="7"/>
        <v>250</v>
      </c>
      <c r="S6" s="29">
        <f t="shared" si="8"/>
        <v>11500</v>
      </c>
      <c r="T6" s="47">
        <f t="shared" si="9"/>
        <v>3</v>
      </c>
      <c r="U6" s="47">
        <f t="shared" si="10"/>
        <v>3</v>
      </c>
      <c r="V6" s="54" t="s">
        <v>43</v>
      </c>
      <c r="W6" s="55">
        <f t="shared" si="11"/>
        <v>3</v>
      </c>
      <c r="X6" s="55">
        <f>COUNTIFS(hazai,V6,pontH,3)+COUNTIFS(vendeg,V6,pontV,3)</f>
        <v>1</v>
      </c>
      <c r="Y6" s="31">
        <f>COUNTIFS(hazai,V6,pontH,1)+COUNTIFS(vendeg,V6,pontV,1)</f>
        <v>0</v>
      </c>
      <c r="Z6" s="55">
        <f t="shared" si="12"/>
        <v>6</v>
      </c>
      <c r="AA6" s="55">
        <f t="shared" si="13"/>
        <v>6</v>
      </c>
      <c r="AB6" s="55">
        <f t="shared" si="14"/>
        <v>0</v>
      </c>
      <c r="AC6" s="56">
        <f>SUMIF(hazai,$V6,$J$3:$J$50)+SUMIF(vendeg,V6,$K$3:$K$50)</f>
        <v>3</v>
      </c>
      <c r="AD6" s="33">
        <v>4</v>
      </c>
      <c r="AE6" s="57" t="str">
        <f>VLOOKUP(AD6,U3:AC6,2,0)</f>
        <v>Kamerun</v>
      </c>
      <c r="AF6" s="58">
        <f>VLOOKUP(AD6,U3:AC6,3,0)</f>
        <v>3</v>
      </c>
      <c r="AG6" s="58">
        <f>VLOOKUP(AD6,U3:AC6,4,0)</f>
        <v>0</v>
      </c>
      <c r="AH6" s="58">
        <f>VLOOKUP(AD6,U3:AC6,5,0)</f>
        <v>0</v>
      </c>
      <c r="AI6" s="58">
        <f>VLOOKUP(AD6,U3:AC6,6,0)</f>
        <v>1</v>
      </c>
      <c r="AJ6" s="58">
        <f>VLOOKUP(AD6,U3:AC6,7,0)</f>
        <v>9</v>
      </c>
      <c r="AK6" s="58">
        <f>VLOOKUP(AD6,U3:AC6,8,0)</f>
        <v>-8</v>
      </c>
      <c r="AL6" s="59">
        <f>VLOOKUP(AD6,U3:AC6,9,0)</f>
        <v>0</v>
      </c>
      <c r="AM6" s="37">
        <f t="shared" si="15"/>
        <v>4</v>
      </c>
      <c r="AN6" s="38" t="str">
        <f t="shared" si="16"/>
        <v>Chile</v>
      </c>
      <c r="AO6" s="38" t="str">
        <f t="shared" si="17"/>
        <v>Ausztrália</v>
      </c>
      <c r="AP6" s="39">
        <f t="shared" ref="AP6:AQ6" si="39">IF(E6&lt;&gt;"",E6,"")</f>
        <v>3</v>
      </c>
      <c r="AQ6" s="40">
        <f t="shared" si="39"/>
        <v>1</v>
      </c>
      <c r="AR6" s="41" t="str">
        <f t="shared" si="19"/>
        <v/>
      </c>
      <c r="AS6" s="41" t="str">
        <f t="shared" si="20"/>
        <v/>
      </c>
      <c r="AT6" s="42" t="str">
        <f t="shared" si="21"/>
        <v/>
      </c>
      <c r="AU6" s="42" t="str">
        <f t="shared" si="22"/>
        <v/>
      </c>
      <c r="AV6" s="42" t="e">
        <f t="shared" ref="AV6:AW6" si="40">INDEX($AZ$3:$BB$48,MATCH(AN6,$AZ$3:$AZ$48,),3)</f>
        <v>#N/A</v>
      </c>
      <c r="AW6" s="42" t="e">
        <f t="shared" si="40"/>
        <v>#N/A</v>
      </c>
      <c r="AX6" s="42" t="str">
        <f t="shared" si="24"/>
        <v>B</v>
      </c>
      <c r="AY6" s="38"/>
      <c r="AZ6" s="43" t="b">
        <f>IF(COUNTIF(T3:T6,T6)&gt;1,V6)</f>
        <v>0</v>
      </c>
      <c r="BA6" s="38"/>
      <c r="BB6" s="33" t="b">
        <f>IF(COUNTIF(T3:T6,T6)&gt;1,T6)</f>
        <v>0</v>
      </c>
      <c r="BC6" s="60" t="s">
        <v>43</v>
      </c>
      <c r="BD6" s="45">
        <f>COUNTIFS(Hee,BC6,eeh,"&gt;-1",$AW$3:$AW$50,BB6)+COUNTIFS(Vee,BC6,eev,"&gt;-1",$AV$3:$AV$50,BB6)</f>
        <v>0</v>
      </c>
      <c r="BE6" s="45">
        <f>COUNTIFS(Hee,BC7,akiH,3,vepontV,BB7)+COUNTIFS(Vee,BC7,akiV,3,epontH,BB7)</f>
        <v>0</v>
      </c>
      <c r="BF6" s="45">
        <f>COUNTIFS(Hee,BC6,akiH,1,vepontV,BB6)+COUNTIFS(Vee,BC6,akiV,1,epontH,BB6)</f>
        <v>0</v>
      </c>
      <c r="BG6" s="45">
        <f>SUMIFS(eeh,Hee,BC6,vepontV,BB6)+SUMIFS(eev,Vee,BC6,epontH,BB6)</f>
        <v>0</v>
      </c>
      <c r="BH6" s="45">
        <f>SUMIFS(eeh,Vee,BC6,epontH,BB6)+SUMIFS(eev,Hee,BC6,vepontV,BB6)</f>
        <v>0</v>
      </c>
      <c r="BI6" s="45">
        <f t="shared" si="26"/>
        <v>0</v>
      </c>
      <c r="BJ6" s="46">
        <f t="shared" si="27"/>
        <v>0</v>
      </c>
      <c r="BK6" s="38"/>
      <c r="BL6" s="47">
        <f t="shared" si="28"/>
        <v>1</v>
      </c>
      <c r="BM6" s="47">
        <f t="shared" si="29"/>
        <v>1</v>
      </c>
      <c r="BN6" s="47">
        <f t="shared" si="30"/>
        <v>1</v>
      </c>
      <c r="BO6" s="47">
        <f t="shared" si="31"/>
        <v>25</v>
      </c>
      <c r="BP6" s="47">
        <f t="shared" si="32"/>
        <v>5</v>
      </c>
      <c r="BQ6" s="47">
        <f t="shared" si="33"/>
        <v>1</v>
      </c>
      <c r="BR6" s="47">
        <v>0.4</v>
      </c>
      <c r="BS6" s="29">
        <f t="shared" si="34"/>
        <v>11531.4</v>
      </c>
      <c r="BT6" s="47">
        <f>RANK(BS6,BS3:BS6,1)</f>
        <v>3</v>
      </c>
      <c r="BU6" s="62"/>
    </row>
    <row r="7" spans="1:73" ht="18.75" customHeight="1">
      <c r="A7" s="24">
        <v>5</v>
      </c>
      <c r="B7" s="25">
        <v>41804</v>
      </c>
      <c r="C7" s="26">
        <v>0.75</v>
      </c>
      <c r="D7" s="27" t="s">
        <v>52</v>
      </c>
      <c r="E7" s="107">
        <v>3</v>
      </c>
      <c r="F7" s="107">
        <v>0</v>
      </c>
      <c r="G7" s="27" t="s">
        <v>53</v>
      </c>
      <c r="H7" s="28" t="s">
        <v>54</v>
      </c>
      <c r="I7" s="62"/>
      <c r="J7" s="42">
        <f t="shared" si="0"/>
        <v>3</v>
      </c>
      <c r="K7" s="42" t="str">
        <f t="shared" si="1"/>
        <v>0</v>
      </c>
      <c r="L7" s="33"/>
      <c r="M7" s="7"/>
      <c r="N7" s="7"/>
      <c r="O7" s="7"/>
      <c r="P7" s="7"/>
      <c r="Q7" s="7"/>
      <c r="R7" s="7"/>
      <c r="S7" s="7"/>
      <c r="T7" s="47"/>
      <c r="U7" s="47"/>
      <c r="V7" s="61"/>
      <c r="W7" s="61"/>
      <c r="X7" s="61"/>
      <c r="Y7" s="61"/>
      <c r="Z7" s="61"/>
      <c r="AA7" s="61"/>
      <c r="AB7" s="61"/>
      <c r="AC7" s="61"/>
      <c r="AD7" s="33"/>
      <c r="AE7" s="62"/>
      <c r="AF7" s="62"/>
      <c r="AG7" s="62"/>
      <c r="AH7" s="62"/>
      <c r="AI7" s="62"/>
      <c r="AJ7" s="62"/>
      <c r="AK7" s="62"/>
      <c r="AL7" s="62"/>
      <c r="AM7" s="62">
        <f t="shared" si="15"/>
        <v>5</v>
      </c>
      <c r="AN7" s="62" t="str">
        <f t="shared" si="16"/>
        <v>Kolumbia</v>
      </c>
      <c r="AO7" s="62" t="str">
        <f t="shared" si="17"/>
        <v>Görögország</v>
      </c>
      <c r="AP7" s="62">
        <f t="shared" ref="AP7:AQ7" si="41">IF(E7&lt;&gt;"",E7,"")</f>
        <v>3</v>
      </c>
      <c r="AQ7" s="62">
        <f t="shared" si="41"/>
        <v>0</v>
      </c>
      <c r="AR7" s="62" t="str">
        <f t="shared" si="19"/>
        <v/>
      </c>
      <c r="AS7" s="62" t="str">
        <f t="shared" si="20"/>
        <v/>
      </c>
      <c r="AT7" s="62" t="str">
        <f t="shared" si="21"/>
        <v/>
      </c>
      <c r="AU7" s="62" t="str">
        <f t="shared" si="22"/>
        <v/>
      </c>
      <c r="AV7" s="62" t="e">
        <f t="shared" ref="AV7:AW7" si="42">INDEX($AZ$3:$BB$48,MATCH(AN7,$AZ$3:$AZ$48,),3)</f>
        <v>#N/A</v>
      </c>
      <c r="AW7" s="62" t="e">
        <f t="shared" si="42"/>
        <v>#N/A</v>
      </c>
      <c r="AX7" s="62" t="str">
        <f t="shared" si="24"/>
        <v>C</v>
      </c>
      <c r="AY7" s="62"/>
      <c r="AZ7" s="62"/>
      <c r="BA7" s="62"/>
      <c r="BB7" s="62"/>
      <c r="BC7" s="62"/>
      <c r="BD7" s="62"/>
      <c r="BE7" s="62"/>
      <c r="BF7" s="62"/>
      <c r="BG7" s="62"/>
      <c r="BH7" s="62"/>
      <c r="BI7" s="62"/>
      <c r="BJ7" s="62"/>
      <c r="BK7" s="62"/>
      <c r="BL7" s="62"/>
      <c r="BM7" s="62"/>
      <c r="BN7" s="62"/>
      <c r="BO7" s="62"/>
      <c r="BP7" s="62"/>
      <c r="BQ7" s="62"/>
      <c r="BR7" s="62"/>
      <c r="BS7" s="62"/>
      <c r="BT7" s="62"/>
      <c r="BU7" s="62"/>
    </row>
    <row r="8" spans="1:73" ht="18.75" customHeight="1">
      <c r="A8" s="24">
        <v>6</v>
      </c>
      <c r="B8" s="25">
        <v>41804</v>
      </c>
      <c r="C8" s="26">
        <v>0.875</v>
      </c>
      <c r="D8" s="27" t="s">
        <v>55</v>
      </c>
      <c r="E8" s="107">
        <v>1</v>
      </c>
      <c r="F8" s="107">
        <v>3</v>
      </c>
      <c r="G8" s="27" t="s">
        <v>56</v>
      </c>
      <c r="H8" s="28" t="s">
        <v>57</v>
      </c>
      <c r="I8" s="62"/>
      <c r="J8" s="42" t="str">
        <f t="shared" si="0"/>
        <v>0</v>
      </c>
      <c r="K8" s="42">
        <f t="shared" si="1"/>
        <v>3</v>
      </c>
      <c r="L8" s="33"/>
      <c r="M8" s="47" t="s">
        <v>9</v>
      </c>
      <c r="N8" s="47" t="s">
        <v>10</v>
      </c>
      <c r="O8" s="47" t="s">
        <v>11</v>
      </c>
      <c r="P8" s="47" t="s">
        <v>12</v>
      </c>
      <c r="Q8" s="47" t="s">
        <v>13</v>
      </c>
      <c r="R8" s="47" t="s">
        <v>14</v>
      </c>
      <c r="S8" s="14" t="s">
        <v>15</v>
      </c>
      <c r="T8" s="47" t="s">
        <v>16</v>
      </c>
      <c r="U8" s="47" t="str">
        <f t="shared" ref="U8:U12" si="43">BT8</f>
        <v>rank2</v>
      </c>
      <c r="V8" s="15" t="s">
        <v>58</v>
      </c>
      <c r="W8" s="16" t="s">
        <v>19</v>
      </c>
      <c r="X8" s="16"/>
      <c r="Y8" s="16" t="s">
        <v>21</v>
      </c>
      <c r="Z8" s="16" t="s">
        <v>22</v>
      </c>
      <c r="AA8" s="16" t="s">
        <v>23</v>
      </c>
      <c r="AB8" s="16" t="s">
        <v>24</v>
      </c>
      <c r="AC8" s="17" t="s">
        <v>25</v>
      </c>
      <c r="AD8" s="33"/>
      <c r="AE8" s="18" t="s">
        <v>59</v>
      </c>
      <c r="AF8" s="19" t="s">
        <v>27</v>
      </c>
      <c r="AG8" s="19" t="s">
        <v>28</v>
      </c>
      <c r="AH8" s="19" t="s">
        <v>29</v>
      </c>
      <c r="AI8" s="19" t="s">
        <v>22</v>
      </c>
      <c r="AJ8" s="19" t="s">
        <v>23</v>
      </c>
      <c r="AK8" s="19" t="s">
        <v>30</v>
      </c>
      <c r="AL8" s="20" t="s">
        <v>25</v>
      </c>
      <c r="AM8" s="37">
        <f t="shared" si="15"/>
        <v>6</v>
      </c>
      <c r="AN8" s="38" t="str">
        <f t="shared" si="16"/>
        <v>Uruguay</v>
      </c>
      <c r="AO8" s="38" t="str">
        <f t="shared" si="17"/>
        <v>Costa Rica</v>
      </c>
      <c r="AP8" s="39">
        <f t="shared" ref="AP8:AQ8" si="44">IF(E8&lt;&gt;"",E8,"")</f>
        <v>1</v>
      </c>
      <c r="AQ8" s="40">
        <f t="shared" si="44"/>
        <v>3</v>
      </c>
      <c r="AR8" s="41" t="str">
        <f t="shared" si="19"/>
        <v/>
      </c>
      <c r="AS8" s="41" t="str">
        <f t="shared" si="20"/>
        <v/>
      </c>
      <c r="AT8" s="42" t="str">
        <f t="shared" si="21"/>
        <v/>
      </c>
      <c r="AU8" s="42" t="str">
        <f t="shared" si="22"/>
        <v/>
      </c>
      <c r="AV8" s="42" t="e">
        <f t="shared" ref="AV8:AW8" si="45">INDEX($AZ$3:$BB$48,MATCH(AN8,$AZ$3:$AZ$48,),3)</f>
        <v>#N/A</v>
      </c>
      <c r="AW8" s="42" t="e">
        <f t="shared" si="45"/>
        <v>#N/A</v>
      </c>
      <c r="AX8" s="42" t="str">
        <f t="shared" si="24"/>
        <v>D</v>
      </c>
      <c r="AY8" s="38"/>
      <c r="AZ8" s="38"/>
      <c r="BA8" s="38"/>
      <c r="BB8" s="33"/>
      <c r="BC8" s="21" t="s">
        <v>58</v>
      </c>
      <c r="BD8" s="22" t="s">
        <v>19</v>
      </c>
      <c r="BE8" s="22"/>
      <c r="BF8" s="22"/>
      <c r="BG8" s="22" t="s">
        <v>22</v>
      </c>
      <c r="BH8" s="22" t="s">
        <v>23</v>
      </c>
      <c r="BI8" s="22" t="s">
        <v>24</v>
      </c>
      <c r="BJ8" s="23" t="s">
        <v>25</v>
      </c>
      <c r="BK8" s="38"/>
      <c r="BL8" s="47" t="s">
        <v>34</v>
      </c>
      <c r="BM8" s="47" t="s">
        <v>35</v>
      </c>
      <c r="BN8" s="47" t="s">
        <v>36</v>
      </c>
      <c r="BO8" s="47" t="s">
        <v>37</v>
      </c>
      <c r="BP8" s="47" t="s">
        <v>38</v>
      </c>
      <c r="BQ8" s="47" t="s">
        <v>39</v>
      </c>
      <c r="BR8" s="47" t="s">
        <v>40</v>
      </c>
      <c r="BS8" s="47" t="s">
        <v>41</v>
      </c>
      <c r="BT8" s="7" t="s">
        <v>17</v>
      </c>
      <c r="BU8" s="62"/>
    </row>
    <row r="9" spans="1:73" ht="18.75" customHeight="1">
      <c r="A9" s="24">
        <v>7</v>
      </c>
      <c r="B9" s="25">
        <v>41805</v>
      </c>
      <c r="C9" s="26">
        <v>0</v>
      </c>
      <c r="D9" s="27" t="s">
        <v>60</v>
      </c>
      <c r="E9" s="107">
        <v>1</v>
      </c>
      <c r="F9" s="107">
        <v>2</v>
      </c>
      <c r="G9" s="27" t="s">
        <v>61</v>
      </c>
      <c r="H9" s="28" t="s">
        <v>54</v>
      </c>
      <c r="I9" s="62"/>
      <c r="J9" s="42" t="str">
        <f t="shared" si="0"/>
        <v>0</v>
      </c>
      <c r="K9" s="42">
        <f t="shared" si="1"/>
        <v>3</v>
      </c>
      <c r="L9" s="33"/>
      <c r="M9" s="47">
        <f t="shared" ref="M9:M12" si="46">RANK(AC9,AC$9:AC$12)</f>
        <v>4</v>
      </c>
      <c r="N9" s="47">
        <f t="shared" ref="N9:N12" si="47">RANK(AB9,AB$9:AB$12)</f>
        <v>4</v>
      </c>
      <c r="O9" s="47">
        <f t="shared" ref="O9:O12" si="48">RANK(Z9,Z$9:Z$12)</f>
        <v>4</v>
      </c>
      <c r="P9" s="47">
        <f t="shared" ref="P9:P12" si="49">3125*M9</f>
        <v>12500</v>
      </c>
      <c r="Q9" s="47">
        <f t="shared" ref="Q9:Q12" si="50">625*N9</f>
        <v>2500</v>
      </c>
      <c r="R9" s="47">
        <f t="shared" ref="R9:R12" si="51">125*O9</f>
        <v>500</v>
      </c>
      <c r="S9" s="29">
        <f t="shared" ref="S9:S12" si="52">SUM(P9:R9)</f>
        <v>15500</v>
      </c>
      <c r="T9" s="47">
        <f t="shared" ref="T9:T12" si="53">RANK(S9,$S$9:$S$12,1)</f>
        <v>4</v>
      </c>
      <c r="U9" s="47">
        <f t="shared" si="43"/>
        <v>4</v>
      </c>
      <c r="V9" s="30" t="s">
        <v>51</v>
      </c>
      <c r="W9" s="31">
        <f t="shared" ref="W9:W12" si="54">COUNTIFS($D$3:$D$50,$V9,$E$3:$E$50,"&gt;-1")+COUNTIFS($G$3:$G$50,$V9,$F$3:$F$50,"&gt;-1")</f>
        <v>3</v>
      </c>
      <c r="X9" s="31">
        <f>COUNTIFS(hazai,V9,pontH,3)+COUNTIFS(vendeg,V9,pontV,3)</f>
        <v>0</v>
      </c>
      <c r="Y9" s="31">
        <f>COUNTIFS(hazai,V9,pontH,1)+COUNTIFS(vendeg,V9,pontV,1)</f>
        <v>0</v>
      </c>
      <c r="Z9" s="31">
        <f t="shared" ref="Z9:Z12" si="55">SUMIFS($E$3:$E$50,$D$3:$D$50,$V9)+SUMIFS($F$3:$F$50,$G$3:$G$50,$V9)</f>
        <v>3</v>
      </c>
      <c r="AA9" s="31">
        <f t="shared" ref="AA9:AA12" si="56">SUMIFS($F$3:$F$50,$D$3:$D$50,$V9)+SUMIFS($E$3:$E$50,$G$3:$G$50,$V9)</f>
        <v>9</v>
      </c>
      <c r="AB9" s="31">
        <f t="shared" ref="AB9:AB12" si="57">Z9-AA9</f>
        <v>-6</v>
      </c>
      <c r="AC9" s="32">
        <f>SUMIF(hazai,$V9,$J$3:$J$50)+SUMIF(vendeg,V9,$K$3:$K$50)</f>
        <v>0</v>
      </c>
      <c r="AD9" s="33">
        <v>1</v>
      </c>
      <c r="AE9" s="34" t="str">
        <f>VLOOKUP(AD9,U9:AC12,2,0)</f>
        <v>Hollandia</v>
      </c>
      <c r="AF9" s="35">
        <f>VLOOKUP(AD9,U9:AC12,3,0)</f>
        <v>3</v>
      </c>
      <c r="AG9" s="35">
        <f>VLOOKUP(AD9,U9:AC12,4,0)</f>
        <v>3</v>
      </c>
      <c r="AH9" s="35">
        <f>VLOOKUP(AD9,U9:AC12,5,0)</f>
        <v>0</v>
      </c>
      <c r="AI9" s="35">
        <f>VLOOKUP(AD9,U9:AC12,6,0)</f>
        <v>10</v>
      </c>
      <c r="AJ9" s="35">
        <f>VLOOKUP(AD9,U9:AC12,7,0)</f>
        <v>3</v>
      </c>
      <c r="AK9" s="35">
        <f>VLOOKUP(AD9,U9:AC12,8,0)</f>
        <v>7</v>
      </c>
      <c r="AL9" s="36">
        <f>VLOOKUP(AD9,U9:AC12,9,0)</f>
        <v>9</v>
      </c>
      <c r="AM9" s="37">
        <f t="shared" si="15"/>
        <v>7</v>
      </c>
      <c r="AN9" s="38" t="str">
        <f t="shared" si="16"/>
        <v>Anglia</v>
      </c>
      <c r="AO9" s="38" t="str">
        <f t="shared" si="17"/>
        <v>Olaszország</v>
      </c>
      <c r="AP9" s="39">
        <f t="shared" ref="AP9:AQ9" si="58">IF(E9&lt;&gt;"",E9,"")</f>
        <v>1</v>
      </c>
      <c r="AQ9" s="40">
        <f t="shared" si="58"/>
        <v>2</v>
      </c>
      <c r="AR9" s="41" t="str">
        <f t="shared" si="19"/>
        <v/>
      </c>
      <c r="AS9" s="41" t="str">
        <f t="shared" si="20"/>
        <v/>
      </c>
      <c r="AT9" s="42" t="str">
        <f t="shared" si="21"/>
        <v/>
      </c>
      <c r="AU9" s="42" t="str">
        <f t="shared" si="22"/>
        <v/>
      </c>
      <c r="AV9" s="42" t="e">
        <f t="shared" ref="AV9:AW9" si="59">INDEX($AZ$3:$BB$48,MATCH(AN9,$AZ$3:$AZ$48,),3)</f>
        <v>#N/A</v>
      </c>
      <c r="AW9" s="42" t="e">
        <f t="shared" si="59"/>
        <v>#N/A</v>
      </c>
      <c r="AX9" s="42" t="str">
        <f t="shared" si="24"/>
        <v>C</v>
      </c>
      <c r="AY9" s="38"/>
      <c r="AZ9" s="43" t="b">
        <f>IF(COUNTIF(T9:T12,T9)&gt;1,V9)</f>
        <v>0</v>
      </c>
      <c r="BA9" s="38"/>
      <c r="BB9" s="33" t="b">
        <f>IF(COUNTIF(T9:T12,T9)&gt;1,T9)</f>
        <v>0</v>
      </c>
      <c r="BC9" s="44" t="s">
        <v>51</v>
      </c>
      <c r="BD9" s="45">
        <f>COUNTIFS(Hee,BC9,eeh,"&gt;-1",$AW$3:$AW$50,BB9)+COUNTIFS(Vee,BC9,eev,"&gt;-1",$AV$3:$AV$50,BB9)</f>
        <v>0</v>
      </c>
      <c r="BE9" s="45">
        <f>COUNTIFS(Hee,BC10,akiH,3,vepontV,BB10)+COUNTIFS(Vee,BC10,akiV,3,epontH,BB10)</f>
        <v>0</v>
      </c>
      <c r="BF9" s="45">
        <f>COUNTIFS(Hee,BC9,akiH,1,vepontV,BB9)+COUNTIFS(Vee,BC9,akiV,1,epontH,BB9)</f>
        <v>0</v>
      </c>
      <c r="BG9" s="45">
        <f>SUMIFS(eeh,Hee,BC9,vepontV,BB9)+SUMIFS(eev,Vee,BC9,epontH,BB9)</f>
        <v>0</v>
      </c>
      <c r="BH9" s="45">
        <f>SUMIFS(eeh,Vee,BC9,epontH,BB9)+SUMIFS(eev,Hee,BC9,vepontV,BB9)</f>
        <v>0</v>
      </c>
      <c r="BI9" s="45">
        <f t="shared" ref="BI9:BI12" si="60">IF(BD9&gt;0,BG9-BH9,0)</f>
        <v>0</v>
      </c>
      <c r="BJ9" s="46">
        <f t="shared" ref="BJ9:BJ12" si="61">BE9*3+BF9</f>
        <v>0</v>
      </c>
      <c r="BK9" s="38"/>
      <c r="BL9" s="47">
        <f t="shared" ref="BL9:BL12" si="62">RANK(BJ9,BJ$39:BJ$42)</f>
        <v>1</v>
      </c>
      <c r="BM9" s="47">
        <f t="shared" ref="BM9:BM12" si="63">RANK(BI9,BI$39:BI$42)</f>
        <v>1</v>
      </c>
      <c r="BN9" s="47">
        <f t="shared" ref="BN9:BN12" si="64">RANK(BG9,BG$39:BG$42)</f>
        <v>1</v>
      </c>
      <c r="BO9" s="47">
        <f t="shared" ref="BO9:BO12" si="65">BL9*25</f>
        <v>25</v>
      </c>
      <c r="BP9" s="47">
        <f t="shared" ref="BP9:BP12" si="66">BM9*5</f>
        <v>5</v>
      </c>
      <c r="BQ9" s="47">
        <f t="shared" ref="BQ9:BQ12" si="67">BN9</f>
        <v>1</v>
      </c>
      <c r="BR9" s="47">
        <v>0.1</v>
      </c>
      <c r="BS9" s="29">
        <f t="shared" ref="BS9:BS12" si="68">SUM(BO9:BR9)+S9</f>
        <v>15531.1</v>
      </c>
      <c r="BT9" s="47">
        <f>RANK(BS9,BS9:BS12,1)</f>
        <v>4</v>
      </c>
      <c r="BU9" s="62"/>
    </row>
    <row r="10" spans="1:73" ht="18.75" customHeight="1">
      <c r="A10" s="24">
        <v>8</v>
      </c>
      <c r="B10" s="25">
        <v>41805</v>
      </c>
      <c r="C10" s="26">
        <v>0.125</v>
      </c>
      <c r="D10" s="27" t="s">
        <v>62</v>
      </c>
      <c r="E10" s="107">
        <v>2</v>
      </c>
      <c r="F10" s="107">
        <v>1</v>
      </c>
      <c r="G10" s="27" t="s">
        <v>63</v>
      </c>
      <c r="H10" s="28" t="s">
        <v>57</v>
      </c>
      <c r="I10" s="62"/>
      <c r="J10" s="42">
        <f t="shared" si="0"/>
        <v>3</v>
      </c>
      <c r="K10" s="42" t="str">
        <f t="shared" si="1"/>
        <v>0</v>
      </c>
      <c r="L10" s="33"/>
      <c r="M10" s="47">
        <f t="shared" si="46"/>
        <v>1</v>
      </c>
      <c r="N10" s="47">
        <f t="shared" si="47"/>
        <v>1</v>
      </c>
      <c r="O10" s="47">
        <f t="shared" si="48"/>
        <v>1</v>
      </c>
      <c r="P10" s="47">
        <f t="shared" si="49"/>
        <v>3125</v>
      </c>
      <c r="Q10" s="47">
        <f t="shared" si="50"/>
        <v>625</v>
      </c>
      <c r="R10" s="47">
        <f t="shared" si="51"/>
        <v>125</v>
      </c>
      <c r="S10" s="29">
        <f t="shared" si="52"/>
        <v>3875</v>
      </c>
      <c r="T10" s="47">
        <f t="shared" si="53"/>
        <v>1</v>
      </c>
      <c r="U10" s="47">
        <f t="shared" si="43"/>
        <v>1</v>
      </c>
      <c r="V10" s="30" t="s">
        <v>48</v>
      </c>
      <c r="W10" s="31">
        <f t="shared" si="54"/>
        <v>3</v>
      </c>
      <c r="X10" s="31">
        <f>COUNTIFS(hazai,V10,pontH,3)+COUNTIFS(vendeg,V10,pontV,3)</f>
        <v>3</v>
      </c>
      <c r="Y10" s="31">
        <f>COUNTIFS(hazai,V10,pontH,1)+COUNTIFS(vendeg,V10,pontV,1)</f>
        <v>0</v>
      </c>
      <c r="Z10" s="31">
        <f t="shared" si="55"/>
        <v>10</v>
      </c>
      <c r="AA10" s="31">
        <f t="shared" si="56"/>
        <v>3</v>
      </c>
      <c r="AB10" s="31">
        <f t="shared" si="57"/>
        <v>7</v>
      </c>
      <c r="AC10" s="32">
        <f>SUMIF(hazai,$V10,$J$3:$J$50)+SUMIF(vendeg,V10,$K$3:$K$50)</f>
        <v>9</v>
      </c>
      <c r="AD10" s="33">
        <v>2</v>
      </c>
      <c r="AE10" s="48" t="str">
        <f>VLOOKUP(AD10,U9:AC12,2,0)</f>
        <v>Chile</v>
      </c>
      <c r="AF10" s="49">
        <f>VLOOKUP(AD10,U9:AC12,3,0)</f>
        <v>3</v>
      </c>
      <c r="AG10" s="49">
        <f>VLOOKUP(AD10,U9:AC12,4,0)</f>
        <v>2</v>
      </c>
      <c r="AH10" s="49">
        <f>VLOOKUP(AD10,U9:AC12,5,0)</f>
        <v>0</v>
      </c>
      <c r="AI10" s="49">
        <f>VLOOKUP(AD10,U9:AC12,6,0)</f>
        <v>5</v>
      </c>
      <c r="AJ10" s="49">
        <f>VLOOKUP(AD10,U9:AC12,7,0)</f>
        <v>3</v>
      </c>
      <c r="AK10" s="49">
        <f>VLOOKUP(AD10,U9:AC12,8,0)</f>
        <v>2</v>
      </c>
      <c r="AL10" s="50">
        <f>VLOOKUP(AD10,U9:AC12,9,0)</f>
        <v>6</v>
      </c>
      <c r="AM10" s="37">
        <f t="shared" si="15"/>
        <v>8</v>
      </c>
      <c r="AN10" s="38" t="str">
        <f t="shared" si="16"/>
        <v>Elefántcsontpart</v>
      </c>
      <c r="AO10" s="38" t="str">
        <f t="shared" si="17"/>
        <v>Japán</v>
      </c>
      <c r="AP10" s="39">
        <f t="shared" ref="AP10:AQ10" si="69">IF(E10&lt;&gt;"",E10,"")</f>
        <v>2</v>
      </c>
      <c r="AQ10" s="40">
        <f t="shared" si="69"/>
        <v>1</v>
      </c>
      <c r="AR10" s="41" t="str">
        <f t="shared" si="19"/>
        <v/>
      </c>
      <c r="AS10" s="41" t="str">
        <f t="shared" si="20"/>
        <v/>
      </c>
      <c r="AT10" s="42" t="str">
        <f t="shared" si="21"/>
        <v/>
      </c>
      <c r="AU10" s="42" t="str">
        <f t="shared" si="22"/>
        <v/>
      </c>
      <c r="AV10" s="42" t="e">
        <f t="shared" ref="AV10:AW10" si="70">INDEX($AZ$3:$BB$48,MATCH(AN10,$AZ$3:$AZ$48,),3)</f>
        <v>#N/A</v>
      </c>
      <c r="AW10" s="42" t="e">
        <f t="shared" si="70"/>
        <v>#N/A</v>
      </c>
      <c r="AX10" s="42" t="str">
        <f t="shared" si="24"/>
        <v>D</v>
      </c>
      <c r="AY10" s="38"/>
      <c r="AZ10" s="43" t="b">
        <f>IF(COUNTIF(T9:T12,T10)&gt;1,V10)</f>
        <v>0</v>
      </c>
      <c r="BA10" s="38"/>
      <c r="BB10" s="33" t="b">
        <f>IF(COUNTIF(T9:T12,T10)&gt;1,T10)</f>
        <v>0</v>
      </c>
      <c r="BC10" s="44" t="s">
        <v>48</v>
      </c>
      <c r="BD10" s="45">
        <f>COUNTIFS(Hee,BC10,eeh,"&gt;-1",$AW$3:$AW$50,BB10)+COUNTIFS(Vee,BC10,eev,"&gt;-1",$AV$3:$AV$50,BB10)</f>
        <v>0</v>
      </c>
      <c r="BE10" s="45">
        <f>COUNTIFS(Hee,BC11,akiH,3,vepontV,BB11)+COUNTIFS(Vee,BC11,akiV,3,epontH,BB11)</f>
        <v>0</v>
      </c>
      <c r="BF10" s="45">
        <f>COUNTIFS(Hee,BC10,akiH,1,vepontV,BB10)+COUNTIFS(Vee,BC10,akiV,1,epontH,BB10)</f>
        <v>0</v>
      </c>
      <c r="BG10" s="45">
        <f>SUMIFS(eeh,Hee,BC10,vepontV,BB10)+SUMIFS(eev,Vee,BC10,epontH,BB10)</f>
        <v>0</v>
      </c>
      <c r="BH10" s="45">
        <f>SUMIFS(eeh,Vee,BC10,epontH,BB10)+SUMIFS(eev,Hee,BC10,vepontV,BB10)</f>
        <v>0</v>
      </c>
      <c r="BI10" s="45">
        <f t="shared" si="60"/>
        <v>0</v>
      </c>
      <c r="BJ10" s="46">
        <f t="shared" si="61"/>
        <v>0</v>
      </c>
      <c r="BK10" s="38"/>
      <c r="BL10" s="47">
        <f t="shared" si="62"/>
        <v>1</v>
      </c>
      <c r="BM10" s="47">
        <f t="shared" si="63"/>
        <v>1</v>
      </c>
      <c r="BN10" s="47">
        <f t="shared" si="64"/>
        <v>1</v>
      </c>
      <c r="BO10" s="47">
        <f t="shared" si="65"/>
        <v>25</v>
      </c>
      <c r="BP10" s="47">
        <f t="shared" si="66"/>
        <v>5</v>
      </c>
      <c r="BQ10" s="47">
        <f t="shared" si="67"/>
        <v>1</v>
      </c>
      <c r="BR10" s="47">
        <v>0.2</v>
      </c>
      <c r="BS10" s="29">
        <f t="shared" si="68"/>
        <v>3906.2</v>
      </c>
      <c r="BT10" s="47">
        <f>RANK(BS10,BS9:BS12,1)</f>
        <v>1</v>
      </c>
      <c r="BU10" s="62"/>
    </row>
    <row r="11" spans="1:73" ht="18.75" customHeight="1">
      <c r="A11" s="24">
        <v>9</v>
      </c>
      <c r="B11" s="25">
        <v>41805</v>
      </c>
      <c r="C11" s="26">
        <v>0.75</v>
      </c>
      <c r="D11" s="27" t="s">
        <v>64</v>
      </c>
      <c r="E11" s="107">
        <v>2</v>
      </c>
      <c r="F11" s="107">
        <v>1</v>
      </c>
      <c r="G11" s="27" t="s">
        <v>65</v>
      </c>
      <c r="H11" s="28" t="s">
        <v>66</v>
      </c>
      <c r="I11" s="62"/>
      <c r="J11" s="42">
        <f t="shared" si="0"/>
        <v>3</v>
      </c>
      <c r="K11" s="42" t="str">
        <f t="shared" si="1"/>
        <v>0</v>
      </c>
      <c r="L11" s="33"/>
      <c r="M11" s="47">
        <f t="shared" si="46"/>
        <v>3</v>
      </c>
      <c r="N11" s="47">
        <f t="shared" si="47"/>
        <v>3</v>
      </c>
      <c r="O11" s="47">
        <f t="shared" si="48"/>
        <v>3</v>
      </c>
      <c r="P11" s="47">
        <f t="shared" si="49"/>
        <v>9375</v>
      </c>
      <c r="Q11" s="47">
        <f t="shared" si="50"/>
        <v>1875</v>
      </c>
      <c r="R11" s="47">
        <f t="shared" si="51"/>
        <v>375</v>
      </c>
      <c r="S11" s="29">
        <f t="shared" si="52"/>
        <v>11625</v>
      </c>
      <c r="T11" s="47">
        <f t="shared" si="53"/>
        <v>3</v>
      </c>
      <c r="U11" s="47">
        <f t="shared" si="43"/>
        <v>3</v>
      </c>
      <c r="V11" s="30" t="s">
        <v>47</v>
      </c>
      <c r="W11" s="31">
        <f t="shared" si="54"/>
        <v>3</v>
      </c>
      <c r="X11" s="31">
        <f>COUNTIFS(hazai,V11,pontH,3)+COUNTIFS(vendeg,V11,pontV,3)</f>
        <v>1</v>
      </c>
      <c r="Y11" s="31">
        <f>COUNTIFS(hazai,V11,pontH,1)+COUNTIFS(vendeg,V11,pontV,1)</f>
        <v>0</v>
      </c>
      <c r="Z11" s="31">
        <f t="shared" si="55"/>
        <v>4</v>
      </c>
      <c r="AA11" s="31">
        <f t="shared" si="56"/>
        <v>7</v>
      </c>
      <c r="AB11" s="31">
        <f t="shared" si="57"/>
        <v>-3</v>
      </c>
      <c r="AC11" s="32">
        <f>SUMIF(hazai,$V11,$J$3:$J$50)+SUMIF(vendeg,V11,$K$3:$K$50)</f>
        <v>3</v>
      </c>
      <c r="AD11" s="33">
        <v>3</v>
      </c>
      <c r="AE11" s="51" t="str">
        <f>VLOOKUP(AD11,U9:AC12,2,0)</f>
        <v>Spanyolország</v>
      </c>
      <c r="AF11" s="52">
        <f>VLOOKUP(AD11,U9:AC12,3,0)</f>
        <v>3</v>
      </c>
      <c r="AG11" s="52">
        <f>VLOOKUP(AD11,U9:AC12,4,0)</f>
        <v>1</v>
      </c>
      <c r="AH11" s="52">
        <f>VLOOKUP(AD11,U9:AC12,5,0)</f>
        <v>0</v>
      </c>
      <c r="AI11" s="52">
        <f>VLOOKUP(AD11,U9:AC12,6,0)</f>
        <v>4</v>
      </c>
      <c r="AJ11" s="52">
        <f>VLOOKUP(AD11,U9:AC12,7,0)</f>
        <v>7</v>
      </c>
      <c r="AK11" s="52">
        <f>VLOOKUP(AD11,U9:AC12,8,0)</f>
        <v>-3</v>
      </c>
      <c r="AL11" s="53">
        <f>VLOOKUP(AD11,U9:AC12,9,0)</f>
        <v>3</v>
      </c>
      <c r="AM11" s="37">
        <f t="shared" si="15"/>
        <v>9</v>
      </c>
      <c r="AN11" s="38" t="str">
        <f t="shared" si="16"/>
        <v>Svájc</v>
      </c>
      <c r="AO11" s="38" t="str">
        <f t="shared" si="17"/>
        <v>Ecuador</v>
      </c>
      <c r="AP11" s="39">
        <f t="shared" ref="AP11:AQ11" si="71">IF(E11&lt;&gt;"",E11,"")</f>
        <v>2</v>
      </c>
      <c r="AQ11" s="40">
        <f t="shared" si="71"/>
        <v>1</v>
      </c>
      <c r="AR11" s="41" t="str">
        <f t="shared" si="19"/>
        <v/>
      </c>
      <c r="AS11" s="41" t="str">
        <f t="shared" si="20"/>
        <v/>
      </c>
      <c r="AT11" s="42" t="str">
        <f t="shared" si="21"/>
        <v/>
      </c>
      <c r="AU11" s="42" t="str">
        <f t="shared" si="22"/>
        <v/>
      </c>
      <c r="AV11" s="42" t="e">
        <f t="shared" ref="AV11:AW11" si="72">INDEX($AZ$3:$BB$48,MATCH(AN11,$AZ$3:$AZ$48,),3)</f>
        <v>#N/A</v>
      </c>
      <c r="AW11" s="42" t="e">
        <f t="shared" si="72"/>
        <v>#N/A</v>
      </c>
      <c r="AX11" s="42" t="str">
        <f t="shared" si="24"/>
        <v>E</v>
      </c>
      <c r="AY11" s="38"/>
      <c r="AZ11" s="43" t="b">
        <f>IF(COUNTIF(T9:T12,T11)&gt;1,V11)</f>
        <v>0</v>
      </c>
      <c r="BA11" s="38"/>
      <c r="BB11" s="33" t="b">
        <f>IF(COUNTIF(T9:T12,T11)&gt;1,T11)</f>
        <v>0</v>
      </c>
      <c r="BC11" s="44" t="s">
        <v>47</v>
      </c>
      <c r="BD11" s="45">
        <f>COUNTIFS(Hee,BC11,eeh,"&gt;-1",$AW$3:$AW$50,BB11)+COUNTIFS(Vee,BC11,eev,"&gt;-1",$AV$3:$AV$50,BB11)</f>
        <v>0</v>
      </c>
      <c r="BE11" s="45">
        <f>COUNTIFS(Hee,BC12,akiH,3,vepontV,BB12)+COUNTIFS(Vee,BC12,akiV,3,epontH,BB12)</f>
        <v>0</v>
      </c>
      <c r="BF11" s="45">
        <f>COUNTIFS(Hee,BC11,akiH,1,vepontV,BB11)+COUNTIFS(Vee,BC11,akiV,1,epontH,BB11)</f>
        <v>0</v>
      </c>
      <c r="BG11" s="45">
        <f>SUMIFS(eeh,Hee,BC11,vepontV,BB11)+SUMIFS(eev,Vee,BC11,epontH,BB11)</f>
        <v>0</v>
      </c>
      <c r="BH11" s="45">
        <f>SUMIFS(eeh,Vee,BC11,epontH,BB11)+SUMIFS(eev,Hee,BC11,vepontV,BB11)</f>
        <v>0</v>
      </c>
      <c r="BI11" s="45">
        <f t="shared" si="60"/>
        <v>0</v>
      </c>
      <c r="BJ11" s="46">
        <f t="shared" si="61"/>
        <v>0</v>
      </c>
      <c r="BK11" s="38"/>
      <c r="BL11" s="47">
        <f t="shared" si="62"/>
        <v>1</v>
      </c>
      <c r="BM11" s="47">
        <f t="shared" si="63"/>
        <v>1</v>
      </c>
      <c r="BN11" s="47">
        <f t="shared" si="64"/>
        <v>1</v>
      </c>
      <c r="BO11" s="47">
        <f t="shared" si="65"/>
        <v>25</v>
      </c>
      <c r="BP11" s="47">
        <f t="shared" si="66"/>
        <v>5</v>
      </c>
      <c r="BQ11" s="47">
        <f t="shared" si="67"/>
        <v>1</v>
      </c>
      <c r="BR11" s="47">
        <v>0.3</v>
      </c>
      <c r="BS11" s="29">
        <f t="shared" si="68"/>
        <v>11656.3</v>
      </c>
      <c r="BT11" s="47">
        <f>RANK(BS11,BS9:BS12,1)</f>
        <v>3</v>
      </c>
      <c r="BU11" s="62"/>
    </row>
    <row r="12" spans="1:73" ht="18.75" customHeight="1">
      <c r="A12" s="24">
        <v>10</v>
      </c>
      <c r="B12" s="25">
        <v>41805</v>
      </c>
      <c r="C12" s="26">
        <v>0.875</v>
      </c>
      <c r="D12" s="27" t="s">
        <v>67</v>
      </c>
      <c r="E12" s="107">
        <v>3</v>
      </c>
      <c r="F12" s="107">
        <v>0</v>
      </c>
      <c r="G12" s="27" t="s">
        <v>68</v>
      </c>
      <c r="H12" s="28" t="s">
        <v>66</v>
      </c>
      <c r="I12" s="62"/>
      <c r="J12" s="42">
        <f t="shared" si="0"/>
        <v>3</v>
      </c>
      <c r="K12" s="42" t="str">
        <f t="shared" si="1"/>
        <v>0</v>
      </c>
      <c r="L12" s="33"/>
      <c r="M12" s="47">
        <f t="shared" si="46"/>
        <v>2</v>
      </c>
      <c r="N12" s="47">
        <f t="shared" si="47"/>
        <v>2</v>
      </c>
      <c r="O12" s="47">
        <f t="shared" si="48"/>
        <v>2</v>
      </c>
      <c r="P12" s="47">
        <f t="shared" si="49"/>
        <v>6250</v>
      </c>
      <c r="Q12" s="47">
        <f t="shared" si="50"/>
        <v>1250</v>
      </c>
      <c r="R12" s="47">
        <f t="shared" si="51"/>
        <v>250</v>
      </c>
      <c r="S12" s="29">
        <f t="shared" si="52"/>
        <v>7750</v>
      </c>
      <c r="T12" s="47">
        <f t="shared" si="53"/>
        <v>2</v>
      </c>
      <c r="U12" s="47">
        <f t="shared" si="43"/>
        <v>2</v>
      </c>
      <c r="V12" s="54" t="s">
        <v>50</v>
      </c>
      <c r="W12" s="55">
        <f t="shared" si="54"/>
        <v>3</v>
      </c>
      <c r="X12" s="55">
        <f>COUNTIFS(hazai,V12,pontH,3)+COUNTIFS(vendeg,V12,pontV,3)</f>
        <v>2</v>
      </c>
      <c r="Y12" s="31">
        <f>COUNTIFS(hazai,V12,pontH,1)+COUNTIFS(vendeg,V12,pontV,1)</f>
        <v>0</v>
      </c>
      <c r="Z12" s="55">
        <f t="shared" si="55"/>
        <v>5</v>
      </c>
      <c r="AA12" s="55">
        <f t="shared" si="56"/>
        <v>3</v>
      </c>
      <c r="AB12" s="55">
        <f t="shared" si="57"/>
        <v>2</v>
      </c>
      <c r="AC12" s="56">
        <f>SUMIF(hazai,$V12,$J$3:$J$50)+SUMIF(vendeg,V12,$K$3:$K$50)</f>
        <v>6</v>
      </c>
      <c r="AD12" s="33">
        <v>4</v>
      </c>
      <c r="AE12" s="57" t="str">
        <f>VLOOKUP(AD12,U9:AC12,2,0)</f>
        <v>Ausztrália</v>
      </c>
      <c r="AF12" s="58">
        <f>VLOOKUP(AD12,U9:AC12,3,0)</f>
        <v>3</v>
      </c>
      <c r="AG12" s="58">
        <f>VLOOKUP(AD12,U9:AC12,4,0)</f>
        <v>0</v>
      </c>
      <c r="AH12" s="58">
        <f>VLOOKUP(AD12,U9:AC12,5,0)</f>
        <v>0</v>
      </c>
      <c r="AI12" s="58">
        <f>VLOOKUP(AD12,U9:AC12,6,0)</f>
        <v>3</v>
      </c>
      <c r="AJ12" s="58">
        <f>VLOOKUP(AD12,U9:AC12,7,0)</f>
        <v>9</v>
      </c>
      <c r="AK12" s="58">
        <f>VLOOKUP(AD12,U9:AC12,8,0)</f>
        <v>-6</v>
      </c>
      <c r="AL12" s="59">
        <f>VLOOKUP(AD12,U9:AC12,9,0)</f>
        <v>0</v>
      </c>
      <c r="AM12" s="37">
        <f t="shared" si="15"/>
        <v>10</v>
      </c>
      <c r="AN12" s="38" t="str">
        <f t="shared" si="16"/>
        <v>Franciaország</v>
      </c>
      <c r="AO12" s="38" t="str">
        <f t="shared" si="17"/>
        <v>Hondurasz</v>
      </c>
      <c r="AP12" s="39">
        <f t="shared" ref="AP12:AQ12" si="73">IF(E12&lt;&gt;"",E12,"")</f>
        <v>3</v>
      </c>
      <c r="AQ12" s="40">
        <f t="shared" si="73"/>
        <v>0</v>
      </c>
      <c r="AR12" s="41" t="str">
        <f t="shared" si="19"/>
        <v/>
      </c>
      <c r="AS12" s="41" t="str">
        <f t="shared" si="20"/>
        <v/>
      </c>
      <c r="AT12" s="42" t="str">
        <f t="shared" si="21"/>
        <v/>
      </c>
      <c r="AU12" s="42" t="str">
        <f t="shared" si="22"/>
        <v/>
      </c>
      <c r="AV12" s="42" t="e">
        <f t="shared" ref="AV12:AW12" si="74">INDEX($AZ$3:$BB$48,MATCH(AN12,$AZ$3:$AZ$48,),3)</f>
        <v>#N/A</v>
      </c>
      <c r="AW12" s="42" t="e">
        <f t="shared" si="74"/>
        <v>#N/A</v>
      </c>
      <c r="AX12" s="42" t="str">
        <f t="shared" si="24"/>
        <v>E</v>
      </c>
      <c r="AY12" s="38"/>
      <c r="AZ12" s="43" t="b">
        <f>IF(COUNTIF(T9:T12,T12)&gt;1,V12)</f>
        <v>0</v>
      </c>
      <c r="BA12" s="38"/>
      <c r="BB12" s="33" t="b">
        <f>IF(COUNTIF(T9:T12,T12)&gt;1,T12)</f>
        <v>0</v>
      </c>
      <c r="BC12" s="60" t="s">
        <v>50</v>
      </c>
      <c r="BD12" s="45">
        <f>COUNTIFS(Hee,BC12,eeh,"&gt;-1",$AW$3:$AW$50,BB12)+COUNTIFS(Vee,BC12,eev,"&gt;-1",$AV$3:$AV$50,BB12)</f>
        <v>0</v>
      </c>
      <c r="BE12" s="45">
        <f>COUNTIFS(Hee,BC13,akiH,3,vepontV,BB13)+COUNTIFS(Vee,BC13,akiV,3,epontH,BB13)</f>
        <v>0</v>
      </c>
      <c r="BF12" s="45">
        <f>COUNTIFS(Hee,BC12,akiH,1,vepontV,BB12)+COUNTIFS(Vee,BC12,akiV,1,epontH,BB12)</f>
        <v>0</v>
      </c>
      <c r="BG12" s="45">
        <f>SUMIFS(eeh,Hee,BC12,vepontV,BB12)+SUMIFS(eev,Vee,BC12,epontH,BB12)</f>
        <v>0</v>
      </c>
      <c r="BH12" s="45">
        <f>SUMIFS(eeh,Vee,BC12,epontH,BB12)+SUMIFS(eev,Hee,BC12,vepontV,BB12)</f>
        <v>0</v>
      </c>
      <c r="BI12" s="45">
        <f t="shared" si="60"/>
        <v>0</v>
      </c>
      <c r="BJ12" s="46">
        <f t="shared" si="61"/>
        <v>0</v>
      </c>
      <c r="BK12" s="38"/>
      <c r="BL12" s="47">
        <f t="shared" si="62"/>
        <v>1</v>
      </c>
      <c r="BM12" s="47">
        <f t="shared" si="63"/>
        <v>1</v>
      </c>
      <c r="BN12" s="47">
        <f t="shared" si="64"/>
        <v>1</v>
      </c>
      <c r="BO12" s="47">
        <f t="shared" si="65"/>
        <v>25</v>
      </c>
      <c r="BP12" s="47">
        <f t="shared" si="66"/>
        <v>5</v>
      </c>
      <c r="BQ12" s="47">
        <f t="shared" si="67"/>
        <v>1</v>
      </c>
      <c r="BR12" s="47">
        <v>0.4</v>
      </c>
      <c r="BS12" s="29">
        <f t="shared" si="68"/>
        <v>7781.4</v>
      </c>
      <c r="BT12" s="47">
        <f>RANK(BS12,BS9:BS12,1)</f>
        <v>2</v>
      </c>
      <c r="BU12" s="62"/>
    </row>
    <row r="13" spans="1:73" ht="18.75" customHeight="1">
      <c r="A13" s="24">
        <v>11</v>
      </c>
      <c r="B13" s="25">
        <v>41806</v>
      </c>
      <c r="C13" s="26">
        <v>0</v>
      </c>
      <c r="D13" s="27" t="s">
        <v>69</v>
      </c>
      <c r="E13" s="107">
        <v>2</v>
      </c>
      <c r="F13" s="107">
        <v>1</v>
      </c>
      <c r="G13" s="27" t="s">
        <v>70</v>
      </c>
      <c r="H13" s="28" t="s">
        <v>71</v>
      </c>
      <c r="I13" s="62"/>
      <c r="J13" s="42">
        <f t="shared" si="0"/>
        <v>3</v>
      </c>
      <c r="K13" s="42" t="str">
        <f t="shared" si="1"/>
        <v>0</v>
      </c>
      <c r="L13" s="33"/>
      <c r="M13" s="7"/>
      <c r="N13" s="7"/>
      <c r="O13" s="7"/>
      <c r="P13" s="7"/>
      <c r="Q13" s="7"/>
      <c r="R13" s="7"/>
      <c r="S13" s="7"/>
      <c r="T13" s="47"/>
      <c r="U13" s="47"/>
      <c r="V13" s="61"/>
      <c r="W13" s="61"/>
      <c r="X13" s="61"/>
      <c r="Y13" s="61"/>
      <c r="Z13" s="61"/>
      <c r="AA13" s="61"/>
      <c r="AB13" s="61"/>
      <c r="AC13" s="61"/>
      <c r="AD13" s="33"/>
      <c r="AE13" s="62"/>
      <c r="AF13" s="62"/>
      <c r="AG13" s="62"/>
      <c r="AH13" s="62"/>
      <c r="AI13" s="62"/>
      <c r="AJ13" s="62"/>
      <c r="AK13" s="62"/>
      <c r="AL13" s="62"/>
      <c r="AM13" s="62">
        <f t="shared" si="15"/>
        <v>11</v>
      </c>
      <c r="AN13" s="62" t="str">
        <f t="shared" si="16"/>
        <v>Argentína</v>
      </c>
      <c r="AO13" s="62" t="str">
        <f t="shared" si="17"/>
        <v>Bosznia-Herc.</v>
      </c>
      <c r="AP13" s="62">
        <f t="shared" ref="AP13:AQ13" si="75">IF(E13&lt;&gt;"",E13,"")</f>
        <v>2</v>
      </c>
      <c r="AQ13" s="62">
        <f t="shared" si="75"/>
        <v>1</v>
      </c>
      <c r="AR13" s="62" t="str">
        <f t="shared" si="19"/>
        <v/>
      </c>
      <c r="AS13" s="62" t="str">
        <f t="shared" si="20"/>
        <v/>
      </c>
      <c r="AT13" s="62" t="str">
        <f t="shared" si="21"/>
        <v/>
      </c>
      <c r="AU13" s="62" t="str">
        <f t="shared" si="22"/>
        <v/>
      </c>
      <c r="AV13" s="62" t="e">
        <f t="shared" ref="AV13:AW13" si="76">INDEX($AZ$3:$BB$48,MATCH(AN13,$AZ$3:$AZ$48,),3)</f>
        <v>#N/A</v>
      </c>
      <c r="AW13" s="62" t="e">
        <f t="shared" si="76"/>
        <v>#N/A</v>
      </c>
      <c r="AX13" s="62" t="str">
        <f t="shared" si="24"/>
        <v>F</v>
      </c>
      <c r="AY13" s="62"/>
      <c r="AZ13" s="62"/>
      <c r="BA13" s="62"/>
      <c r="BB13" s="62"/>
      <c r="BC13" s="62"/>
      <c r="BD13" s="62"/>
      <c r="BE13" s="62"/>
      <c r="BF13" s="62"/>
      <c r="BG13" s="62"/>
      <c r="BH13" s="62"/>
      <c r="BI13" s="62"/>
      <c r="BJ13" s="62"/>
      <c r="BK13" s="62"/>
      <c r="BL13" s="62"/>
      <c r="BM13" s="62"/>
      <c r="BN13" s="62"/>
      <c r="BO13" s="62"/>
      <c r="BP13" s="62"/>
      <c r="BQ13" s="62"/>
      <c r="BR13" s="62"/>
      <c r="BS13" s="62"/>
      <c r="BT13" s="62"/>
      <c r="BU13" s="62"/>
    </row>
    <row r="14" spans="1:73" ht="18.75" customHeight="1">
      <c r="A14" s="24">
        <v>12</v>
      </c>
      <c r="B14" s="25">
        <v>41806</v>
      </c>
      <c r="C14" s="26">
        <v>0.75</v>
      </c>
      <c r="D14" s="27" t="s">
        <v>72</v>
      </c>
      <c r="E14" s="107">
        <v>4</v>
      </c>
      <c r="F14" s="107">
        <v>0</v>
      </c>
      <c r="G14" s="27" t="s">
        <v>73</v>
      </c>
      <c r="H14" s="28" t="s">
        <v>74</v>
      </c>
      <c r="I14" s="62"/>
      <c r="J14" s="42">
        <f t="shared" si="0"/>
        <v>3</v>
      </c>
      <c r="K14" s="42" t="str">
        <f t="shared" si="1"/>
        <v>0</v>
      </c>
      <c r="L14" s="33"/>
      <c r="M14" s="47" t="s">
        <v>9</v>
      </c>
      <c r="N14" s="47" t="s">
        <v>10</v>
      </c>
      <c r="O14" s="47" t="s">
        <v>11</v>
      </c>
      <c r="P14" s="47" t="s">
        <v>12</v>
      </c>
      <c r="Q14" s="47" t="s">
        <v>13</v>
      </c>
      <c r="R14" s="47" t="s">
        <v>14</v>
      </c>
      <c r="S14" s="14" t="s">
        <v>15</v>
      </c>
      <c r="T14" s="47" t="s">
        <v>16</v>
      </c>
      <c r="U14" s="47" t="str">
        <f t="shared" ref="U14:U18" si="77">BT14</f>
        <v>rank2</v>
      </c>
      <c r="V14" s="15" t="s">
        <v>75</v>
      </c>
      <c r="W14" s="16" t="s">
        <v>19</v>
      </c>
      <c r="X14" s="16" t="s">
        <v>20</v>
      </c>
      <c r="Y14" s="16" t="s">
        <v>21</v>
      </c>
      <c r="Z14" s="16" t="s">
        <v>22</v>
      </c>
      <c r="AA14" s="16" t="s">
        <v>23</v>
      </c>
      <c r="AB14" s="16" t="s">
        <v>24</v>
      </c>
      <c r="AC14" s="17" t="s">
        <v>25</v>
      </c>
      <c r="AD14" s="33"/>
      <c r="AE14" s="18" t="s">
        <v>76</v>
      </c>
      <c r="AF14" s="19" t="s">
        <v>27</v>
      </c>
      <c r="AG14" s="19" t="s">
        <v>28</v>
      </c>
      <c r="AH14" s="19" t="s">
        <v>29</v>
      </c>
      <c r="AI14" s="19" t="s">
        <v>22</v>
      </c>
      <c r="AJ14" s="19" t="s">
        <v>23</v>
      </c>
      <c r="AK14" s="19" t="s">
        <v>30</v>
      </c>
      <c r="AL14" s="20" t="s">
        <v>25</v>
      </c>
      <c r="AM14" s="37">
        <f t="shared" si="15"/>
        <v>12</v>
      </c>
      <c r="AN14" s="38" t="str">
        <f t="shared" si="16"/>
        <v>Németország</v>
      </c>
      <c r="AO14" s="38" t="str">
        <f t="shared" si="17"/>
        <v>Portugália</v>
      </c>
      <c r="AP14" s="39">
        <f t="shared" ref="AP14:AQ14" si="78">IF(E14&lt;&gt;"",E14,"")</f>
        <v>4</v>
      </c>
      <c r="AQ14" s="40">
        <f t="shared" si="78"/>
        <v>0</v>
      </c>
      <c r="AR14" s="41" t="str">
        <f t="shared" si="19"/>
        <v/>
      </c>
      <c r="AS14" s="41" t="str">
        <f t="shared" si="20"/>
        <v/>
      </c>
      <c r="AT14" s="42" t="str">
        <f t="shared" si="21"/>
        <v/>
      </c>
      <c r="AU14" s="42" t="str">
        <f t="shared" si="22"/>
        <v/>
      </c>
      <c r="AV14" s="42" t="e">
        <f t="shared" ref="AV14:AW14" si="79">INDEX($AZ$3:$BB$48,MATCH(AN14,$AZ$3:$AZ$48,),3)</f>
        <v>#N/A</v>
      </c>
      <c r="AW14" s="42" t="e">
        <f t="shared" si="79"/>
        <v>#N/A</v>
      </c>
      <c r="AX14" s="42" t="str">
        <f t="shared" si="24"/>
        <v>G</v>
      </c>
      <c r="AY14" s="38"/>
      <c r="AZ14" s="38"/>
      <c r="BA14" s="38"/>
      <c r="BB14" s="33"/>
      <c r="BC14" s="21" t="s">
        <v>75</v>
      </c>
      <c r="BD14" s="22" t="s">
        <v>19</v>
      </c>
      <c r="BE14" s="22"/>
      <c r="BF14" s="22"/>
      <c r="BG14" s="22" t="s">
        <v>22</v>
      </c>
      <c r="BH14" s="22" t="s">
        <v>23</v>
      </c>
      <c r="BI14" s="22" t="s">
        <v>24</v>
      </c>
      <c r="BJ14" s="23" t="s">
        <v>25</v>
      </c>
      <c r="BK14" s="38"/>
      <c r="BL14" s="47" t="s">
        <v>34</v>
      </c>
      <c r="BM14" s="47" t="s">
        <v>35</v>
      </c>
      <c r="BN14" s="47" t="s">
        <v>36</v>
      </c>
      <c r="BO14" s="47" t="s">
        <v>37</v>
      </c>
      <c r="BP14" s="47" t="s">
        <v>38</v>
      </c>
      <c r="BQ14" s="47" t="s">
        <v>39</v>
      </c>
      <c r="BR14" s="47" t="s">
        <v>40</v>
      </c>
      <c r="BS14" s="47" t="s">
        <v>41</v>
      </c>
      <c r="BT14" s="7" t="s">
        <v>17</v>
      </c>
      <c r="BU14" s="62"/>
    </row>
    <row r="15" spans="1:73" ht="18.75" customHeight="1">
      <c r="A15" s="24">
        <v>13</v>
      </c>
      <c r="B15" s="25">
        <v>41806</v>
      </c>
      <c r="C15" s="26">
        <v>0.875</v>
      </c>
      <c r="D15" s="27" t="s">
        <v>77</v>
      </c>
      <c r="E15" s="107">
        <v>0</v>
      </c>
      <c r="F15" s="107">
        <v>0</v>
      </c>
      <c r="G15" s="27" t="s">
        <v>78</v>
      </c>
      <c r="H15" s="28" t="s">
        <v>71</v>
      </c>
      <c r="I15" s="62"/>
      <c r="J15" s="42">
        <f t="shared" si="0"/>
        <v>1</v>
      </c>
      <c r="K15" s="42">
        <f t="shared" si="1"/>
        <v>1</v>
      </c>
      <c r="L15" s="33"/>
      <c r="M15" s="47">
        <f t="shared" ref="M15:M18" si="80">RANK(AC15,AC$15:AC$18)</f>
        <v>1</v>
      </c>
      <c r="N15" s="47">
        <f t="shared" ref="N15:N18" si="81">RANK(AB15,AB$15:AB$18)</f>
        <v>1</v>
      </c>
      <c r="O15" s="47">
        <f t="shared" ref="O15:O18" si="82">RANK(Z15,Z$15:Z$18)</f>
        <v>1</v>
      </c>
      <c r="P15" s="47">
        <f t="shared" ref="P15:P18" si="83">3125*M15</f>
        <v>3125</v>
      </c>
      <c r="Q15" s="47">
        <f t="shared" ref="Q15:Q18" si="84">625*N15</f>
        <v>625</v>
      </c>
      <c r="R15" s="47">
        <f t="shared" ref="R15:R18" si="85">125*O15</f>
        <v>125</v>
      </c>
      <c r="S15" s="29">
        <f t="shared" ref="S15:S18" si="86">SUM(P15:R15)</f>
        <v>3875</v>
      </c>
      <c r="T15" s="47">
        <f t="shared" ref="T15:T18" si="87">RANK(S15,$S$15:$S$18,1)</f>
        <v>1</v>
      </c>
      <c r="U15" s="47">
        <f t="shared" si="77"/>
        <v>1</v>
      </c>
      <c r="V15" s="30" t="s">
        <v>52</v>
      </c>
      <c r="W15" s="31">
        <f t="shared" ref="W15:W18" si="88">COUNTIFS($D$3:$D$50,$V15,$E$3:$E$50,"&gt;-1")+COUNTIFS($G$3:$G$50,$V15,$F$3:$F$50,"&gt;-1")</f>
        <v>3</v>
      </c>
      <c r="X15" s="31">
        <f>COUNTIFS(hazai,V15,pontH,3)+COUNTIFS(vendeg,V15,pontV,3)</f>
        <v>3</v>
      </c>
      <c r="Y15" s="31">
        <f>COUNTIFS(hazai,V15,pontH,1)+COUNTIFS(vendeg,V15,pontV,1)</f>
        <v>0</v>
      </c>
      <c r="Z15" s="31">
        <f t="shared" ref="Z15:Z18" si="89">SUMIFS($E$3:$E$50,$D$3:$D$50,$V15)+SUMIFS($F$3:$F$50,$G$3:$G$50,$V15)</f>
        <v>9</v>
      </c>
      <c r="AA15" s="31">
        <f t="shared" ref="AA15:AA18" si="90">SUMIFS($F$3:$F$50,$D$3:$D$50,$V15)+SUMIFS($E$3:$E$50,$G$3:$G$50,$V15)</f>
        <v>2</v>
      </c>
      <c r="AB15" s="31">
        <f t="shared" ref="AB15:AB18" si="91">Z15-AA15</f>
        <v>7</v>
      </c>
      <c r="AC15" s="32">
        <f>SUMIF(hazai,$V15,$J$3:$J$50)+SUMIF(vendeg,V15,$K$3:$K$50)</f>
        <v>9</v>
      </c>
      <c r="AD15" s="33">
        <v>1</v>
      </c>
      <c r="AE15" s="34" t="str">
        <f>VLOOKUP(AD15,U15:AC18,2,0)</f>
        <v>Kolumbia</v>
      </c>
      <c r="AF15" s="35">
        <f>VLOOKUP(AD15,U15:AC18,3,0)</f>
        <v>3</v>
      </c>
      <c r="AG15" s="35">
        <f>VLOOKUP(AD15,U15:AC18,4,0)</f>
        <v>3</v>
      </c>
      <c r="AH15" s="35">
        <f>VLOOKUP(AD15,U15:AC18,5,0)</f>
        <v>0</v>
      </c>
      <c r="AI15" s="35">
        <f>VLOOKUP(AD15,U15:AC18,6,0)</f>
        <v>9</v>
      </c>
      <c r="AJ15" s="35">
        <f>VLOOKUP(AD15,U15:AC18,7,0)</f>
        <v>2</v>
      </c>
      <c r="AK15" s="35">
        <f>VLOOKUP(AD15,U15:AC18,8,0)</f>
        <v>7</v>
      </c>
      <c r="AL15" s="36">
        <f>VLOOKUP(AD15,U15:AC18,9,0)</f>
        <v>9</v>
      </c>
      <c r="AM15" s="37">
        <f t="shared" si="15"/>
        <v>13</v>
      </c>
      <c r="AN15" s="38" t="str">
        <f t="shared" si="16"/>
        <v>Irán</v>
      </c>
      <c r="AO15" s="38" t="str">
        <f t="shared" si="17"/>
        <v>Nigéria</v>
      </c>
      <c r="AP15" s="39">
        <f t="shared" ref="AP15:AQ15" si="92">IF(E15&lt;&gt;"",E15,"")</f>
        <v>0</v>
      </c>
      <c r="AQ15" s="40">
        <f t="shared" si="92"/>
        <v>0</v>
      </c>
      <c r="AR15" s="41" t="str">
        <f t="shared" si="19"/>
        <v/>
      </c>
      <c r="AS15" s="41" t="str">
        <f t="shared" si="20"/>
        <v/>
      </c>
      <c r="AT15" s="42" t="str">
        <f t="shared" si="21"/>
        <v/>
      </c>
      <c r="AU15" s="42" t="str">
        <f t="shared" si="22"/>
        <v/>
      </c>
      <c r="AV15" s="42" t="e">
        <f t="shared" ref="AV15:AW15" si="93">INDEX($AZ$3:$BB$48,MATCH(AN15,$AZ$3:$AZ$48,),3)</f>
        <v>#N/A</v>
      </c>
      <c r="AW15" s="42" t="e">
        <f t="shared" si="93"/>
        <v>#N/A</v>
      </c>
      <c r="AX15" s="42" t="str">
        <f t="shared" si="24"/>
        <v>F</v>
      </c>
      <c r="AY15" s="38"/>
      <c r="AZ15" s="43" t="b">
        <f>IF(COUNTIF(T15:T18,T15)&gt;1,V15)</f>
        <v>0</v>
      </c>
      <c r="BA15" s="38"/>
      <c r="BB15" s="33" t="b">
        <f>IF(COUNTIF(T15:T18,T15)&gt;1,T15)</f>
        <v>0</v>
      </c>
      <c r="BC15" s="44" t="s">
        <v>52</v>
      </c>
      <c r="BD15" s="45">
        <f>COUNTIFS(Hee,BC15,eeh,"&gt;-1",$AW$3:$AW$50,BB15)+COUNTIFS(Vee,BC15,eev,"&gt;-1",$AV$3:$AV$50,BB15)</f>
        <v>0</v>
      </c>
      <c r="BE15" s="45">
        <f>COUNTIFS(Hee,BC16,akiH,3,vepontV,BB16)+COUNTIFS(Vee,BC16,akiV,3,epontH,BB16)</f>
        <v>0</v>
      </c>
      <c r="BF15" s="45">
        <f>COUNTIFS(Hee,BC15,akiH,1,vepontV,BB15)+COUNTIFS(Vee,BC15,akiV,1,epontH,BB15)</f>
        <v>0</v>
      </c>
      <c r="BG15" s="45">
        <f>SUMIFS(eeh,Hee,BC15,vepontV,BB15)+SUMIFS(eev,Vee,BC15,epontH,BB15)</f>
        <v>0</v>
      </c>
      <c r="BH15" s="45">
        <f>SUMIFS(eeh,Vee,BC15,epontH,BB15)+SUMIFS(eev,Hee,BC15,vepontV,BB15)</f>
        <v>0</v>
      </c>
      <c r="BI15" s="45">
        <f t="shared" ref="BI15:BI18" si="94">IF(BD15&gt;0,BG15-BH15,0)</f>
        <v>0</v>
      </c>
      <c r="BJ15" s="46">
        <f t="shared" ref="BJ15:BJ18" si="95">BE15*3+BF15</f>
        <v>0</v>
      </c>
      <c r="BK15" s="38"/>
      <c r="BL15" s="47">
        <f t="shared" ref="BL15:BL18" si="96">RANK(BJ15,BJ$39:BJ$42)</f>
        <v>1</v>
      </c>
      <c r="BM15" s="47">
        <f t="shared" ref="BM15:BM18" si="97">RANK(BI15,BI$39:BI$42)</f>
        <v>1</v>
      </c>
      <c r="BN15" s="47">
        <f t="shared" ref="BN15:BN18" si="98">RANK(BG15,BG$39:BG$42)</f>
        <v>1</v>
      </c>
      <c r="BO15" s="47">
        <f t="shared" ref="BO15:BO18" si="99">BL15*25</f>
        <v>25</v>
      </c>
      <c r="BP15" s="47">
        <f t="shared" ref="BP15:BP18" si="100">BM15*5</f>
        <v>5</v>
      </c>
      <c r="BQ15" s="47">
        <f t="shared" ref="BQ15:BQ18" si="101">BN15</f>
        <v>1</v>
      </c>
      <c r="BR15" s="47">
        <v>0.1</v>
      </c>
      <c r="BS15" s="29">
        <f t="shared" ref="BS15:BS18" si="102">SUM(BO15:BR15)+S15</f>
        <v>3906.1</v>
      </c>
      <c r="BT15" s="47">
        <f>RANK(BS15,BS15:BS18,1)</f>
        <v>1</v>
      </c>
      <c r="BU15" s="62"/>
    </row>
    <row r="16" spans="1:73" ht="18.75" customHeight="1">
      <c r="A16" s="24">
        <v>14</v>
      </c>
      <c r="B16" s="25">
        <v>41807</v>
      </c>
      <c r="C16" s="26">
        <v>0</v>
      </c>
      <c r="D16" s="27" t="s">
        <v>79</v>
      </c>
      <c r="E16" s="107">
        <v>1</v>
      </c>
      <c r="F16" s="107">
        <v>2</v>
      </c>
      <c r="G16" s="27" t="s">
        <v>80</v>
      </c>
      <c r="H16" s="28" t="s">
        <v>74</v>
      </c>
      <c r="I16" s="62"/>
      <c r="J16" s="42" t="str">
        <f t="shared" si="0"/>
        <v>0</v>
      </c>
      <c r="K16" s="42">
        <f t="shared" si="1"/>
        <v>3</v>
      </c>
      <c r="L16" s="33"/>
      <c r="M16" s="47">
        <f t="shared" si="80"/>
        <v>2</v>
      </c>
      <c r="N16" s="47">
        <f t="shared" si="81"/>
        <v>3</v>
      </c>
      <c r="O16" s="47">
        <f t="shared" si="82"/>
        <v>3</v>
      </c>
      <c r="P16" s="47">
        <f t="shared" si="83"/>
        <v>6250</v>
      </c>
      <c r="Q16" s="47">
        <f t="shared" si="84"/>
        <v>1875</v>
      </c>
      <c r="R16" s="47">
        <f t="shared" si="85"/>
        <v>375</v>
      </c>
      <c r="S16" s="29">
        <f t="shared" si="86"/>
        <v>8500</v>
      </c>
      <c r="T16" s="47">
        <f t="shared" si="87"/>
        <v>2</v>
      </c>
      <c r="U16" s="47">
        <f t="shared" si="77"/>
        <v>2</v>
      </c>
      <c r="V16" s="30" t="s">
        <v>53</v>
      </c>
      <c r="W16" s="31">
        <f t="shared" si="88"/>
        <v>3</v>
      </c>
      <c r="X16" s="31">
        <f>COUNTIFS(hazai,V16,pontH,3)+COUNTIFS(vendeg,V16,pontV,3)</f>
        <v>1</v>
      </c>
      <c r="Y16" s="31">
        <f>COUNTIFS(hazai,V16,pontH,1)+COUNTIFS(vendeg,V16,pontV,1)</f>
        <v>1</v>
      </c>
      <c r="Z16" s="31">
        <f t="shared" si="89"/>
        <v>2</v>
      </c>
      <c r="AA16" s="31">
        <f t="shared" si="90"/>
        <v>4</v>
      </c>
      <c r="AB16" s="31">
        <f t="shared" si="91"/>
        <v>-2</v>
      </c>
      <c r="AC16" s="32">
        <f>SUMIF(hazai,$V16,$J$3:$J$50)+SUMIF(vendeg,V16,$K$3:$K$50)</f>
        <v>4</v>
      </c>
      <c r="AD16" s="33">
        <v>2</v>
      </c>
      <c r="AE16" s="48" t="str">
        <f>VLOOKUP(AD16,U15:AC18,2,0)</f>
        <v>Görögország</v>
      </c>
      <c r="AF16" s="49">
        <f>VLOOKUP(AD16,U15:AC18,3,0)</f>
        <v>3</v>
      </c>
      <c r="AG16" s="49">
        <f>VLOOKUP(AD16,U15:AC18,4,0)</f>
        <v>1</v>
      </c>
      <c r="AH16" s="49">
        <f>VLOOKUP(AD16,U15:AC18,5,0)</f>
        <v>1</v>
      </c>
      <c r="AI16" s="49">
        <f>VLOOKUP(AD16,U15:AC18,6,0)</f>
        <v>2</v>
      </c>
      <c r="AJ16" s="49">
        <f>VLOOKUP(AD16,U15:AC18,7,0)</f>
        <v>4</v>
      </c>
      <c r="AK16" s="49">
        <f>VLOOKUP(AD16,U15:AC18,8,0)</f>
        <v>-2</v>
      </c>
      <c r="AL16" s="50">
        <f>VLOOKUP(AD16,U15:AC18,9,0)</f>
        <v>4</v>
      </c>
      <c r="AM16" s="37">
        <f t="shared" si="15"/>
        <v>14</v>
      </c>
      <c r="AN16" s="38" t="str">
        <f t="shared" si="16"/>
        <v>Ghána</v>
      </c>
      <c r="AO16" s="38" t="str">
        <f t="shared" si="17"/>
        <v>USA</v>
      </c>
      <c r="AP16" s="39">
        <f t="shared" ref="AP16:AQ16" si="103">IF(E16&lt;&gt;"",E16,"")</f>
        <v>1</v>
      </c>
      <c r="AQ16" s="40">
        <f t="shared" si="103"/>
        <v>2</v>
      </c>
      <c r="AR16" s="41" t="str">
        <f t="shared" si="19"/>
        <v/>
      </c>
      <c r="AS16" s="41" t="str">
        <f t="shared" si="20"/>
        <v/>
      </c>
      <c r="AT16" s="42" t="str">
        <f t="shared" si="21"/>
        <v/>
      </c>
      <c r="AU16" s="42" t="str">
        <f t="shared" si="22"/>
        <v/>
      </c>
      <c r="AV16" s="42" t="e">
        <f t="shared" ref="AV16:AW16" si="104">INDEX($AZ$3:$BB$48,MATCH(AN16,$AZ$3:$AZ$48,),3)</f>
        <v>#N/A</v>
      </c>
      <c r="AW16" s="42" t="e">
        <f t="shared" si="104"/>
        <v>#N/A</v>
      </c>
      <c r="AX16" s="42" t="str">
        <f t="shared" si="24"/>
        <v>G</v>
      </c>
      <c r="AY16" s="38"/>
      <c r="AZ16" s="43" t="b">
        <f>IF(COUNTIF(T15:T18,T16)&gt;1,V16)</f>
        <v>0</v>
      </c>
      <c r="BA16" s="38"/>
      <c r="BB16" s="33" t="b">
        <f>IF(COUNTIF(T15:T18,T16)&gt;1,T16)</f>
        <v>0</v>
      </c>
      <c r="BC16" s="44" t="s">
        <v>53</v>
      </c>
      <c r="BD16" s="45">
        <f>COUNTIFS(Hee,BC16,eeh,"&gt;-1",$AW$3:$AW$50,BB16)+COUNTIFS(Vee,BC16,eev,"&gt;-1",$AV$3:$AV$50,BB16)</f>
        <v>0</v>
      </c>
      <c r="BE16" s="45">
        <f>COUNTIFS(Hee,BC17,akiH,3,vepontV,BB17)+COUNTIFS(Vee,BC17,akiV,3,epontH,BB17)</f>
        <v>0</v>
      </c>
      <c r="BF16" s="45">
        <f>COUNTIFS(Hee,BC16,akiH,1,vepontV,BB16)+COUNTIFS(Vee,BC16,akiV,1,epontH,BB16)</f>
        <v>0</v>
      </c>
      <c r="BG16" s="45">
        <f>SUMIFS(eeh,Hee,BC16,vepontV,BB16)+SUMIFS(eev,Vee,BC16,epontH,BB16)</f>
        <v>0</v>
      </c>
      <c r="BH16" s="45">
        <f>SUMIFS(eeh,Vee,BC16,epontH,BB16)+SUMIFS(eev,Hee,BC16,vepontV,BB16)</f>
        <v>0</v>
      </c>
      <c r="BI16" s="45">
        <f t="shared" si="94"/>
        <v>0</v>
      </c>
      <c r="BJ16" s="46">
        <f t="shared" si="95"/>
        <v>0</v>
      </c>
      <c r="BK16" s="38"/>
      <c r="BL16" s="47">
        <f t="shared" si="96"/>
        <v>1</v>
      </c>
      <c r="BM16" s="47">
        <f t="shared" si="97"/>
        <v>1</v>
      </c>
      <c r="BN16" s="47">
        <f t="shared" si="98"/>
        <v>1</v>
      </c>
      <c r="BO16" s="47">
        <f t="shared" si="99"/>
        <v>25</v>
      </c>
      <c r="BP16" s="47">
        <f t="shared" si="100"/>
        <v>5</v>
      </c>
      <c r="BQ16" s="47">
        <f t="shared" si="101"/>
        <v>1</v>
      </c>
      <c r="BR16" s="47">
        <v>0.2</v>
      </c>
      <c r="BS16" s="29">
        <f t="shared" si="102"/>
        <v>8531.2000000000007</v>
      </c>
      <c r="BT16" s="47">
        <f>RANK(BS16,BS15:BS18,1)</f>
        <v>2</v>
      </c>
      <c r="BU16" s="62"/>
    </row>
    <row r="17" spans="1:73" ht="18.75" customHeight="1">
      <c r="A17" s="24">
        <v>15</v>
      </c>
      <c r="B17" s="25">
        <v>41807</v>
      </c>
      <c r="C17" s="26">
        <v>0.75</v>
      </c>
      <c r="D17" s="27" t="s">
        <v>81</v>
      </c>
      <c r="E17" s="107">
        <v>2</v>
      </c>
      <c r="F17" s="107">
        <v>1</v>
      </c>
      <c r="G17" s="27" t="s">
        <v>82</v>
      </c>
      <c r="H17" s="28" t="s">
        <v>7</v>
      </c>
      <c r="I17" s="62"/>
      <c r="J17" s="42">
        <f t="shared" si="0"/>
        <v>3</v>
      </c>
      <c r="K17" s="42" t="str">
        <f t="shared" si="1"/>
        <v>0</v>
      </c>
      <c r="L17" s="33"/>
      <c r="M17" s="47">
        <f t="shared" si="80"/>
        <v>3</v>
      </c>
      <c r="N17" s="47">
        <f t="shared" si="81"/>
        <v>2</v>
      </c>
      <c r="O17" s="47">
        <f t="shared" si="82"/>
        <v>2</v>
      </c>
      <c r="P17" s="47">
        <f t="shared" si="83"/>
        <v>9375</v>
      </c>
      <c r="Q17" s="47">
        <f t="shared" si="84"/>
        <v>1250</v>
      </c>
      <c r="R17" s="47">
        <f t="shared" si="85"/>
        <v>250</v>
      </c>
      <c r="S17" s="29">
        <f t="shared" si="86"/>
        <v>10875</v>
      </c>
      <c r="T17" s="47">
        <f t="shared" si="87"/>
        <v>3</v>
      </c>
      <c r="U17" s="47">
        <f t="shared" si="77"/>
        <v>3</v>
      </c>
      <c r="V17" s="30" t="s">
        <v>62</v>
      </c>
      <c r="W17" s="31">
        <f t="shared" si="88"/>
        <v>3</v>
      </c>
      <c r="X17" s="31">
        <f>COUNTIFS(hazai,V17,pontH,3)+COUNTIFS(vendeg,V17,pontV,3)</f>
        <v>1</v>
      </c>
      <c r="Y17" s="31">
        <f>COUNTIFS(hazai,V17,pontH,1)+COUNTIFS(vendeg,V17,pontV,1)</f>
        <v>0</v>
      </c>
      <c r="Z17" s="31">
        <f t="shared" si="89"/>
        <v>4</v>
      </c>
      <c r="AA17" s="31">
        <f t="shared" si="90"/>
        <v>5</v>
      </c>
      <c r="AB17" s="31">
        <f t="shared" si="91"/>
        <v>-1</v>
      </c>
      <c r="AC17" s="32">
        <f>SUMIF(hazai,$V17,$J$3:$J$50)+SUMIF(vendeg,V17,$K$3:$K$50)</f>
        <v>3</v>
      </c>
      <c r="AD17" s="33">
        <v>3</v>
      </c>
      <c r="AE17" s="51" t="str">
        <f>VLOOKUP(AD17,U15:AC18,2,0)</f>
        <v>Elefántcsontpart</v>
      </c>
      <c r="AF17" s="52">
        <f>VLOOKUP(AD17,U15:AC18,3,0)</f>
        <v>3</v>
      </c>
      <c r="AG17" s="52">
        <f>VLOOKUP(AD17,U15:AC18,4,0)</f>
        <v>1</v>
      </c>
      <c r="AH17" s="52">
        <f>VLOOKUP(AD17,U15:AC18,5,0)</f>
        <v>0</v>
      </c>
      <c r="AI17" s="52">
        <f>VLOOKUP(AD17,U15:AC18,6,0)</f>
        <v>4</v>
      </c>
      <c r="AJ17" s="52">
        <f>VLOOKUP(AD17,U15:AC18,7,0)</f>
        <v>5</v>
      </c>
      <c r="AK17" s="52">
        <f>VLOOKUP(AD17,U15:AC18,8,0)</f>
        <v>-1</v>
      </c>
      <c r="AL17" s="53">
        <f>VLOOKUP(AD17,U15:AC18,9,0)</f>
        <v>3</v>
      </c>
      <c r="AM17" s="37">
        <f t="shared" si="15"/>
        <v>15</v>
      </c>
      <c r="AN17" s="38" t="str">
        <f t="shared" si="16"/>
        <v>Belgium</v>
      </c>
      <c r="AO17" s="38" t="str">
        <f t="shared" si="17"/>
        <v>Algéria</v>
      </c>
      <c r="AP17" s="39">
        <f t="shared" ref="AP17:AQ17" si="105">IF(E17&lt;&gt;"",E17,"")</f>
        <v>2</v>
      </c>
      <c r="AQ17" s="40">
        <f t="shared" si="105"/>
        <v>1</v>
      </c>
      <c r="AR17" s="41" t="str">
        <f t="shared" si="19"/>
        <v/>
      </c>
      <c r="AS17" s="41" t="str">
        <f t="shared" si="20"/>
        <v/>
      </c>
      <c r="AT17" s="42" t="str">
        <f t="shared" si="21"/>
        <v/>
      </c>
      <c r="AU17" s="42" t="str">
        <f t="shared" si="22"/>
        <v/>
      </c>
      <c r="AV17" s="42" t="e">
        <f t="shared" ref="AV17:AW17" si="106">INDEX($AZ$3:$BB$48,MATCH(AN17,$AZ$3:$AZ$48,),3)</f>
        <v>#N/A</v>
      </c>
      <c r="AW17" s="42" t="e">
        <f t="shared" si="106"/>
        <v>#N/A</v>
      </c>
      <c r="AX17" s="42" t="str">
        <f t="shared" si="24"/>
        <v>H</v>
      </c>
      <c r="AY17" s="38"/>
      <c r="AZ17" s="43" t="b">
        <f>IF(COUNTIF(T15:T18,T17)&gt;1,V17)</f>
        <v>0</v>
      </c>
      <c r="BA17" s="38"/>
      <c r="BB17" s="33" t="b">
        <f>IF(COUNTIF(T15:T18,T17)&gt;1,T17)</f>
        <v>0</v>
      </c>
      <c r="BC17" s="44" t="s">
        <v>62</v>
      </c>
      <c r="BD17" s="45">
        <f>COUNTIFS(Hee,BC17,eeh,"&gt;-1",$AW$3:$AW$50,BB17)+COUNTIFS(Vee,BC17,eev,"&gt;-1",$AV$3:$AV$50,BB17)</f>
        <v>0</v>
      </c>
      <c r="BE17" s="45">
        <f>COUNTIFS(Hee,BC18,akiH,3,vepontV,BB18)+COUNTIFS(Vee,BC18,akiV,3,epontH,BB18)</f>
        <v>0</v>
      </c>
      <c r="BF17" s="45">
        <f>COUNTIFS(Hee,BC17,akiH,1,vepontV,BB17)+COUNTIFS(Vee,BC17,akiV,1,epontH,BB17)</f>
        <v>0</v>
      </c>
      <c r="BG17" s="45">
        <f>SUMIFS(eeh,Hee,BC17,vepontV,BB17)+SUMIFS(eev,Vee,BC17,epontH,BB17)</f>
        <v>0</v>
      </c>
      <c r="BH17" s="45">
        <f>SUMIFS(eeh,Vee,BC17,epontH,BB17)+SUMIFS(eev,Hee,BC17,vepontV,BB17)</f>
        <v>0</v>
      </c>
      <c r="BI17" s="45">
        <f t="shared" si="94"/>
        <v>0</v>
      </c>
      <c r="BJ17" s="46">
        <f t="shared" si="95"/>
        <v>0</v>
      </c>
      <c r="BK17" s="38"/>
      <c r="BL17" s="47">
        <f t="shared" si="96"/>
        <v>1</v>
      </c>
      <c r="BM17" s="47">
        <f t="shared" si="97"/>
        <v>1</v>
      </c>
      <c r="BN17" s="47">
        <f t="shared" si="98"/>
        <v>1</v>
      </c>
      <c r="BO17" s="47">
        <f t="shared" si="99"/>
        <v>25</v>
      </c>
      <c r="BP17" s="47">
        <f t="shared" si="100"/>
        <v>5</v>
      </c>
      <c r="BQ17" s="47">
        <f t="shared" si="101"/>
        <v>1</v>
      </c>
      <c r="BR17" s="47">
        <v>0.3</v>
      </c>
      <c r="BS17" s="29">
        <f t="shared" si="102"/>
        <v>10906.3</v>
      </c>
      <c r="BT17" s="47">
        <f>RANK(BS17,BS15:BS18,1)</f>
        <v>3</v>
      </c>
      <c r="BU17" s="62"/>
    </row>
    <row r="18" spans="1:73" ht="18.75" customHeight="1">
      <c r="A18" s="24">
        <v>16</v>
      </c>
      <c r="B18" s="25">
        <v>41807</v>
      </c>
      <c r="C18" s="26">
        <v>0.875</v>
      </c>
      <c r="D18" s="27" t="s">
        <v>42</v>
      </c>
      <c r="E18" s="107">
        <v>0</v>
      </c>
      <c r="F18" s="107">
        <v>0</v>
      </c>
      <c r="G18" s="27" t="s">
        <v>46</v>
      </c>
      <c r="H18" s="28" t="s">
        <v>44</v>
      </c>
      <c r="I18" s="62"/>
      <c r="J18" s="42">
        <f t="shared" si="0"/>
        <v>1</v>
      </c>
      <c r="K18" s="42">
        <f t="shared" si="1"/>
        <v>1</v>
      </c>
      <c r="L18" s="33"/>
      <c r="M18" s="47">
        <f t="shared" si="80"/>
        <v>4</v>
      </c>
      <c r="N18" s="47">
        <f t="shared" si="81"/>
        <v>4</v>
      </c>
      <c r="O18" s="47">
        <f t="shared" si="82"/>
        <v>3</v>
      </c>
      <c r="P18" s="47">
        <f t="shared" si="83"/>
        <v>12500</v>
      </c>
      <c r="Q18" s="47">
        <f t="shared" si="84"/>
        <v>2500</v>
      </c>
      <c r="R18" s="47">
        <f t="shared" si="85"/>
        <v>375</v>
      </c>
      <c r="S18" s="29">
        <f t="shared" si="86"/>
        <v>15375</v>
      </c>
      <c r="T18" s="47">
        <f t="shared" si="87"/>
        <v>4</v>
      </c>
      <c r="U18" s="47">
        <f t="shared" si="77"/>
        <v>4</v>
      </c>
      <c r="V18" s="54" t="s">
        <v>63</v>
      </c>
      <c r="W18" s="55">
        <f t="shared" si="88"/>
        <v>3</v>
      </c>
      <c r="X18" s="55">
        <f>COUNTIFS(hazai,V18,pontH,3)+COUNTIFS(vendeg,V18,pontV,3)</f>
        <v>0</v>
      </c>
      <c r="Y18" s="31">
        <f>COUNTIFS(hazai,V18,pontH,1)+COUNTIFS(vendeg,V18,pontV,1)</f>
        <v>1</v>
      </c>
      <c r="Z18" s="55">
        <f t="shared" si="89"/>
        <v>2</v>
      </c>
      <c r="AA18" s="55">
        <f t="shared" si="90"/>
        <v>6</v>
      </c>
      <c r="AB18" s="55">
        <f t="shared" si="91"/>
        <v>-4</v>
      </c>
      <c r="AC18" s="56">
        <f>SUMIF(hazai,$V18,$J$3:$J$50)+SUMIF(vendeg,V18,$K$3:$K$50)</f>
        <v>1</v>
      </c>
      <c r="AD18" s="33">
        <v>4</v>
      </c>
      <c r="AE18" s="57" t="str">
        <f>VLOOKUP(AD18,U15:AC18,2,0)</f>
        <v>Japán</v>
      </c>
      <c r="AF18" s="58">
        <f>VLOOKUP(AD18,U15:AC18,3,0)</f>
        <v>3</v>
      </c>
      <c r="AG18" s="58">
        <f>VLOOKUP(AD18,U15:AC18,4,0)</f>
        <v>0</v>
      </c>
      <c r="AH18" s="58">
        <f>VLOOKUP(AD18,U15:AC18,5,0)</f>
        <v>1</v>
      </c>
      <c r="AI18" s="58">
        <f>VLOOKUP(AD18,U15:AC18,6,0)</f>
        <v>2</v>
      </c>
      <c r="AJ18" s="58">
        <f>VLOOKUP(AD18,U15:AC18,7,0)</f>
        <v>6</v>
      </c>
      <c r="AK18" s="58">
        <f>VLOOKUP(AD18,U15:AC18,8,0)</f>
        <v>-4</v>
      </c>
      <c r="AL18" s="59">
        <f>VLOOKUP(AD18,U15:AC18,9,0)</f>
        <v>1</v>
      </c>
      <c r="AM18" s="37">
        <f t="shared" si="15"/>
        <v>16</v>
      </c>
      <c r="AN18" s="38" t="str">
        <f t="shared" si="16"/>
        <v>Brazília</v>
      </c>
      <c r="AO18" s="38" t="str">
        <f t="shared" si="17"/>
        <v>Mexico</v>
      </c>
      <c r="AP18" s="39">
        <f t="shared" ref="AP18:AQ18" si="107">IF(E18&lt;&gt;"",E18,"")</f>
        <v>0</v>
      </c>
      <c r="AQ18" s="40">
        <f t="shared" si="107"/>
        <v>0</v>
      </c>
      <c r="AR18" s="41" t="str">
        <f t="shared" si="19"/>
        <v/>
      </c>
      <c r="AS18" s="41" t="str">
        <f t="shared" si="20"/>
        <v/>
      </c>
      <c r="AT18" s="42" t="str">
        <f t="shared" si="21"/>
        <v/>
      </c>
      <c r="AU18" s="42" t="str">
        <f t="shared" si="22"/>
        <v/>
      </c>
      <c r="AV18" s="42" t="e">
        <f t="shared" ref="AV18:AW18" si="108">INDEX($AZ$3:$BB$48,MATCH(AN18,$AZ$3:$AZ$48,),3)</f>
        <v>#N/A</v>
      </c>
      <c r="AW18" s="42" t="e">
        <f t="shared" si="108"/>
        <v>#N/A</v>
      </c>
      <c r="AX18" s="42" t="str">
        <f t="shared" si="24"/>
        <v>A</v>
      </c>
      <c r="AY18" s="38"/>
      <c r="AZ18" s="43" t="b">
        <f>IF(COUNTIF(T15:T18,T18)&gt;1,V18)</f>
        <v>0</v>
      </c>
      <c r="BA18" s="38"/>
      <c r="BB18" s="33" t="b">
        <f>IF(COUNTIF(T15:T18,T18)&gt;1,T18)</f>
        <v>0</v>
      </c>
      <c r="BC18" s="60" t="s">
        <v>63</v>
      </c>
      <c r="BD18" s="45">
        <f>COUNTIFS(Hee,BC18,eeh,"&gt;-1",$AW$3:$AW$50,BB18)+COUNTIFS(Vee,BC18,eev,"&gt;-1",$AV$3:$AV$50,BB18)</f>
        <v>0</v>
      </c>
      <c r="BE18" s="45">
        <f>COUNTIFS(Hee,BC19,akiH,3,vepontV,BB19)+COUNTIFS(Vee,BC19,akiV,3,epontH,BB19)</f>
        <v>0</v>
      </c>
      <c r="BF18" s="45">
        <f>COUNTIFS(Hee,BC18,akiH,1,vepontV,BB18)+COUNTIFS(Vee,BC18,akiV,1,epontH,BB18)</f>
        <v>0</v>
      </c>
      <c r="BG18" s="45">
        <f>SUMIFS(eeh,Hee,BC18,vepontV,BB18)+SUMIFS(eev,Vee,BC18,epontH,BB18)</f>
        <v>0</v>
      </c>
      <c r="BH18" s="45">
        <f>SUMIFS(eeh,Vee,BC18,epontH,BB18)+SUMIFS(eev,Hee,BC18,vepontV,BB18)</f>
        <v>0</v>
      </c>
      <c r="BI18" s="45">
        <f t="shared" si="94"/>
        <v>0</v>
      </c>
      <c r="BJ18" s="46">
        <f t="shared" si="95"/>
        <v>0</v>
      </c>
      <c r="BK18" s="38"/>
      <c r="BL18" s="47">
        <f t="shared" si="96"/>
        <v>1</v>
      </c>
      <c r="BM18" s="47">
        <f t="shared" si="97"/>
        <v>1</v>
      </c>
      <c r="BN18" s="47">
        <f t="shared" si="98"/>
        <v>1</v>
      </c>
      <c r="BO18" s="47">
        <f t="shared" si="99"/>
        <v>25</v>
      </c>
      <c r="BP18" s="47">
        <f t="shared" si="100"/>
        <v>5</v>
      </c>
      <c r="BQ18" s="47">
        <f t="shared" si="101"/>
        <v>1</v>
      </c>
      <c r="BR18" s="47">
        <v>0.4</v>
      </c>
      <c r="BS18" s="29">
        <f t="shared" si="102"/>
        <v>15406.4</v>
      </c>
      <c r="BT18" s="47">
        <f>RANK(BS18,BS15:BS18,1)</f>
        <v>4</v>
      </c>
      <c r="BU18" s="62"/>
    </row>
    <row r="19" spans="1:73" ht="18.75" customHeight="1">
      <c r="A19" s="24">
        <v>17</v>
      </c>
      <c r="B19" s="25">
        <v>41808</v>
      </c>
      <c r="C19" s="26">
        <v>0</v>
      </c>
      <c r="D19" s="27" t="s">
        <v>83</v>
      </c>
      <c r="E19" s="107">
        <v>1</v>
      </c>
      <c r="F19" s="107">
        <v>1</v>
      </c>
      <c r="G19" s="27" t="s">
        <v>84</v>
      </c>
      <c r="H19" s="28" t="s">
        <v>7</v>
      </c>
      <c r="I19" s="62"/>
      <c r="J19" s="42">
        <f t="shared" si="0"/>
        <v>1</v>
      </c>
      <c r="K19" s="42">
        <f t="shared" si="1"/>
        <v>1</v>
      </c>
      <c r="L19" s="33"/>
      <c r="M19" s="7"/>
      <c r="N19" s="7"/>
      <c r="O19" s="7"/>
      <c r="P19" s="7"/>
      <c r="Q19" s="7"/>
      <c r="R19" s="7"/>
      <c r="S19" s="7"/>
      <c r="T19" s="47"/>
      <c r="U19" s="47"/>
      <c r="V19" s="38"/>
      <c r="W19" s="38"/>
      <c r="X19" s="38"/>
      <c r="Y19" s="38"/>
      <c r="Z19" s="38"/>
      <c r="AA19" s="38"/>
      <c r="AB19" s="38"/>
      <c r="AC19" s="38"/>
      <c r="AD19" s="33"/>
      <c r="AE19" s="62"/>
      <c r="AF19" s="62"/>
      <c r="AG19" s="62"/>
      <c r="AH19" s="62"/>
      <c r="AI19" s="62"/>
      <c r="AJ19" s="62"/>
      <c r="AK19" s="62"/>
      <c r="AL19" s="62"/>
      <c r="AM19" s="62">
        <f t="shared" si="15"/>
        <v>17</v>
      </c>
      <c r="AN19" s="62" t="str">
        <f t="shared" si="16"/>
        <v>Oroszország</v>
      </c>
      <c r="AO19" s="62" t="str">
        <f t="shared" si="17"/>
        <v>Dél-Korea</v>
      </c>
      <c r="AP19" s="62">
        <f t="shared" ref="AP19:AQ19" si="109">IF(E19&lt;&gt;"",E19,"")</f>
        <v>1</v>
      </c>
      <c r="AQ19" s="62">
        <f t="shared" si="109"/>
        <v>1</v>
      </c>
      <c r="AR19" s="62" t="str">
        <f t="shared" si="19"/>
        <v/>
      </c>
      <c r="AS19" s="62" t="str">
        <f t="shared" si="20"/>
        <v/>
      </c>
      <c r="AT19" s="62" t="str">
        <f t="shared" si="21"/>
        <v/>
      </c>
      <c r="AU19" s="62" t="str">
        <f t="shared" si="22"/>
        <v/>
      </c>
      <c r="AV19" s="62" t="e">
        <f t="shared" ref="AV19:AW19" si="110">INDEX($AZ$3:$BB$48,MATCH(AN19,$AZ$3:$AZ$48,),3)</f>
        <v>#N/A</v>
      </c>
      <c r="AW19" s="62" t="e">
        <f t="shared" si="110"/>
        <v>#N/A</v>
      </c>
      <c r="AX19" s="62" t="str">
        <f t="shared" si="24"/>
        <v>H</v>
      </c>
      <c r="AY19" s="62"/>
      <c r="AZ19" s="62"/>
      <c r="BA19" s="62"/>
      <c r="BB19" s="62"/>
      <c r="BC19" s="62"/>
      <c r="BD19" s="62"/>
      <c r="BE19" s="62"/>
      <c r="BF19" s="62"/>
      <c r="BG19" s="62"/>
      <c r="BH19" s="62"/>
      <c r="BI19" s="62"/>
      <c r="BJ19" s="62"/>
      <c r="BK19" s="62"/>
      <c r="BL19" s="62"/>
      <c r="BM19" s="62"/>
      <c r="BN19" s="62"/>
      <c r="BO19" s="62"/>
      <c r="BP19" s="62"/>
      <c r="BQ19" s="62"/>
      <c r="BR19" s="62"/>
      <c r="BS19" s="62"/>
      <c r="BT19" s="62"/>
      <c r="BU19" s="62"/>
    </row>
    <row r="20" spans="1:73" ht="18.75" customHeight="1">
      <c r="A20" s="24">
        <v>18</v>
      </c>
      <c r="B20" s="25">
        <v>41808</v>
      </c>
      <c r="C20" s="26">
        <v>0.75</v>
      </c>
      <c r="D20" s="27" t="s">
        <v>51</v>
      </c>
      <c r="E20" s="107">
        <v>2</v>
      </c>
      <c r="F20" s="107">
        <v>3</v>
      </c>
      <c r="G20" s="27" t="s">
        <v>48</v>
      </c>
      <c r="H20" s="28" t="s">
        <v>49</v>
      </c>
      <c r="I20" s="62"/>
      <c r="J20" s="42" t="str">
        <f t="shared" si="0"/>
        <v>0</v>
      </c>
      <c r="K20" s="42">
        <f t="shared" si="1"/>
        <v>3</v>
      </c>
      <c r="L20" s="33"/>
      <c r="M20" s="47" t="s">
        <v>9</v>
      </c>
      <c r="N20" s="47" t="s">
        <v>10</v>
      </c>
      <c r="O20" s="47" t="s">
        <v>11</v>
      </c>
      <c r="P20" s="47" t="s">
        <v>12</v>
      </c>
      <c r="Q20" s="47" t="s">
        <v>13</v>
      </c>
      <c r="R20" s="47" t="s">
        <v>14</v>
      </c>
      <c r="S20" s="14" t="s">
        <v>15</v>
      </c>
      <c r="T20" s="47" t="s">
        <v>16</v>
      </c>
      <c r="U20" s="47" t="str">
        <f t="shared" ref="U20:U24" si="111">BT20</f>
        <v>rank2</v>
      </c>
      <c r="V20" s="63" t="s">
        <v>85</v>
      </c>
      <c r="W20" s="16" t="s">
        <v>19</v>
      </c>
      <c r="X20" s="16" t="s">
        <v>20</v>
      </c>
      <c r="Y20" s="16" t="s">
        <v>21</v>
      </c>
      <c r="Z20" s="16" t="s">
        <v>22</v>
      </c>
      <c r="AA20" s="16" t="s">
        <v>23</v>
      </c>
      <c r="AB20" s="16" t="s">
        <v>24</v>
      </c>
      <c r="AC20" s="17" t="s">
        <v>25</v>
      </c>
      <c r="AD20" s="33"/>
      <c r="AE20" s="18" t="s">
        <v>86</v>
      </c>
      <c r="AF20" s="19" t="s">
        <v>27</v>
      </c>
      <c r="AG20" s="19" t="s">
        <v>28</v>
      </c>
      <c r="AH20" s="19" t="s">
        <v>29</v>
      </c>
      <c r="AI20" s="19" t="s">
        <v>22</v>
      </c>
      <c r="AJ20" s="19" t="s">
        <v>23</v>
      </c>
      <c r="AK20" s="19" t="s">
        <v>30</v>
      </c>
      <c r="AL20" s="20" t="s">
        <v>25</v>
      </c>
      <c r="AM20" s="37">
        <f t="shared" si="15"/>
        <v>18</v>
      </c>
      <c r="AN20" s="38" t="str">
        <f t="shared" si="16"/>
        <v>Ausztrália</v>
      </c>
      <c r="AO20" s="38" t="str">
        <f t="shared" si="17"/>
        <v>Hollandia</v>
      </c>
      <c r="AP20" s="39">
        <f t="shared" ref="AP20:AQ20" si="112">IF(E20&lt;&gt;"",E20,"")</f>
        <v>2</v>
      </c>
      <c r="AQ20" s="40">
        <f t="shared" si="112"/>
        <v>3</v>
      </c>
      <c r="AR20" s="41" t="str">
        <f t="shared" si="19"/>
        <v/>
      </c>
      <c r="AS20" s="41" t="str">
        <f t="shared" si="20"/>
        <v/>
      </c>
      <c r="AT20" s="42" t="str">
        <f t="shared" si="21"/>
        <v/>
      </c>
      <c r="AU20" s="42" t="str">
        <f t="shared" si="22"/>
        <v/>
      </c>
      <c r="AV20" s="42" t="e">
        <f t="shared" ref="AV20:AW20" si="113">INDEX($AZ$3:$BB$48,MATCH(AN20,$AZ$3:$AZ$48,),3)</f>
        <v>#N/A</v>
      </c>
      <c r="AW20" s="42" t="e">
        <f t="shared" si="113"/>
        <v>#N/A</v>
      </c>
      <c r="AX20" s="42" t="str">
        <f t="shared" si="24"/>
        <v>B</v>
      </c>
      <c r="AY20" s="38"/>
      <c r="AZ20" s="38"/>
      <c r="BA20" s="38"/>
      <c r="BB20" s="33"/>
      <c r="BC20" s="21" t="s">
        <v>85</v>
      </c>
      <c r="BD20" s="22" t="s">
        <v>19</v>
      </c>
      <c r="BE20" s="22"/>
      <c r="BF20" s="22"/>
      <c r="BG20" s="22" t="s">
        <v>22</v>
      </c>
      <c r="BH20" s="22" t="s">
        <v>23</v>
      </c>
      <c r="BI20" s="22" t="s">
        <v>24</v>
      </c>
      <c r="BJ20" s="23" t="s">
        <v>25</v>
      </c>
      <c r="BK20" s="38"/>
      <c r="BL20" s="47" t="s">
        <v>34</v>
      </c>
      <c r="BM20" s="47" t="s">
        <v>35</v>
      </c>
      <c r="BN20" s="47" t="s">
        <v>36</v>
      </c>
      <c r="BO20" s="47" t="s">
        <v>37</v>
      </c>
      <c r="BP20" s="47" t="s">
        <v>38</v>
      </c>
      <c r="BQ20" s="47" t="s">
        <v>39</v>
      </c>
      <c r="BR20" s="47" t="s">
        <v>40</v>
      </c>
      <c r="BS20" s="14" t="s">
        <v>41</v>
      </c>
      <c r="BT20" s="47" t="s">
        <v>17</v>
      </c>
      <c r="BU20" s="62"/>
    </row>
    <row r="21" spans="1:73" ht="18.75" customHeight="1">
      <c r="A21" s="24">
        <v>20</v>
      </c>
      <c r="B21" s="25">
        <v>41808</v>
      </c>
      <c r="C21" s="26">
        <v>0.875</v>
      </c>
      <c r="D21" s="27" t="s">
        <v>47</v>
      </c>
      <c r="E21" s="107">
        <v>0</v>
      </c>
      <c r="F21" s="107">
        <v>2</v>
      </c>
      <c r="G21" s="27" t="s">
        <v>50</v>
      </c>
      <c r="H21" s="28" t="s">
        <v>49</v>
      </c>
      <c r="I21" s="62"/>
      <c r="J21" s="42" t="str">
        <f t="shared" si="0"/>
        <v>0</v>
      </c>
      <c r="K21" s="42">
        <f t="shared" si="1"/>
        <v>3</v>
      </c>
      <c r="L21" s="33"/>
      <c r="M21" s="47">
        <f t="shared" ref="M21:M24" si="114">RANK(AC21,AC$21:AC$24)</f>
        <v>2</v>
      </c>
      <c r="N21" s="47">
        <f t="shared" ref="N21:N24" si="115">RANK(AB21,AB$21:AB$24)</f>
        <v>2</v>
      </c>
      <c r="O21" s="47">
        <f t="shared" ref="O21:O24" si="116">RANK(Z21,Z$21:Z$24)</f>
        <v>1</v>
      </c>
      <c r="P21" s="47">
        <f t="shared" ref="P21:P24" si="117">3125*M21</f>
        <v>6250</v>
      </c>
      <c r="Q21" s="47">
        <f t="shared" ref="Q21:Q24" si="118">625*N21</f>
        <v>1250</v>
      </c>
      <c r="R21" s="47">
        <f t="shared" ref="R21:R24" si="119">125*O21</f>
        <v>125</v>
      </c>
      <c r="S21" s="29">
        <f t="shared" ref="S21:S24" si="120">SUM(P21:R21)</f>
        <v>7625</v>
      </c>
      <c r="T21" s="47">
        <f t="shared" ref="T21:T24" si="121">RANK(S21,$S$21:$S$24,1)</f>
        <v>2</v>
      </c>
      <c r="U21" s="47">
        <f t="shared" si="111"/>
        <v>2</v>
      </c>
      <c r="V21" s="64" t="s">
        <v>55</v>
      </c>
      <c r="W21" s="31">
        <f t="shared" ref="W21:W24" si="122">COUNTIFS($D$3:$D$50,$V21,$E$3:$E$50,"&gt;-1")+COUNTIFS($G$3:$G$50,$V21,$F$3:$F$50,"&gt;-1")</f>
        <v>3</v>
      </c>
      <c r="X21" s="31">
        <f>COUNTIFS(hazai,V21,pontH,3)+COUNTIFS(vendeg,V21,pontV,3)</f>
        <v>2</v>
      </c>
      <c r="Y21" s="31">
        <f>COUNTIFS(hazai,V21,pontH,1)+COUNTIFS(vendeg,V21,pontV,1)</f>
        <v>0</v>
      </c>
      <c r="Z21" s="31">
        <f t="shared" ref="Z21:Z24" si="123">SUMIFS($E$3:$E$50,$D$3:$D$50,$V21)+SUMIFS($F$3:$F$50,$G$3:$G$50,$V21)</f>
        <v>4</v>
      </c>
      <c r="AA21" s="31">
        <f t="shared" ref="AA21:AA24" si="124">SUMIFS($F$3:$F$50,$D$3:$D$50,$V21)+SUMIFS($E$3:$E$50,$G$3:$G$50,$V21)</f>
        <v>4</v>
      </c>
      <c r="AB21" s="31">
        <f t="shared" ref="AB21:AB24" si="125">Z21-AA21</f>
        <v>0</v>
      </c>
      <c r="AC21" s="32">
        <f>SUMIF(hazai,$V21,$J$3:$J$50)+SUMIF(vendeg,V21,$K$3:$K$50)</f>
        <v>6</v>
      </c>
      <c r="AD21" s="33">
        <v>1</v>
      </c>
      <c r="AE21" s="34" t="str">
        <f>VLOOKUP(AD21,U21:AC24,2,0)</f>
        <v>Costa Rica</v>
      </c>
      <c r="AF21" s="35">
        <f>VLOOKUP(AD21,U21:AC24,3,0)</f>
        <v>3</v>
      </c>
      <c r="AG21" s="35">
        <f>VLOOKUP(AD21,U21:AC24,4,0)</f>
        <v>2</v>
      </c>
      <c r="AH21" s="35">
        <f>VLOOKUP(AD21,U21:AC24,5,0)</f>
        <v>1</v>
      </c>
      <c r="AI21" s="35">
        <f>VLOOKUP(AD21,U21:AC24,6,0)</f>
        <v>4</v>
      </c>
      <c r="AJ21" s="35">
        <f>VLOOKUP(AD21,U21:AC24,7,0)</f>
        <v>1</v>
      </c>
      <c r="AK21" s="35">
        <f>VLOOKUP(AD21,U21:AC24,8,0)</f>
        <v>3</v>
      </c>
      <c r="AL21" s="36">
        <f>VLOOKUP(AD21,U21:AC24,9,0)</f>
        <v>7</v>
      </c>
      <c r="AM21" s="37">
        <f t="shared" si="15"/>
        <v>20</v>
      </c>
      <c r="AN21" s="38" t="str">
        <f t="shared" si="16"/>
        <v>Spanyolország</v>
      </c>
      <c r="AO21" s="38" t="str">
        <f t="shared" si="17"/>
        <v>Chile</v>
      </c>
      <c r="AP21" s="39">
        <f t="shared" ref="AP21:AQ21" si="126">IF(E21&lt;&gt;"",E21,"")</f>
        <v>0</v>
      </c>
      <c r="AQ21" s="40">
        <f t="shared" si="126"/>
        <v>2</v>
      </c>
      <c r="AR21" s="41" t="str">
        <f t="shared" si="19"/>
        <v/>
      </c>
      <c r="AS21" s="41" t="str">
        <f t="shared" si="20"/>
        <v/>
      </c>
      <c r="AT21" s="42" t="str">
        <f t="shared" si="21"/>
        <v/>
      </c>
      <c r="AU21" s="42" t="str">
        <f t="shared" si="22"/>
        <v/>
      </c>
      <c r="AV21" s="42" t="e">
        <f t="shared" ref="AV21:AW21" si="127">INDEX($AZ$3:$BB$48,MATCH(AN21,$AZ$3:$AZ$48,),3)</f>
        <v>#N/A</v>
      </c>
      <c r="AW21" s="42" t="e">
        <f t="shared" si="127"/>
        <v>#N/A</v>
      </c>
      <c r="AX21" s="42" t="str">
        <f t="shared" si="24"/>
        <v>B</v>
      </c>
      <c r="AY21" s="38"/>
      <c r="AZ21" s="43" t="b">
        <f>IF(COUNTIF(T21:T24,T21)&gt;1,V21)</f>
        <v>0</v>
      </c>
      <c r="BA21" s="38"/>
      <c r="BB21" s="33" t="b">
        <f>IF(COUNTIF(T21:T24,T21)&gt;1,T21)</f>
        <v>0</v>
      </c>
      <c r="BC21" s="44" t="s">
        <v>55</v>
      </c>
      <c r="BD21" s="45">
        <f>COUNTIFS(Hee,BC21,eeh,"&gt;-1",$AW$3:$AW$50,BB21)+COUNTIFS(Vee,BC21,eev,"&gt;-1",$AV$3:$AV$50,BB21)</f>
        <v>0</v>
      </c>
      <c r="BE21" s="45">
        <f>COUNTIFS(Hee,BC22,akiH,3,vepontV,BB22)+COUNTIFS(Vee,BC22,akiV,3,epontH,BB22)</f>
        <v>0</v>
      </c>
      <c r="BF21" s="45">
        <f>COUNTIFS(Hee,BC21,akiH,1,vepontV,BB21)+COUNTIFS(Vee,BC21,akiV,1,epontH,BB21)</f>
        <v>0</v>
      </c>
      <c r="BG21" s="45">
        <f>SUMIFS(eeh,Hee,BC21,vepontV,BB21)+SUMIFS(eev,Vee,BC21,epontH,BB21)</f>
        <v>0</v>
      </c>
      <c r="BH21" s="45">
        <f>SUMIFS(eeh,Vee,BC21,epontH,BB21)+SUMIFS(eev,Hee,BC21,vepontV,BB21)</f>
        <v>0</v>
      </c>
      <c r="BI21" s="45">
        <f t="shared" ref="BI21:BI24" si="128">IF(BD21&gt;0,BG21-BH21,0)</f>
        <v>0</v>
      </c>
      <c r="BJ21" s="46">
        <f t="shared" ref="BJ21:BJ24" si="129">BE21*3+BF21</f>
        <v>0</v>
      </c>
      <c r="BK21" s="38"/>
      <c r="BL21" s="47">
        <f t="shared" ref="BL21:BL24" si="130">RANK(BJ21,BJ$39:BJ$42)</f>
        <v>1</v>
      </c>
      <c r="BM21" s="47">
        <f t="shared" ref="BM21:BM24" si="131">RANK(BI21,BI$39:BI$42)</f>
        <v>1</v>
      </c>
      <c r="BN21" s="47">
        <f t="shared" ref="BN21:BN24" si="132">RANK(BG21,BG$39:BG$42)</f>
        <v>1</v>
      </c>
      <c r="BO21" s="47">
        <f t="shared" ref="BO21:BO24" si="133">BL21*25</f>
        <v>25</v>
      </c>
      <c r="BP21" s="47">
        <f t="shared" ref="BP21:BP24" si="134">BM21*5</f>
        <v>5</v>
      </c>
      <c r="BQ21" s="47">
        <f t="shared" ref="BQ21:BQ24" si="135">BN21</f>
        <v>1</v>
      </c>
      <c r="BR21" s="47">
        <v>0.1</v>
      </c>
      <c r="BS21" s="29">
        <f t="shared" ref="BS21:BS24" si="136">SUM(BO21:BR21)+S21</f>
        <v>7656.1</v>
      </c>
      <c r="BT21" s="47">
        <f>RANK(BS21,BS21:BS24,1)</f>
        <v>2</v>
      </c>
      <c r="BU21" s="62"/>
    </row>
    <row r="22" spans="1:73" ht="18.75" customHeight="1">
      <c r="A22" s="24">
        <v>19</v>
      </c>
      <c r="B22" s="25">
        <v>41809</v>
      </c>
      <c r="C22" s="26">
        <v>0</v>
      </c>
      <c r="D22" s="27" t="s">
        <v>45</v>
      </c>
      <c r="E22" s="107">
        <v>0</v>
      </c>
      <c r="F22" s="107">
        <v>4</v>
      </c>
      <c r="G22" s="27" t="s">
        <v>43</v>
      </c>
      <c r="H22" s="28" t="s">
        <v>44</v>
      </c>
      <c r="I22" s="62"/>
      <c r="J22" s="42" t="str">
        <f t="shared" si="0"/>
        <v>0</v>
      </c>
      <c r="K22" s="42">
        <f t="shared" si="1"/>
        <v>3</v>
      </c>
      <c r="L22" s="33"/>
      <c r="M22" s="47">
        <f t="shared" si="114"/>
        <v>1</v>
      </c>
      <c r="N22" s="47">
        <f t="shared" si="115"/>
        <v>1</v>
      </c>
      <c r="O22" s="47">
        <f t="shared" si="116"/>
        <v>1</v>
      </c>
      <c r="P22" s="47">
        <f t="shared" si="117"/>
        <v>3125</v>
      </c>
      <c r="Q22" s="47">
        <f t="shared" si="118"/>
        <v>625</v>
      </c>
      <c r="R22" s="47">
        <f t="shared" si="119"/>
        <v>125</v>
      </c>
      <c r="S22" s="29">
        <f t="shared" si="120"/>
        <v>3875</v>
      </c>
      <c r="T22" s="47">
        <f t="shared" si="121"/>
        <v>1</v>
      </c>
      <c r="U22" s="47">
        <f t="shared" si="111"/>
        <v>1</v>
      </c>
      <c r="V22" s="64" t="s">
        <v>56</v>
      </c>
      <c r="W22" s="31">
        <f t="shared" si="122"/>
        <v>3</v>
      </c>
      <c r="X22" s="31">
        <f>COUNTIFS(hazai,V22,pontH,3)+COUNTIFS(vendeg,V22,pontV,3)</f>
        <v>2</v>
      </c>
      <c r="Y22" s="31">
        <f>COUNTIFS(hazai,V22,pontH,1)+COUNTIFS(vendeg,V22,pontV,1)</f>
        <v>1</v>
      </c>
      <c r="Z22" s="31">
        <f t="shared" si="123"/>
        <v>4</v>
      </c>
      <c r="AA22" s="31">
        <f t="shared" si="124"/>
        <v>1</v>
      </c>
      <c r="AB22" s="31">
        <f t="shared" si="125"/>
        <v>3</v>
      </c>
      <c r="AC22" s="32">
        <f>SUMIF(hazai,$V22,$J$3:$J$50)+SUMIF(vendeg,V22,$K$3:$K$50)</f>
        <v>7</v>
      </c>
      <c r="AD22" s="33">
        <v>2</v>
      </c>
      <c r="AE22" s="48" t="str">
        <f>VLOOKUP(AD22,U21:AC24,2,0)</f>
        <v>Uruguay</v>
      </c>
      <c r="AF22" s="49">
        <f>VLOOKUP(AD22,U21:AC24,3,0)</f>
        <v>3</v>
      </c>
      <c r="AG22" s="49">
        <f>VLOOKUP(AD22,U21:AC24,4,0)</f>
        <v>2</v>
      </c>
      <c r="AH22" s="49">
        <f>VLOOKUP(AD22,U21:AC24,5,0)</f>
        <v>0</v>
      </c>
      <c r="AI22" s="49">
        <f>VLOOKUP(AD22,U21:AC24,6,0)</f>
        <v>4</v>
      </c>
      <c r="AJ22" s="49">
        <f>VLOOKUP(AD22,U21:AC24,7,0)</f>
        <v>4</v>
      </c>
      <c r="AK22" s="49">
        <f>VLOOKUP(AD22,U21:AC24,8,0)</f>
        <v>0</v>
      </c>
      <c r="AL22" s="50">
        <f>VLOOKUP(AD22,U21:AC24,9,0)</f>
        <v>6</v>
      </c>
      <c r="AM22" s="37">
        <f t="shared" si="15"/>
        <v>19</v>
      </c>
      <c r="AN22" s="38" t="str">
        <f t="shared" si="16"/>
        <v>Kamerun</v>
      </c>
      <c r="AO22" s="38" t="str">
        <f t="shared" si="17"/>
        <v>Horvátország</v>
      </c>
      <c r="AP22" s="39">
        <f t="shared" ref="AP22:AQ22" si="137">IF(E22&lt;&gt;"",E22,"")</f>
        <v>0</v>
      </c>
      <c r="AQ22" s="40">
        <f t="shared" si="137"/>
        <v>4</v>
      </c>
      <c r="AR22" s="41" t="str">
        <f t="shared" si="19"/>
        <v/>
      </c>
      <c r="AS22" s="41" t="str">
        <f t="shared" si="20"/>
        <v/>
      </c>
      <c r="AT22" s="42" t="str">
        <f t="shared" si="21"/>
        <v/>
      </c>
      <c r="AU22" s="42" t="str">
        <f t="shared" si="22"/>
        <v/>
      </c>
      <c r="AV22" s="42" t="e">
        <f t="shared" ref="AV22:AW22" si="138">INDEX($AZ$3:$BB$48,MATCH(AN22,$AZ$3:$AZ$48,),3)</f>
        <v>#N/A</v>
      </c>
      <c r="AW22" s="42" t="e">
        <f t="shared" si="138"/>
        <v>#N/A</v>
      </c>
      <c r="AX22" s="42" t="str">
        <f t="shared" si="24"/>
        <v>A</v>
      </c>
      <c r="AY22" s="38"/>
      <c r="AZ22" s="43" t="b">
        <f>IF(COUNTIF(T21:T24,T22)&gt;1,V22)</f>
        <v>0</v>
      </c>
      <c r="BA22" s="38"/>
      <c r="BB22" s="33" t="b">
        <f>IF(COUNTIF(T21:T24,T22)&gt;1,T22)</f>
        <v>0</v>
      </c>
      <c r="BC22" s="44" t="s">
        <v>56</v>
      </c>
      <c r="BD22" s="45">
        <f>COUNTIFS(Hee,BC22,eeh,"&gt;-1",$AW$3:$AW$50,BB22)+COUNTIFS(Vee,BC22,eev,"&gt;-1",$AV$3:$AV$50,BB22)</f>
        <v>0</v>
      </c>
      <c r="BE22" s="45">
        <f>COUNTIFS(Hee,BC23,akiH,3,vepontV,BB23)+COUNTIFS(Vee,BC23,akiV,3,epontH,BB23)</f>
        <v>0</v>
      </c>
      <c r="BF22" s="45">
        <f>COUNTIFS(Hee,BC22,akiH,1,vepontV,BB22)+COUNTIFS(Vee,BC22,akiV,1,epontH,BB22)</f>
        <v>0</v>
      </c>
      <c r="BG22" s="45">
        <f>SUMIFS(eeh,Hee,BC22,vepontV,BB22)+SUMIFS(eev,Vee,BC22,epontH,BB22)</f>
        <v>0</v>
      </c>
      <c r="BH22" s="45">
        <f>SUMIFS(eeh,Vee,BC22,epontH,BB22)+SUMIFS(eev,Hee,BC22,vepontV,BB22)</f>
        <v>0</v>
      </c>
      <c r="BI22" s="45">
        <f t="shared" si="128"/>
        <v>0</v>
      </c>
      <c r="BJ22" s="46">
        <f t="shared" si="129"/>
        <v>0</v>
      </c>
      <c r="BK22" s="38"/>
      <c r="BL22" s="47">
        <f t="shared" si="130"/>
        <v>1</v>
      </c>
      <c r="BM22" s="47">
        <f t="shared" si="131"/>
        <v>1</v>
      </c>
      <c r="BN22" s="47">
        <f t="shared" si="132"/>
        <v>1</v>
      </c>
      <c r="BO22" s="47">
        <f t="shared" si="133"/>
        <v>25</v>
      </c>
      <c r="BP22" s="47">
        <f t="shared" si="134"/>
        <v>5</v>
      </c>
      <c r="BQ22" s="47">
        <f t="shared" si="135"/>
        <v>1</v>
      </c>
      <c r="BR22" s="47">
        <v>0.2</v>
      </c>
      <c r="BS22" s="29">
        <f t="shared" si="136"/>
        <v>3906.2</v>
      </c>
      <c r="BT22" s="47">
        <f>RANK(BS22,BS21:BS24,1)</f>
        <v>1</v>
      </c>
      <c r="BU22" s="62"/>
    </row>
    <row r="23" spans="1:73" ht="18.75" customHeight="1">
      <c r="A23" s="24">
        <v>21</v>
      </c>
      <c r="B23" s="25">
        <v>41809</v>
      </c>
      <c r="C23" s="26">
        <v>0.75</v>
      </c>
      <c r="D23" s="27" t="s">
        <v>52</v>
      </c>
      <c r="E23" s="107">
        <v>2</v>
      </c>
      <c r="F23" s="107">
        <v>1</v>
      </c>
      <c r="G23" s="27" t="s">
        <v>62</v>
      </c>
      <c r="H23" s="28" t="s">
        <v>54</v>
      </c>
      <c r="I23" s="62"/>
      <c r="J23" s="42">
        <f t="shared" si="0"/>
        <v>3</v>
      </c>
      <c r="K23" s="42" t="str">
        <f t="shared" si="1"/>
        <v>0</v>
      </c>
      <c r="L23" s="33"/>
      <c r="M23" s="47">
        <f t="shared" si="114"/>
        <v>4</v>
      </c>
      <c r="N23" s="47">
        <f t="shared" si="115"/>
        <v>4</v>
      </c>
      <c r="O23" s="47">
        <f t="shared" si="116"/>
        <v>3</v>
      </c>
      <c r="P23" s="47">
        <f t="shared" si="117"/>
        <v>12500</v>
      </c>
      <c r="Q23" s="47">
        <f t="shared" si="118"/>
        <v>2500</v>
      </c>
      <c r="R23" s="47">
        <f t="shared" si="119"/>
        <v>375</v>
      </c>
      <c r="S23" s="29">
        <f t="shared" si="120"/>
        <v>15375</v>
      </c>
      <c r="T23" s="47">
        <f t="shared" si="121"/>
        <v>4</v>
      </c>
      <c r="U23" s="47">
        <f t="shared" si="111"/>
        <v>4</v>
      </c>
      <c r="V23" s="64" t="s">
        <v>60</v>
      </c>
      <c r="W23" s="31">
        <f t="shared" si="122"/>
        <v>3</v>
      </c>
      <c r="X23" s="31">
        <f>COUNTIFS(hazai,V23,pontH,3)+COUNTIFS(vendeg,V23,pontV,3)</f>
        <v>0</v>
      </c>
      <c r="Y23" s="31">
        <f>COUNTIFS(hazai,V23,pontH,1)+COUNTIFS(vendeg,V23,pontV,1)</f>
        <v>1</v>
      </c>
      <c r="Z23" s="31">
        <f t="shared" si="123"/>
        <v>2</v>
      </c>
      <c r="AA23" s="31">
        <f t="shared" si="124"/>
        <v>4</v>
      </c>
      <c r="AB23" s="31">
        <f t="shared" si="125"/>
        <v>-2</v>
      </c>
      <c r="AC23" s="32">
        <f>SUMIF(hazai,$V23,$J$3:$J$50)+SUMIF(vendeg,V23,$K$3:$K$50)</f>
        <v>1</v>
      </c>
      <c r="AD23" s="33">
        <v>3</v>
      </c>
      <c r="AE23" s="51" t="str">
        <f>VLOOKUP(AD23,U21:AC24,2,0)</f>
        <v>Olaszország</v>
      </c>
      <c r="AF23" s="52">
        <f>VLOOKUP(AD23,U21:AC24,3,0)</f>
        <v>3</v>
      </c>
      <c r="AG23" s="52">
        <f>VLOOKUP(AD23,U21:AC24,4,0)</f>
        <v>1</v>
      </c>
      <c r="AH23" s="52">
        <f>VLOOKUP(AD23,U21:AC24,5,0)</f>
        <v>0</v>
      </c>
      <c r="AI23" s="52">
        <f>VLOOKUP(AD23,U21:AC24,6,0)</f>
        <v>2</v>
      </c>
      <c r="AJ23" s="52">
        <f>VLOOKUP(AD23,U21:AC24,7,0)</f>
        <v>3</v>
      </c>
      <c r="AK23" s="52">
        <f>VLOOKUP(AD23,U21:AC24,8,0)</f>
        <v>-1</v>
      </c>
      <c r="AL23" s="53">
        <f>VLOOKUP(AD23,U21:AC24,9,0)</f>
        <v>3</v>
      </c>
      <c r="AM23" s="37">
        <f t="shared" si="15"/>
        <v>21</v>
      </c>
      <c r="AN23" s="38" t="str">
        <f t="shared" si="16"/>
        <v>Kolumbia</v>
      </c>
      <c r="AO23" s="38" t="str">
        <f t="shared" si="17"/>
        <v>Elefántcsontpart</v>
      </c>
      <c r="AP23" s="39">
        <f t="shared" ref="AP23:AQ23" si="139">IF(E23&lt;&gt;"",E23,"")</f>
        <v>2</v>
      </c>
      <c r="AQ23" s="40">
        <f t="shared" si="139"/>
        <v>1</v>
      </c>
      <c r="AR23" s="41" t="str">
        <f t="shared" si="19"/>
        <v/>
      </c>
      <c r="AS23" s="41" t="str">
        <f t="shared" si="20"/>
        <v/>
      </c>
      <c r="AT23" s="42" t="str">
        <f t="shared" si="21"/>
        <v/>
      </c>
      <c r="AU23" s="42" t="str">
        <f t="shared" si="22"/>
        <v/>
      </c>
      <c r="AV23" s="42" t="e">
        <f t="shared" ref="AV23:AW23" si="140">INDEX($AZ$3:$BB$48,MATCH(AN23,$AZ$3:$AZ$48,),3)</f>
        <v>#N/A</v>
      </c>
      <c r="AW23" s="42" t="e">
        <f t="shared" si="140"/>
        <v>#N/A</v>
      </c>
      <c r="AX23" s="42" t="str">
        <f t="shared" si="24"/>
        <v>C</v>
      </c>
      <c r="AY23" s="38"/>
      <c r="AZ23" s="43" t="b">
        <f>IF(COUNTIF(T21:T24,T23)&gt;1,V23)</f>
        <v>0</v>
      </c>
      <c r="BA23" s="38"/>
      <c r="BB23" s="33" t="b">
        <f>IF(COUNTIF(T21:T24,T23)&gt;1,T23)</f>
        <v>0</v>
      </c>
      <c r="BC23" s="44" t="s">
        <v>60</v>
      </c>
      <c r="BD23" s="45">
        <f>COUNTIFS(Hee,BC23,eeh,"&gt;-1",$AW$3:$AW$50,BB23)+COUNTIFS(Vee,BC23,eev,"&gt;-1",$AV$3:$AV$50,BB23)</f>
        <v>0</v>
      </c>
      <c r="BE23" s="45">
        <f>COUNTIFS(Hee,BC24,akiH,3,vepontV,BB24)+COUNTIFS(Vee,BC24,akiV,3,epontH,BB24)</f>
        <v>0</v>
      </c>
      <c r="BF23" s="45">
        <f>COUNTIFS(Hee,BC23,akiH,1,vepontV,BB23)+COUNTIFS(Vee,BC23,akiV,1,epontH,BB23)</f>
        <v>0</v>
      </c>
      <c r="BG23" s="45">
        <f>SUMIFS(eeh,Hee,BC23,vepontV,BB23)+SUMIFS(eev,Vee,BC23,epontH,BB23)</f>
        <v>0</v>
      </c>
      <c r="BH23" s="45">
        <f>SUMIFS(eeh,Vee,BC23,epontH,BB23)+SUMIFS(eev,Hee,BC23,vepontV,BB23)</f>
        <v>0</v>
      </c>
      <c r="BI23" s="45">
        <f t="shared" si="128"/>
        <v>0</v>
      </c>
      <c r="BJ23" s="46">
        <f t="shared" si="129"/>
        <v>0</v>
      </c>
      <c r="BK23" s="38"/>
      <c r="BL23" s="47">
        <f t="shared" si="130"/>
        <v>1</v>
      </c>
      <c r="BM23" s="47">
        <f t="shared" si="131"/>
        <v>1</v>
      </c>
      <c r="BN23" s="47">
        <f t="shared" si="132"/>
        <v>1</v>
      </c>
      <c r="BO23" s="47">
        <f t="shared" si="133"/>
        <v>25</v>
      </c>
      <c r="BP23" s="47">
        <f t="shared" si="134"/>
        <v>5</v>
      </c>
      <c r="BQ23" s="47">
        <f t="shared" si="135"/>
        <v>1</v>
      </c>
      <c r="BR23" s="47">
        <v>0.3</v>
      </c>
      <c r="BS23" s="29">
        <f t="shared" si="136"/>
        <v>15406.3</v>
      </c>
      <c r="BT23" s="47">
        <f>RANK(BS23,BS21:BS24,1)</f>
        <v>4</v>
      </c>
      <c r="BU23" s="62"/>
    </row>
    <row r="24" spans="1:73" ht="18.75" customHeight="1">
      <c r="A24" s="24">
        <v>22</v>
      </c>
      <c r="B24" s="25">
        <v>41809</v>
      </c>
      <c r="C24" s="26">
        <v>0.875</v>
      </c>
      <c r="D24" s="27" t="s">
        <v>55</v>
      </c>
      <c r="E24" s="107">
        <v>2</v>
      </c>
      <c r="F24" s="107">
        <v>1</v>
      </c>
      <c r="G24" s="27" t="s">
        <v>60</v>
      </c>
      <c r="H24" s="28" t="s">
        <v>57</v>
      </c>
      <c r="I24" s="62"/>
      <c r="J24" s="42">
        <f t="shared" si="0"/>
        <v>3</v>
      </c>
      <c r="K24" s="42" t="str">
        <f t="shared" si="1"/>
        <v>0</v>
      </c>
      <c r="L24" s="33"/>
      <c r="M24" s="47">
        <f t="shared" si="114"/>
        <v>3</v>
      </c>
      <c r="N24" s="47">
        <f t="shared" si="115"/>
        <v>3</v>
      </c>
      <c r="O24" s="47">
        <f t="shared" si="116"/>
        <v>3</v>
      </c>
      <c r="P24" s="47">
        <f t="shared" si="117"/>
        <v>9375</v>
      </c>
      <c r="Q24" s="47">
        <f t="shared" si="118"/>
        <v>1875</v>
      </c>
      <c r="R24" s="47">
        <f t="shared" si="119"/>
        <v>375</v>
      </c>
      <c r="S24" s="29">
        <f t="shared" si="120"/>
        <v>11625</v>
      </c>
      <c r="T24" s="47">
        <f t="shared" si="121"/>
        <v>3</v>
      </c>
      <c r="U24" s="47">
        <f t="shared" si="111"/>
        <v>3</v>
      </c>
      <c r="V24" s="64" t="s">
        <v>61</v>
      </c>
      <c r="W24" s="55">
        <f t="shared" si="122"/>
        <v>3</v>
      </c>
      <c r="X24" s="55">
        <f>COUNTIFS(hazai,V24,pontH,3)+COUNTIFS(vendeg,V24,pontV,3)</f>
        <v>1</v>
      </c>
      <c r="Y24" s="31">
        <f>COUNTIFS(hazai,V24,pontH,1)+COUNTIFS(vendeg,V24,pontV,1)</f>
        <v>0</v>
      </c>
      <c r="Z24" s="55">
        <f t="shared" si="123"/>
        <v>2</v>
      </c>
      <c r="AA24" s="55">
        <f t="shared" si="124"/>
        <v>3</v>
      </c>
      <c r="AB24" s="55">
        <f t="shared" si="125"/>
        <v>-1</v>
      </c>
      <c r="AC24" s="56">
        <f>SUMIF(hazai,$V24,$J$3:$J$50)+SUMIF(vendeg,V24,$K$3:$K$50)</f>
        <v>3</v>
      </c>
      <c r="AD24" s="33">
        <v>4</v>
      </c>
      <c r="AE24" s="57" t="str">
        <f>VLOOKUP(AD24,U21:AC24,2,0)</f>
        <v>Anglia</v>
      </c>
      <c r="AF24" s="58">
        <f>VLOOKUP(AD24,U21:AC24,3,0)</f>
        <v>3</v>
      </c>
      <c r="AG24" s="58">
        <f>VLOOKUP(AD24,U21:AC24,4,0)</f>
        <v>0</v>
      </c>
      <c r="AH24" s="58">
        <f>VLOOKUP(AD24,U21:AC24,5,0)</f>
        <v>1</v>
      </c>
      <c r="AI24" s="58">
        <f>VLOOKUP(AD24,U21:AC24,6,0)</f>
        <v>2</v>
      </c>
      <c r="AJ24" s="58">
        <f>VLOOKUP(AD24,U21:AC24,7,0)</f>
        <v>4</v>
      </c>
      <c r="AK24" s="58">
        <f>VLOOKUP(AD24,U21:AC24,8,0)</f>
        <v>-2</v>
      </c>
      <c r="AL24" s="59">
        <f>VLOOKUP(AD24,U21:AC24,9,0)</f>
        <v>1</v>
      </c>
      <c r="AM24" s="37">
        <f t="shared" si="15"/>
        <v>22</v>
      </c>
      <c r="AN24" s="38" t="str">
        <f t="shared" si="16"/>
        <v>Uruguay</v>
      </c>
      <c r="AO24" s="38" t="str">
        <f t="shared" si="17"/>
        <v>Anglia</v>
      </c>
      <c r="AP24" s="39">
        <f t="shared" ref="AP24:AQ24" si="141">IF(E24&lt;&gt;"",E24,"")</f>
        <v>2</v>
      </c>
      <c r="AQ24" s="40">
        <f t="shared" si="141"/>
        <v>1</v>
      </c>
      <c r="AR24" s="41" t="str">
        <f t="shared" si="19"/>
        <v/>
      </c>
      <c r="AS24" s="41" t="str">
        <f t="shared" si="20"/>
        <v/>
      </c>
      <c r="AT24" s="42" t="str">
        <f t="shared" si="21"/>
        <v/>
      </c>
      <c r="AU24" s="42" t="str">
        <f t="shared" si="22"/>
        <v/>
      </c>
      <c r="AV24" s="42" t="e">
        <f t="shared" ref="AV24:AW24" si="142">INDEX($AZ$3:$BB$48,MATCH(AN24,$AZ$3:$AZ$48,),3)</f>
        <v>#N/A</v>
      </c>
      <c r="AW24" s="42" t="e">
        <f t="shared" si="142"/>
        <v>#N/A</v>
      </c>
      <c r="AX24" s="42" t="str">
        <f t="shared" si="24"/>
        <v>D</v>
      </c>
      <c r="AY24" s="38"/>
      <c r="AZ24" s="43" t="b">
        <f>IF(COUNTIF(T21:T24,T24)&gt;1,V24)</f>
        <v>0</v>
      </c>
      <c r="BA24" s="38"/>
      <c r="BB24" s="33" t="b">
        <f>IF(COUNTIF(T21:T24,T24)&gt;1,T24)</f>
        <v>0</v>
      </c>
      <c r="BC24" s="60" t="s">
        <v>61</v>
      </c>
      <c r="BD24" s="45">
        <f>COUNTIFS(Hee,BC24,eeh,"&gt;-1",$AW$3:$AW$50,BB24)+COUNTIFS(Vee,BC24,eev,"&gt;-1",$AV$3:$AV$50,BB24)</f>
        <v>0</v>
      </c>
      <c r="BE24" s="45">
        <f>COUNTIFS(Hee,BC25,akiH,3,vepontV,BB25)+COUNTIFS(Vee,BC25,akiV,3,epontH,BB25)</f>
        <v>0</v>
      </c>
      <c r="BF24" s="45">
        <f>COUNTIFS(Hee,BC24,akiH,1,vepontV,BB24)+COUNTIFS(Vee,BC24,akiV,1,epontH,BB24)</f>
        <v>0</v>
      </c>
      <c r="BG24" s="45">
        <f>SUMIFS(eeh,Hee,BC24,vepontV,BB24)+SUMIFS(eev,Vee,BC24,epontH,BB24)</f>
        <v>0</v>
      </c>
      <c r="BH24" s="45">
        <f>SUMIFS(eeh,Vee,BC24,epontH,BB24)+SUMIFS(eev,Hee,BC24,vepontV,BB24)</f>
        <v>0</v>
      </c>
      <c r="BI24" s="45">
        <f t="shared" si="128"/>
        <v>0</v>
      </c>
      <c r="BJ24" s="46">
        <f t="shared" si="129"/>
        <v>0</v>
      </c>
      <c r="BK24" s="38"/>
      <c r="BL24" s="47">
        <f t="shared" si="130"/>
        <v>1</v>
      </c>
      <c r="BM24" s="47">
        <f t="shared" si="131"/>
        <v>1</v>
      </c>
      <c r="BN24" s="47">
        <f t="shared" si="132"/>
        <v>1</v>
      </c>
      <c r="BO24" s="47">
        <f t="shared" si="133"/>
        <v>25</v>
      </c>
      <c r="BP24" s="47">
        <f t="shared" si="134"/>
        <v>5</v>
      </c>
      <c r="BQ24" s="47">
        <f t="shared" si="135"/>
        <v>1</v>
      </c>
      <c r="BR24" s="47">
        <v>0.4</v>
      </c>
      <c r="BS24" s="29">
        <f t="shared" si="136"/>
        <v>11656.4</v>
      </c>
      <c r="BT24" s="47">
        <f>RANK(BS24,BS21:BS24,1)</f>
        <v>3</v>
      </c>
      <c r="BU24" s="62"/>
    </row>
    <row r="25" spans="1:73" ht="18.75" customHeight="1">
      <c r="A25" s="24">
        <v>23</v>
      </c>
      <c r="B25" s="25">
        <v>41810</v>
      </c>
      <c r="C25" s="26">
        <v>0</v>
      </c>
      <c r="D25" s="27" t="s">
        <v>63</v>
      </c>
      <c r="E25" s="107">
        <v>0</v>
      </c>
      <c r="F25" s="107">
        <v>0</v>
      </c>
      <c r="G25" s="27" t="s">
        <v>53</v>
      </c>
      <c r="H25" s="28" t="s">
        <v>54</v>
      </c>
      <c r="I25" s="62"/>
      <c r="J25" s="42">
        <f t="shared" si="0"/>
        <v>1</v>
      </c>
      <c r="K25" s="42">
        <f t="shared" si="1"/>
        <v>1</v>
      </c>
      <c r="L25" s="33"/>
      <c r="M25" s="7"/>
      <c r="N25" s="7"/>
      <c r="O25" s="7"/>
      <c r="P25" s="7"/>
      <c r="Q25" s="7"/>
      <c r="R25" s="7"/>
      <c r="S25" s="7"/>
      <c r="T25" s="47"/>
      <c r="U25" s="47"/>
      <c r="V25" s="65"/>
      <c r="W25" s="61"/>
      <c r="X25" s="61"/>
      <c r="Y25" s="61"/>
      <c r="Z25" s="61"/>
      <c r="AA25" s="61"/>
      <c r="AB25" s="61"/>
      <c r="AC25" s="61"/>
      <c r="AD25" s="33"/>
      <c r="AE25" s="62"/>
      <c r="AF25" s="62"/>
      <c r="AG25" s="62"/>
      <c r="AH25" s="62"/>
      <c r="AI25" s="62"/>
      <c r="AJ25" s="62"/>
      <c r="AK25" s="62"/>
      <c r="AL25" s="62"/>
      <c r="AM25" s="62">
        <f t="shared" si="15"/>
        <v>23</v>
      </c>
      <c r="AN25" s="62" t="str">
        <f t="shared" si="16"/>
        <v>Japán</v>
      </c>
      <c r="AO25" s="62" t="str">
        <f t="shared" si="17"/>
        <v>Görögország</v>
      </c>
      <c r="AP25" s="62">
        <f t="shared" ref="AP25:AQ25" si="143">IF(E25&lt;&gt;"",E25,"")</f>
        <v>0</v>
      </c>
      <c r="AQ25" s="62">
        <f t="shared" si="143"/>
        <v>0</v>
      </c>
      <c r="AR25" s="62" t="str">
        <f t="shared" si="19"/>
        <v/>
      </c>
      <c r="AS25" s="62" t="str">
        <f t="shared" si="20"/>
        <v/>
      </c>
      <c r="AT25" s="62" t="str">
        <f t="shared" si="21"/>
        <v/>
      </c>
      <c r="AU25" s="62" t="str">
        <f t="shared" si="22"/>
        <v/>
      </c>
      <c r="AV25" s="62" t="e">
        <f t="shared" ref="AV25:AW25" si="144">INDEX($AZ$3:$BB$48,MATCH(AN25,$AZ$3:$AZ$48,),3)</f>
        <v>#N/A</v>
      </c>
      <c r="AW25" s="62" t="e">
        <f t="shared" si="144"/>
        <v>#N/A</v>
      </c>
      <c r="AX25" s="62" t="str">
        <f t="shared" si="24"/>
        <v>C</v>
      </c>
      <c r="AY25" s="62"/>
      <c r="AZ25" s="62"/>
      <c r="BA25" s="62"/>
      <c r="BB25" s="62"/>
      <c r="BC25" s="62"/>
      <c r="BD25" s="62"/>
      <c r="BE25" s="62"/>
      <c r="BF25" s="62"/>
      <c r="BG25" s="62"/>
      <c r="BH25" s="62"/>
      <c r="BI25" s="62"/>
      <c r="BJ25" s="62"/>
      <c r="BK25" s="62"/>
      <c r="BL25" s="62"/>
      <c r="BM25" s="62"/>
      <c r="BN25" s="62"/>
      <c r="BO25" s="62"/>
      <c r="BP25" s="62"/>
      <c r="BQ25" s="62"/>
      <c r="BR25" s="62"/>
      <c r="BS25" s="62"/>
      <c r="BT25" s="62"/>
      <c r="BU25" s="62"/>
    </row>
    <row r="26" spans="1:73" ht="18.75" customHeight="1">
      <c r="A26" s="24">
        <v>24</v>
      </c>
      <c r="B26" s="25">
        <v>41810</v>
      </c>
      <c r="C26" s="26">
        <v>0.75</v>
      </c>
      <c r="D26" s="27" t="s">
        <v>61</v>
      </c>
      <c r="E26" s="107">
        <v>0</v>
      </c>
      <c r="F26" s="107">
        <v>1</v>
      </c>
      <c r="G26" s="27" t="s">
        <v>56</v>
      </c>
      <c r="H26" s="28" t="s">
        <v>57</v>
      </c>
      <c r="I26" s="62"/>
      <c r="J26" s="42" t="str">
        <f t="shared" si="0"/>
        <v>0</v>
      </c>
      <c r="K26" s="42">
        <f t="shared" si="1"/>
        <v>3</v>
      </c>
      <c r="L26" s="33"/>
      <c r="M26" s="47" t="s">
        <v>9</v>
      </c>
      <c r="N26" s="47" t="s">
        <v>10</v>
      </c>
      <c r="O26" s="47" t="s">
        <v>11</v>
      </c>
      <c r="P26" s="47" t="s">
        <v>12</v>
      </c>
      <c r="Q26" s="47" t="s">
        <v>13</v>
      </c>
      <c r="R26" s="47" t="s">
        <v>14</v>
      </c>
      <c r="S26" s="14" t="s">
        <v>15</v>
      </c>
      <c r="T26" s="47" t="s">
        <v>16</v>
      </c>
      <c r="U26" s="47" t="str">
        <f t="shared" ref="U26:U30" si="145">BT26</f>
        <v>rank2</v>
      </c>
      <c r="V26" s="63" t="s">
        <v>87</v>
      </c>
      <c r="W26" s="16" t="s">
        <v>19</v>
      </c>
      <c r="X26" s="16" t="s">
        <v>20</v>
      </c>
      <c r="Y26" s="16" t="s">
        <v>21</v>
      </c>
      <c r="Z26" s="16" t="s">
        <v>22</v>
      </c>
      <c r="AA26" s="16" t="s">
        <v>23</v>
      </c>
      <c r="AB26" s="16" t="s">
        <v>24</v>
      </c>
      <c r="AC26" s="17" t="s">
        <v>25</v>
      </c>
      <c r="AD26" s="33"/>
      <c r="AE26" s="18" t="s">
        <v>88</v>
      </c>
      <c r="AF26" s="19" t="s">
        <v>27</v>
      </c>
      <c r="AG26" s="19" t="s">
        <v>28</v>
      </c>
      <c r="AH26" s="19" t="s">
        <v>29</v>
      </c>
      <c r="AI26" s="19" t="s">
        <v>22</v>
      </c>
      <c r="AJ26" s="19" t="s">
        <v>23</v>
      </c>
      <c r="AK26" s="19" t="s">
        <v>30</v>
      </c>
      <c r="AL26" s="20" t="s">
        <v>25</v>
      </c>
      <c r="AM26" s="37">
        <f t="shared" si="15"/>
        <v>24</v>
      </c>
      <c r="AN26" s="38" t="str">
        <f t="shared" si="16"/>
        <v>Olaszország</v>
      </c>
      <c r="AO26" s="38" t="str">
        <f t="shared" si="17"/>
        <v>Costa Rica</v>
      </c>
      <c r="AP26" s="39">
        <f t="shared" ref="AP26:AQ26" si="146">IF(E26&lt;&gt;"",E26,"")</f>
        <v>0</v>
      </c>
      <c r="AQ26" s="40">
        <f t="shared" si="146"/>
        <v>1</v>
      </c>
      <c r="AR26" s="41" t="str">
        <f t="shared" si="19"/>
        <v/>
      </c>
      <c r="AS26" s="41" t="str">
        <f t="shared" si="20"/>
        <v/>
      </c>
      <c r="AT26" s="42" t="str">
        <f t="shared" si="21"/>
        <v/>
      </c>
      <c r="AU26" s="42" t="str">
        <f t="shared" si="22"/>
        <v/>
      </c>
      <c r="AV26" s="42" t="e">
        <f t="shared" ref="AV26:AW26" si="147">INDEX($AZ$3:$BB$48,MATCH(AN26,$AZ$3:$AZ$48,),3)</f>
        <v>#N/A</v>
      </c>
      <c r="AW26" s="42" t="e">
        <f t="shared" si="147"/>
        <v>#N/A</v>
      </c>
      <c r="AX26" s="42" t="str">
        <f t="shared" si="24"/>
        <v>D</v>
      </c>
      <c r="AY26" s="38"/>
      <c r="AZ26" s="38"/>
      <c r="BA26" s="38"/>
      <c r="BB26" s="33"/>
      <c r="BC26" s="21" t="s">
        <v>87</v>
      </c>
      <c r="BD26" s="22" t="s">
        <v>19</v>
      </c>
      <c r="BE26" s="22"/>
      <c r="BF26" s="22"/>
      <c r="BG26" s="22" t="s">
        <v>22</v>
      </c>
      <c r="BH26" s="22" t="s">
        <v>23</v>
      </c>
      <c r="BI26" s="22" t="s">
        <v>24</v>
      </c>
      <c r="BJ26" s="23" t="s">
        <v>25</v>
      </c>
      <c r="BK26" s="38"/>
      <c r="BL26" s="47" t="s">
        <v>34</v>
      </c>
      <c r="BM26" s="47" t="s">
        <v>35</v>
      </c>
      <c r="BN26" s="47" t="s">
        <v>36</v>
      </c>
      <c r="BO26" s="47" t="s">
        <v>37</v>
      </c>
      <c r="BP26" s="47" t="s">
        <v>38</v>
      </c>
      <c r="BQ26" s="47" t="s">
        <v>39</v>
      </c>
      <c r="BR26" s="47" t="s">
        <v>40</v>
      </c>
      <c r="BS26" s="14" t="s">
        <v>41</v>
      </c>
      <c r="BT26" s="47" t="s">
        <v>17</v>
      </c>
      <c r="BU26" s="62"/>
    </row>
    <row r="27" spans="1:73" ht="18.75" customHeight="1">
      <c r="A27" s="24">
        <v>25</v>
      </c>
      <c r="B27" s="25">
        <v>41810</v>
      </c>
      <c r="C27" s="26">
        <v>0.875</v>
      </c>
      <c r="D27" s="27" t="s">
        <v>64</v>
      </c>
      <c r="E27" s="107">
        <v>2</v>
      </c>
      <c r="F27" s="107">
        <v>5</v>
      </c>
      <c r="G27" s="27" t="s">
        <v>67</v>
      </c>
      <c r="H27" s="28" t="s">
        <v>66</v>
      </c>
      <c r="I27" s="62"/>
      <c r="J27" s="42" t="str">
        <f t="shared" si="0"/>
        <v>0</v>
      </c>
      <c r="K27" s="42">
        <f t="shared" si="1"/>
        <v>3</v>
      </c>
      <c r="L27" s="33"/>
      <c r="M27" s="47">
        <f t="shared" ref="M27:M30" si="148">RANK(AC27,AC$27:AC$30)</f>
        <v>2</v>
      </c>
      <c r="N27" s="47">
        <f t="shared" ref="N27:N30" si="149">RANK(AB27,AB$27:AB$30)</f>
        <v>2</v>
      </c>
      <c r="O27" s="47">
        <f t="shared" ref="O27:O30" si="150">RANK(Z27,Z$27:Z$30)</f>
        <v>2</v>
      </c>
      <c r="P27" s="47">
        <f t="shared" ref="P27:P30" si="151">3125*M27</f>
        <v>6250</v>
      </c>
      <c r="Q27" s="47">
        <f t="shared" ref="Q27:Q30" si="152">625*N27</f>
        <v>1250</v>
      </c>
      <c r="R27" s="47">
        <f t="shared" ref="R27:R30" si="153">125*O27</f>
        <v>250</v>
      </c>
      <c r="S27" s="29">
        <f t="shared" ref="S27:S30" si="154">SUM(P27:R27)</f>
        <v>7750</v>
      </c>
      <c r="T27" s="47">
        <f t="shared" ref="T27:T30" si="155">RANK(S27,$S$27:$S$30,1)</f>
        <v>2</v>
      </c>
      <c r="U27" s="47">
        <f t="shared" si="145"/>
        <v>2</v>
      </c>
      <c r="V27" s="64" t="s">
        <v>64</v>
      </c>
      <c r="W27" s="31">
        <f t="shared" ref="W27:W30" si="156">COUNTIFS($D$3:$D$50,$V27,$E$3:$E$50,"&gt;-1")+COUNTIFS($G$3:$G$50,$V27,$F$3:$F$50,"&gt;-1")</f>
        <v>3</v>
      </c>
      <c r="X27" s="31">
        <f>COUNTIFS(hazai,V27,pontH,3)+COUNTIFS(vendeg,V27,pontV,3)</f>
        <v>2</v>
      </c>
      <c r="Y27" s="31">
        <f>COUNTIFS(hazai,V27,pontH,1)+COUNTIFS(vendeg,V27,pontV,1)</f>
        <v>0</v>
      </c>
      <c r="Z27" s="31">
        <f t="shared" ref="Z27:Z30" si="157">SUMIFS($E$3:$E$50,$D$3:$D$50,$V27)+SUMIFS($F$3:$F$50,$G$3:$G$50,$V27)</f>
        <v>7</v>
      </c>
      <c r="AA27" s="31">
        <f t="shared" ref="AA27:AA30" si="158">SUMIFS($F$3:$F$50,$D$3:$D$50,$V27)+SUMIFS($E$3:$E$50,$G$3:$G$50,$V27)</f>
        <v>6</v>
      </c>
      <c r="AB27" s="31">
        <f t="shared" ref="AB27:AB30" si="159">Z27-AA27</f>
        <v>1</v>
      </c>
      <c r="AC27" s="32">
        <f>SUMIF(hazai,$V27,$J$3:$J$50)+SUMIF(vendeg,V27,$K$3:$K$50)</f>
        <v>6</v>
      </c>
      <c r="AD27" s="33">
        <v>1</v>
      </c>
      <c r="AE27" s="34" t="str">
        <f>VLOOKUP(AD27,U27:AC30,2,0)</f>
        <v>Franciaország</v>
      </c>
      <c r="AF27" s="35">
        <f>VLOOKUP(AD27,U27:AC30,3,0)</f>
        <v>3</v>
      </c>
      <c r="AG27" s="35">
        <f>VLOOKUP(AD27,U27:AC30,4,0)</f>
        <v>2</v>
      </c>
      <c r="AH27" s="35">
        <f>VLOOKUP(AD27,U27:AC30,5,0)</f>
        <v>1</v>
      </c>
      <c r="AI27" s="35">
        <f>VLOOKUP(AD27,U27:AC30,6,0)</f>
        <v>8</v>
      </c>
      <c r="AJ27" s="35">
        <f>VLOOKUP(AD27,U27:AC30,7,0)</f>
        <v>2</v>
      </c>
      <c r="AK27" s="35">
        <f>VLOOKUP(AD27,U27:AC30,8,0)</f>
        <v>6</v>
      </c>
      <c r="AL27" s="36">
        <f>VLOOKUP(AD27,U27:AC30,9,0)</f>
        <v>7</v>
      </c>
      <c r="AM27" s="37">
        <f t="shared" si="15"/>
        <v>25</v>
      </c>
      <c r="AN27" s="38" t="str">
        <f t="shared" si="16"/>
        <v>Svájc</v>
      </c>
      <c r="AO27" s="38" t="str">
        <f t="shared" si="17"/>
        <v>Franciaország</v>
      </c>
      <c r="AP27" s="39">
        <f t="shared" ref="AP27:AQ27" si="160">IF(E27&lt;&gt;"",E27,"")</f>
        <v>2</v>
      </c>
      <c r="AQ27" s="40">
        <f t="shared" si="160"/>
        <v>5</v>
      </c>
      <c r="AR27" s="41" t="str">
        <f t="shared" si="19"/>
        <v/>
      </c>
      <c r="AS27" s="41" t="str">
        <f t="shared" si="20"/>
        <v/>
      </c>
      <c r="AT27" s="42" t="str">
        <f t="shared" si="21"/>
        <v/>
      </c>
      <c r="AU27" s="42" t="str">
        <f t="shared" si="22"/>
        <v/>
      </c>
      <c r="AV27" s="42" t="e">
        <f t="shared" ref="AV27:AW27" si="161">INDEX($AZ$3:$BB$48,MATCH(AN27,$AZ$3:$AZ$48,),3)</f>
        <v>#N/A</v>
      </c>
      <c r="AW27" s="42" t="e">
        <f t="shared" si="161"/>
        <v>#N/A</v>
      </c>
      <c r="AX27" s="42" t="str">
        <f t="shared" si="24"/>
        <v>E</v>
      </c>
      <c r="AY27" s="38"/>
      <c r="AZ27" s="43" t="b">
        <f>IF(COUNTIF(T27:T30,T27)&gt;1,V27)</f>
        <v>0</v>
      </c>
      <c r="BA27" s="38"/>
      <c r="BB27" s="33" t="b">
        <f>IF(COUNTIF(T27:T30,T27)&gt;1,T27)</f>
        <v>0</v>
      </c>
      <c r="BC27" s="44" t="s">
        <v>64</v>
      </c>
      <c r="BD27" s="45">
        <f>COUNTIFS(Hee,BC27,eeh,"&gt;-1",$AW$3:$AW$50,BB27)+COUNTIFS(Vee,BC27,eev,"&gt;-1",$AV$3:$AV$50,BB27)</f>
        <v>0</v>
      </c>
      <c r="BE27" s="45">
        <f>COUNTIFS(Hee,BC28,akiH,3,vepontV,BB28)+COUNTIFS(Vee,BC28,akiV,3,epontH,BB28)</f>
        <v>0</v>
      </c>
      <c r="BF27" s="45">
        <f>COUNTIFS(Hee,BC27,akiH,1,vepontV,BB27)+COUNTIFS(Vee,BC27,akiV,1,epontH,BB27)</f>
        <v>0</v>
      </c>
      <c r="BG27" s="45">
        <f>SUMIFS(eeh,Hee,BC27,vepontV,BB27)+SUMIFS(eev,Vee,BC27,epontH,BB27)</f>
        <v>0</v>
      </c>
      <c r="BH27" s="45">
        <f>SUMIFS(eeh,Vee,BC27,epontH,BB27)+SUMIFS(eev,Hee,BC27,vepontV,BB27)</f>
        <v>0</v>
      </c>
      <c r="BI27" s="45">
        <f t="shared" ref="BI27:BI30" si="162">IF(BD27&gt;0,BG27-BH27,0)</f>
        <v>0</v>
      </c>
      <c r="BJ27" s="46">
        <f t="shared" ref="BJ27:BJ30" si="163">BE27*3+BF27</f>
        <v>0</v>
      </c>
      <c r="BK27" s="38"/>
      <c r="BL27" s="47">
        <f t="shared" ref="BL27:BL30" si="164">RANK(BJ27,BJ$39:BJ$42)</f>
        <v>1</v>
      </c>
      <c r="BM27" s="47">
        <f t="shared" ref="BM27:BM30" si="165">RANK(BI27,BI$39:BI$42)</f>
        <v>1</v>
      </c>
      <c r="BN27" s="47">
        <f t="shared" ref="BN27:BN30" si="166">RANK(BG27,BG$39:BG$42)</f>
        <v>1</v>
      </c>
      <c r="BO27" s="47">
        <f t="shared" ref="BO27:BO30" si="167">BL27*25</f>
        <v>25</v>
      </c>
      <c r="BP27" s="47">
        <f t="shared" ref="BP27:BP30" si="168">BM27*5</f>
        <v>5</v>
      </c>
      <c r="BQ27" s="47">
        <f t="shared" ref="BQ27:BQ30" si="169">BN27</f>
        <v>1</v>
      </c>
      <c r="BR27" s="47">
        <v>0.1</v>
      </c>
      <c r="BS27" s="29">
        <f t="shared" ref="BS27:BS30" si="170">SUM(BO27:BR27)+S27</f>
        <v>7781.1</v>
      </c>
      <c r="BT27" s="47">
        <f>RANK(BS27,BS27:BS30,1)</f>
        <v>2</v>
      </c>
      <c r="BU27" s="62"/>
    </row>
    <row r="28" spans="1:73" ht="18.75" customHeight="1">
      <c r="A28" s="24">
        <v>26</v>
      </c>
      <c r="B28" s="25">
        <v>41811</v>
      </c>
      <c r="C28" s="26">
        <v>0</v>
      </c>
      <c r="D28" s="27" t="s">
        <v>68</v>
      </c>
      <c r="E28" s="107">
        <v>1</v>
      </c>
      <c r="F28" s="107">
        <v>2</v>
      </c>
      <c r="G28" s="27" t="s">
        <v>65</v>
      </c>
      <c r="H28" s="28" t="s">
        <v>66</v>
      </c>
      <c r="I28" s="62"/>
      <c r="J28" s="42" t="str">
        <f t="shared" si="0"/>
        <v>0</v>
      </c>
      <c r="K28" s="42">
        <f t="shared" si="1"/>
        <v>3</v>
      </c>
      <c r="L28" s="33"/>
      <c r="M28" s="47">
        <f t="shared" si="148"/>
        <v>3</v>
      </c>
      <c r="N28" s="47">
        <f t="shared" si="149"/>
        <v>3</v>
      </c>
      <c r="O28" s="47">
        <f t="shared" si="150"/>
        <v>3</v>
      </c>
      <c r="P28" s="47">
        <f t="shared" si="151"/>
        <v>9375</v>
      </c>
      <c r="Q28" s="47">
        <f t="shared" si="152"/>
        <v>1875</v>
      </c>
      <c r="R28" s="47">
        <f t="shared" si="153"/>
        <v>375</v>
      </c>
      <c r="S28" s="29">
        <f t="shared" si="154"/>
        <v>11625</v>
      </c>
      <c r="T28" s="47">
        <f t="shared" si="155"/>
        <v>3</v>
      </c>
      <c r="U28" s="47">
        <f t="shared" si="145"/>
        <v>3</v>
      </c>
      <c r="V28" s="64" t="s">
        <v>65</v>
      </c>
      <c r="W28" s="31">
        <f t="shared" si="156"/>
        <v>3</v>
      </c>
      <c r="X28" s="31">
        <f>COUNTIFS(hazai,V28,pontH,3)+COUNTIFS(vendeg,V28,pontV,3)</f>
        <v>1</v>
      </c>
      <c r="Y28" s="31">
        <f>COUNTIFS(hazai,V28,pontH,1)+COUNTIFS(vendeg,V28,pontV,1)</f>
        <v>1</v>
      </c>
      <c r="Z28" s="31">
        <f t="shared" si="157"/>
        <v>3</v>
      </c>
      <c r="AA28" s="31">
        <f t="shared" si="158"/>
        <v>3</v>
      </c>
      <c r="AB28" s="31">
        <f t="shared" si="159"/>
        <v>0</v>
      </c>
      <c r="AC28" s="32">
        <f>SUMIF(hazai,$V28,$J$3:$J$50)+SUMIF(vendeg,V28,$K$3:$K$50)</f>
        <v>4</v>
      </c>
      <c r="AD28" s="33">
        <v>2</v>
      </c>
      <c r="AE28" s="48" t="str">
        <f>VLOOKUP(AD28,U27:AC30,2,0)</f>
        <v>Svájc</v>
      </c>
      <c r="AF28" s="49">
        <f>VLOOKUP(AD28,U27:AC30,3,0)</f>
        <v>3</v>
      </c>
      <c r="AG28" s="49">
        <f>VLOOKUP(AD28,U27:AC30,4,0)</f>
        <v>2</v>
      </c>
      <c r="AH28" s="49">
        <f>VLOOKUP(AD28,U27:AC30,5,0)</f>
        <v>0</v>
      </c>
      <c r="AI28" s="49">
        <f>VLOOKUP(AD28,U27:AC30,6,0)</f>
        <v>7</v>
      </c>
      <c r="AJ28" s="49">
        <f>VLOOKUP(AD28,U27:AC30,7,0)</f>
        <v>6</v>
      </c>
      <c r="AK28" s="49">
        <f>VLOOKUP(AD28,U27:AC30,8,0)</f>
        <v>1</v>
      </c>
      <c r="AL28" s="50">
        <f>VLOOKUP(AD28,U27:AC30,9,0)</f>
        <v>6</v>
      </c>
      <c r="AM28" s="37">
        <f t="shared" si="15"/>
        <v>26</v>
      </c>
      <c r="AN28" s="38" t="str">
        <f t="shared" si="16"/>
        <v>Hondurasz</v>
      </c>
      <c r="AO28" s="38" t="str">
        <f t="shared" si="17"/>
        <v>Ecuador</v>
      </c>
      <c r="AP28" s="39">
        <f t="shared" ref="AP28:AQ28" si="171">IF(E28&lt;&gt;"",E28,"")</f>
        <v>1</v>
      </c>
      <c r="AQ28" s="40">
        <f t="shared" si="171"/>
        <v>2</v>
      </c>
      <c r="AR28" s="41" t="str">
        <f t="shared" si="19"/>
        <v/>
      </c>
      <c r="AS28" s="41" t="str">
        <f t="shared" si="20"/>
        <v/>
      </c>
      <c r="AT28" s="42" t="str">
        <f t="shared" si="21"/>
        <v/>
      </c>
      <c r="AU28" s="42" t="str">
        <f t="shared" si="22"/>
        <v/>
      </c>
      <c r="AV28" s="42" t="e">
        <f t="shared" ref="AV28:AW28" si="172">INDEX($AZ$3:$BB$48,MATCH(AN28,$AZ$3:$AZ$48,),3)</f>
        <v>#N/A</v>
      </c>
      <c r="AW28" s="42" t="e">
        <f t="shared" si="172"/>
        <v>#N/A</v>
      </c>
      <c r="AX28" s="42" t="str">
        <f t="shared" si="24"/>
        <v>E</v>
      </c>
      <c r="AY28" s="38"/>
      <c r="AZ28" s="43" t="b">
        <f>IF(COUNTIF(T27:T30,T28)&gt;1,V28)</f>
        <v>0</v>
      </c>
      <c r="BA28" s="38"/>
      <c r="BB28" s="33" t="b">
        <f>IF(COUNTIF(T27:T30,T28)&gt;1,T28)</f>
        <v>0</v>
      </c>
      <c r="BC28" s="44" t="s">
        <v>65</v>
      </c>
      <c r="BD28" s="45">
        <f>COUNTIFS(Hee,BC28,eeh,"&gt;-1",$AW$3:$AW$50,BB28)+COUNTIFS(Vee,BC28,eev,"&gt;-1",$AV$3:$AV$50,BB28)</f>
        <v>0</v>
      </c>
      <c r="BE28" s="45">
        <f>COUNTIFS(Hee,BC29,akiH,3,vepontV,BB29)+COUNTIFS(Vee,BC29,akiV,3,epontH,BB29)</f>
        <v>0</v>
      </c>
      <c r="BF28" s="45">
        <f>COUNTIFS(Hee,BC28,akiH,1,vepontV,BB28)+COUNTIFS(Vee,BC28,akiV,1,epontH,BB28)</f>
        <v>0</v>
      </c>
      <c r="BG28" s="45">
        <f>SUMIFS(eeh,Hee,BC28,vepontV,BB28)+SUMIFS(eev,Vee,BC28,epontH,BB28)</f>
        <v>0</v>
      </c>
      <c r="BH28" s="45">
        <f>SUMIFS(eeh,Vee,BC28,epontH,BB28)+SUMIFS(eev,Hee,BC28,vepontV,BB28)</f>
        <v>0</v>
      </c>
      <c r="BI28" s="45">
        <f t="shared" si="162"/>
        <v>0</v>
      </c>
      <c r="BJ28" s="46">
        <f t="shared" si="163"/>
        <v>0</v>
      </c>
      <c r="BK28" s="38"/>
      <c r="BL28" s="47">
        <f t="shared" si="164"/>
        <v>1</v>
      </c>
      <c r="BM28" s="47">
        <f t="shared" si="165"/>
        <v>1</v>
      </c>
      <c r="BN28" s="47">
        <f t="shared" si="166"/>
        <v>1</v>
      </c>
      <c r="BO28" s="47">
        <f t="shared" si="167"/>
        <v>25</v>
      </c>
      <c r="BP28" s="47">
        <f t="shared" si="168"/>
        <v>5</v>
      </c>
      <c r="BQ28" s="47">
        <f t="shared" si="169"/>
        <v>1</v>
      </c>
      <c r="BR28" s="47">
        <v>0.2</v>
      </c>
      <c r="BS28" s="29">
        <f t="shared" si="170"/>
        <v>11656.2</v>
      </c>
      <c r="BT28" s="47">
        <f>RANK(BS28,BS27:BS30,1)</f>
        <v>3</v>
      </c>
      <c r="BU28" s="62"/>
    </row>
    <row r="29" spans="1:73" ht="18.75" customHeight="1">
      <c r="A29" s="24">
        <v>27</v>
      </c>
      <c r="B29" s="25">
        <v>41811</v>
      </c>
      <c r="C29" s="26">
        <v>0.75</v>
      </c>
      <c r="D29" s="27" t="s">
        <v>69</v>
      </c>
      <c r="E29" s="107">
        <v>1</v>
      </c>
      <c r="F29" s="107">
        <v>0</v>
      </c>
      <c r="G29" s="27" t="s">
        <v>77</v>
      </c>
      <c r="H29" s="28" t="s">
        <v>71</v>
      </c>
      <c r="I29" s="62"/>
      <c r="J29" s="42">
        <f t="shared" si="0"/>
        <v>3</v>
      </c>
      <c r="K29" s="42" t="str">
        <f t="shared" si="1"/>
        <v>0</v>
      </c>
      <c r="L29" s="33"/>
      <c r="M29" s="47">
        <f t="shared" si="148"/>
        <v>1</v>
      </c>
      <c r="N29" s="47">
        <f t="shared" si="149"/>
        <v>1</v>
      </c>
      <c r="O29" s="47">
        <f t="shared" si="150"/>
        <v>1</v>
      </c>
      <c r="P29" s="47">
        <f t="shared" si="151"/>
        <v>3125</v>
      </c>
      <c r="Q29" s="47">
        <f t="shared" si="152"/>
        <v>625</v>
      </c>
      <c r="R29" s="47">
        <f t="shared" si="153"/>
        <v>125</v>
      </c>
      <c r="S29" s="29">
        <f t="shared" si="154"/>
        <v>3875</v>
      </c>
      <c r="T29" s="47">
        <f t="shared" si="155"/>
        <v>1</v>
      </c>
      <c r="U29" s="47">
        <f t="shared" si="145"/>
        <v>1</v>
      </c>
      <c r="V29" s="64" t="s">
        <v>67</v>
      </c>
      <c r="W29" s="31">
        <f t="shared" si="156"/>
        <v>3</v>
      </c>
      <c r="X29" s="31">
        <f>COUNTIFS(hazai,V29,pontH,3)+COUNTIFS(vendeg,V29,pontV,3)</f>
        <v>2</v>
      </c>
      <c r="Y29" s="31">
        <f>COUNTIFS(hazai,V29,pontH,1)+COUNTIFS(vendeg,V29,pontV,1)</f>
        <v>1</v>
      </c>
      <c r="Z29" s="31">
        <f t="shared" si="157"/>
        <v>8</v>
      </c>
      <c r="AA29" s="31">
        <f t="shared" si="158"/>
        <v>2</v>
      </c>
      <c r="AB29" s="31">
        <f t="shared" si="159"/>
        <v>6</v>
      </c>
      <c r="AC29" s="32">
        <f>SUMIF(hazai,$V29,$J$3:$J$50)+SUMIF(vendeg,V29,$K$3:$K$50)</f>
        <v>7</v>
      </c>
      <c r="AD29" s="33">
        <v>3</v>
      </c>
      <c r="AE29" s="51" t="str">
        <f>VLOOKUP(AD29,U27:AC30,2,0)</f>
        <v>Ecuador</v>
      </c>
      <c r="AF29" s="52">
        <f>VLOOKUP(AD29,U27:AC30,3,0)</f>
        <v>3</v>
      </c>
      <c r="AG29" s="52">
        <f>VLOOKUP(AD29,U27:AC30,4,0)</f>
        <v>1</v>
      </c>
      <c r="AH29" s="52">
        <f>VLOOKUP(AD29,U27:AC30,5,0)</f>
        <v>1</v>
      </c>
      <c r="AI29" s="52">
        <f>VLOOKUP(AD29,U27:AC30,6,0)</f>
        <v>3</v>
      </c>
      <c r="AJ29" s="52">
        <f>VLOOKUP(AD29,U27:AC30,7,0)</f>
        <v>3</v>
      </c>
      <c r="AK29" s="52">
        <f>VLOOKUP(AD29,U27:AC30,8,0)</f>
        <v>0</v>
      </c>
      <c r="AL29" s="53">
        <f>VLOOKUP(AD29,U27:AC30,9,0)</f>
        <v>4</v>
      </c>
      <c r="AM29" s="37">
        <f t="shared" si="15"/>
        <v>27</v>
      </c>
      <c r="AN29" s="38" t="str">
        <f t="shared" si="16"/>
        <v>Argentína</v>
      </c>
      <c r="AO29" s="38" t="str">
        <f t="shared" si="17"/>
        <v>Irán</v>
      </c>
      <c r="AP29" s="39">
        <f t="shared" ref="AP29:AQ29" si="173">IF(E29&lt;&gt;"",E29,"")</f>
        <v>1</v>
      </c>
      <c r="AQ29" s="40">
        <f t="shared" si="173"/>
        <v>0</v>
      </c>
      <c r="AR29" s="41" t="str">
        <f t="shared" si="19"/>
        <v/>
      </c>
      <c r="AS29" s="41" t="str">
        <f t="shared" si="20"/>
        <v/>
      </c>
      <c r="AT29" s="42" t="str">
        <f t="shared" si="21"/>
        <v/>
      </c>
      <c r="AU29" s="42" t="str">
        <f t="shared" si="22"/>
        <v/>
      </c>
      <c r="AV29" s="42" t="e">
        <f t="shared" ref="AV29:AW29" si="174">INDEX($AZ$3:$BB$48,MATCH(AN29,$AZ$3:$AZ$48,),3)</f>
        <v>#N/A</v>
      </c>
      <c r="AW29" s="42" t="e">
        <f t="shared" si="174"/>
        <v>#N/A</v>
      </c>
      <c r="AX29" s="42" t="str">
        <f t="shared" si="24"/>
        <v>F</v>
      </c>
      <c r="AY29" s="38"/>
      <c r="AZ29" s="43" t="b">
        <f>IF(COUNTIF(T27:T30,T29)&gt;1,V29)</f>
        <v>0</v>
      </c>
      <c r="BA29" s="38"/>
      <c r="BB29" s="33" t="b">
        <f>IF(COUNTIF(T27:T30,T29)&gt;1,T29)</f>
        <v>0</v>
      </c>
      <c r="BC29" s="44" t="s">
        <v>67</v>
      </c>
      <c r="BD29" s="45">
        <f>COUNTIFS(Hee,BC29,eeh,"&gt;-1",$AW$3:$AW$50,BB29)+COUNTIFS(Vee,BC29,eev,"&gt;-1",$AV$3:$AV$50,BB29)</f>
        <v>0</v>
      </c>
      <c r="BE29" s="45">
        <f>COUNTIFS(Hee,BC30,akiH,3,vepontV,BB30)+COUNTIFS(Vee,BC30,akiV,3,epontH,BB30)</f>
        <v>0</v>
      </c>
      <c r="BF29" s="45">
        <f>COUNTIFS(Hee,BC29,akiH,1,vepontV,BB29)+COUNTIFS(Vee,BC29,akiV,1,epontH,BB29)</f>
        <v>0</v>
      </c>
      <c r="BG29" s="45">
        <f>SUMIFS(eeh,Hee,BC29,vepontV,BB29)+SUMIFS(eev,Vee,BC29,epontH,BB29)</f>
        <v>0</v>
      </c>
      <c r="BH29" s="45">
        <f>SUMIFS(eeh,Vee,BC29,epontH,BB29)+SUMIFS(eev,Hee,BC29,vepontV,BB29)</f>
        <v>0</v>
      </c>
      <c r="BI29" s="45">
        <f t="shared" si="162"/>
        <v>0</v>
      </c>
      <c r="BJ29" s="46">
        <f t="shared" si="163"/>
        <v>0</v>
      </c>
      <c r="BK29" s="38"/>
      <c r="BL29" s="47">
        <f t="shared" si="164"/>
        <v>1</v>
      </c>
      <c r="BM29" s="47">
        <f t="shared" si="165"/>
        <v>1</v>
      </c>
      <c r="BN29" s="47">
        <f t="shared" si="166"/>
        <v>1</v>
      </c>
      <c r="BO29" s="47">
        <f t="shared" si="167"/>
        <v>25</v>
      </c>
      <c r="BP29" s="47">
        <f t="shared" si="168"/>
        <v>5</v>
      </c>
      <c r="BQ29" s="47">
        <f t="shared" si="169"/>
        <v>1</v>
      </c>
      <c r="BR29" s="47">
        <v>0.3</v>
      </c>
      <c r="BS29" s="29">
        <f t="shared" si="170"/>
        <v>3906.3</v>
      </c>
      <c r="BT29" s="47">
        <f>RANK(BS29,BS27:BS30,1)</f>
        <v>1</v>
      </c>
      <c r="BU29" s="62"/>
    </row>
    <row r="30" spans="1:73" ht="18.75" customHeight="1">
      <c r="A30" s="24">
        <v>28</v>
      </c>
      <c r="B30" s="25">
        <v>41811</v>
      </c>
      <c r="C30" s="26">
        <v>0.875</v>
      </c>
      <c r="D30" s="27" t="s">
        <v>72</v>
      </c>
      <c r="E30" s="107">
        <v>2</v>
      </c>
      <c r="F30" s="107">
        <v>2</v>
      </c>
      <c r="G30" s="27" t="s">
        <v>79</v>
      </c>
      <c r="H30" s="28" t="s">
        <v>74</v>
      </c>
      <c r="I30" s="62"/>
      <c r="J30" s="42">
        <f t="shared" si="0"/>
        <v>1</v>
      </c>
      <c r="K30" s="42">
        <f t="shared" si="1"/>
        <v>1</v>
      </c>
      <c r="L30" s="33"/>
      <c r="M30" s="47">
        <f t="shared" si="148"/>
        <v>4</v>
      </c>
      <c r="N30" s="47">
        <f t="shared" si="149"/>
        <v>4</v>
      </c>
      <c r="O30" s="47">
        <f t="shared" si="150"/>
        <v>4</v>
      </c>
      <c r="P30" s="47">
        <f t="shared" si="151"/>
        <v>12500</v>
      </c>
      <c r="Q30" s="47">
        <f t="shared" si="152"/>
        <v>2500</v>
      </c>
      <c r="R30" s="47">
        <f t="shared" si="153"/>
        <v>500</v>
      </c>
      <c r="S30" s="29">
        <f t="shared" si="154"/>
        <v>15500</v>
      </c>
      <c r="T30" s="47">
        <f t="shared" si="155"/>
        <v>4</v>
      </c>
      <c r="U30" s="47">
        <f t="shared" si="145"/>
        <v>4</v>
      </c>
      <c r="V30" s="64" t="s">
        <v>68</v>
      </c>
      <c r="W30" s="55">
        <f t="shared" si="156"/>
        <v>3</v>
      </c>
      <c r="X30" s="55">
        <f>COUNTIFS(hazai,V30,pontH,3)+COUNTIFS(vendeg,V30,pontV,3)</f>
        <v>0</v>
      </c>
      <c r="Y30" s="31">
        <f>COUNTIFS(hazai,V30,pontH,1)+COUNTIFS(vendeg,V30,pontV,1)</f>
        <v>0</v>
      </c>
      <c r="Z30" s="55">
        <f t="shared" si="157"/>
        <v>1</v>
      </c>
      <c r="AA30" s="55">
        <f t="shared" si="158"/>
        <v>8</v>
      </c>
      <c r="AB30" s="55">
        <f t="shared" si="159"/>
        <v>-7</v>
      </c>
      <c r="AC30" s="56">
        <f>SUMIF(hazai,$V30,$J$3:$J$50)+SUMIF(vendeg,V30,$K$3:$K$50)</f>
        <v>0</v>
      </c>
      <c r="AD30" s="33">
        <v>4</v>
      </c>
      <c r="AE30" s="57" t="str">
        <f>VLOOKUP(AD30,U27:AC30,2,0)</f>
        <v>Hondurasz</v>
      </c>
      <c r="AF30" s="58">
        <f>VLOOKUP(AD30,U27:AC30,3,0)</f>
        <v>3</v>
      </c>
      <c r="AG30" s="58">
        <f>VLOOKUP(AD30,U27:AC30,4,0)</f>
        <v>0</v>
      </c>
      <c r="AH30" s="58">
        <f>VLOOKUP(AD30,U27:AC30,5,0)</f>
        <v>0</v>
      </c>
      <c r="AI30" s="58">
        <f>VLOOKUP(AD30,U27:AC30,6,0)</f>
        <v>1</v>
      </c>
      <c r="AJ30" s="58">
        <f>VLOOKUP(AD30,U27:AC30,7,0)</f>
        <v>8</v>
      </c>
      <c r="AK30" s="58">
        <f>VLOOKUP(AD30,U27:AC30,8,0)</f>
        <v>-7</v>
      </c>
      <c r="AL30" s="59">
        <f>VLOOKUP(AD30,U27:AC30,9,0)</f>
        <v>0</v>
      </c>
      <c r="AM30" s="37">
        <f t="shared" si="15"/>
        <v>28</v>
      </c>
      <c r="AN30" s="38" t="str">
        <f t="shared" si="16"/>
        <v>Németország</v>
      </c>
      <c r="AO30" s="38" t="str">
        <f t="shared" si="17"/>
        <v>Ghána</v>
      </c>
      <c r="AP30" s="39">
        <f t="shared" ref="AP30:AQ30" si="175">IF(E30&lt;&gt;"",E30,"")</f>
        <v>2</v>
      </c>
      <c r="AQ30" s="40">
        <f t="shared" si="175"/>
        <v>2</v>
      </c>
      <c r="AR30" s="41" t="str">
        <f t="shared" si="19"/>
        <v/>
      </c>
      <c r="AS30" s="41" t="str">
        <f t="shared" si="20"/>
        <v/>
      </c>
      <c r="AT30" s="42" t="str">
        <f t="shared" si="21"/>
        <v/>
      </c>
      <c r="AU30" s="42" t="str">
        <f t="shared" si="22"/>
        <v/>
      </c>
      <c r="AV30" s="42" t="e">
        <f t="shared" ref="AV30:AW30" si="176">INDEX($AZ$3:$BB$48,MATCH(AN30,$AZ$3:$AZ$48,),3)</f>
        <v>#N/A</v>
      </c>
      <c r="AW30" s="42" t="e">
        <f t="shared" si="176"/>
        <v>#N/A</v>
      </c>
      <c r="AX30" s="42" t="str">
        <f t="shared" si="24"/>
        <v>G</v>
      </c>
      <c r="AY30" s="38"/>
      <c r="AZ30" s="43" t="b">
        <f>IF(COUNTIF(T27:T30,T30)&gt;1,V30)</f>
        <v>0</v>
      </c>
      <c r="BA30" s="38"/>
      <c r="BB30" s="33" t="b">
        <f>IF(COUNTIF(T27:T30,T30)&gt;1,T30)</f>
        <v>0</v>
      </c>
      <c r="BC30" s="60" t="s">
        <v>68</v>
      </c>
      <c r="BD30" s="45">
        <f>COUNTIFS(Hee,BC30,eeh,"&gt;-1",$AW$3:$AW$50,BB30)+COUNTIFS(Vee,BC30,eev,"&gt;-1",$AV$3:$AV$50,BB30)</f>
        <v>0</v>
      </c>
      <c r="BE30" s="45">
        <f>COUNTIFS(Hee,BC31,akiH,3,vepontV,BB31)+COUNTIFS(Vee,BC31,akiV,3,epontH,BB31)</f>
        <v>0</v>
      </c>
      <c r="BF30" s="45">
        <f>COUNTIFS(Hee,BC30,akiH,1,vepontV,BB30)+COUNTIFS(Vee,BC30,akiV,1,epontH,BB30)</f>
        <v>0</v>
      </c>
      <c r="BG30" s="45">
        <f>SUMIFS(eeh,Hee,BC30,vepontV,BB30)+SUMIFS(eev,Vee,BC30,epontH,BB30)</f>
        <v>0</v>
      </c>
      <c r="BH30" s="45">
        <f>SUMIFS(eeh,Vee,BC30,epontH,BB30)+SUMIFS(eev,Hee,BC30,vepontV,BB30)</f>
        <v>0</v>
      </c>
      <c r="BI30" s="45">
        <f t="shared" si="162"/>
        <v>0</v>
      </c>
      <c r="BJ30" s="46">
        <f t="shared" si="163"/>
        <v>0</v>
      </c>
      <c r="BK30" s="38"/>
      <c r="BL30" s="47">
        <f t="shared" si="164"/>
        <v>1</v>
      </c>
      <c r="BM30" s="47">
        <f t="shared" si="165"/>
        <v>1</v>
      </c>
      <c r="BN30" s="47">
        <f t="shared" si="166"/>
        <v>1</v>
      </c>
      <c r="BO30" s="47">
        <f t="shared" si="167"/>
        <v>25</v>
      </c>
      <c r="BP30" s="47">
        <f t="shared" si="168"/>
        <v>5</v>
      </c>
      <c r="BQ30" s="47">
        <f t="shared" si="169"/>
        <v>1</v>
      </c>
      <c r="BR30" s="47">
        <v>0.4</v>
      </c>
      <c r="BS30" s="29">
        <f t="shared" si="170"/>
        <v>15531.4</v>
      </c>
      <c r="BT30" s="47">
        <f>RANK(BS30,BS27:BS30,1)</f>
        <v>4</v>
      </c>
      <c r="BU30" s="62"/>
    </row>
    <row r="31" spans="1:73" ht="18.75" customHeight="1">
      <c r="A31" s="24">
        <v>29</v>
      </c>
      <c r="B31" s="25">
        <v>41812</v>
      </c>
      <c r="C31" s="26">
        <v>0</v>
      </c>
      <c r="D31" s="27" t="s">
        <v>78</v>
      </c>
      <c r="E31" s="107">
        <v>1</v>
      </c>
      <c r="F31" s="107">
        <v>0</v>
      </c>
      <c r="G31" s="27" t="s">
        <v>70</v>
      </c>
      <c r="H31" s="28" t="s">
        <v>71</v>
      </c>
      <c r="I31" s="62"/>
      <c r="J31" s="42">
        <f t="shared" si="0"/>
        <v>3</v>
      </c>
      <c r="K31" s="42" t="str">
        <f t="shared" si="1"/>
        <v>0</v>
      </c>
      <c r="L31" s="33"/>
      <c r="M31" s="7"/>
      <c r="N31" s="7"/>
      <c r="O31" s="7"/>
      <c r="P31" s="7"/>
      <c r="Q31" s="7"/>
      <c r="R31" s="7"/>
      <c r="S31" s="7"/>
      <c r="T31" s="47"/>
      <c r="U31" s="47"/>
      <c r="V31" s="65"/>
      <c r="W31" s="61"/>
      <c r="X31" s="61"/>
      <c r="Y31" s="61"/>
      <c r="Z31" s="61"/>
      <c r="AA31" s="61"/>
      <c r="AB31" s="61"/>
      <c r="AC31" s="61"/>
      <c r="AD31" s="33"/>
      <c r="AE31" s="62"/>
      <c r="AF31" s="62"/>
      <c r="AG31" s="62"/>
      <c r="AH31" s="62"/>
      <c r="AI31" s="62"/>
      <c r="AJ31" s="62"/>
      <c r="AK31" s="62"/>
      <c r="AL31" s="62"/>
      <c r="AM31" s="62">
        <f t="shared" si="15"/>
        <v>29</v>
      </c>
      <c r="AN31" s="62" t="str">
        <f t="shared" si="16"/>
        <v>Nigéria</v>
      </c>
      <c r="AO31" s="62" t="str">
        <f t="shared" si="17"/>
        <v>Bosznia-Herc.</v>
      </c>
      <c r="AP31" s="62">
        <f t="shared" ref="AP31:AQ31" si="177">IF(E31&lt;&gt;"",E31,"")</f>
        <v>1</v>
      </c>
      <c r="AQ31" s="62">
        <f t="shared" si="177"/>
        <v>0</v>
      </c>
      <c r="AR31" s="62" t="str">
        <f t="shared" si="19"/>
        <v/>
      </c>
      <c r="AS31" s="62" t="str">
        <f t="shared" si="20"/>
        <v/>
      </c>
      <c r="AT31" s="62" t="str">
        <f t="shared" si="21"/>
        <v/>
      </c>
      <c r="AU31" s="62" t="str">
        <f t="shared" si="22"/>
        <v/>
      </c>
      <c r="AV31" s="62" t="e">
        <f t="shared" ref="AV31:AW31" si="178">INDEX($AZ$3:$BB$48,MATCH(AN31,$AZ$3:$AZ$48,),3)</f>
        <v>#N/A</v>
      </c>
      <c r="AW31" s="62" t="e">
        <f t="shared" si="178"/>
        <v>#N/A</v>
      </c>
      <c r="AX31" s="62" t="str">
        <f t="shared" si="24"/>
        <v>F</v>
      </c>
      <c r="AY31" s="62"/>
      <c r="AZ31" s="62"/>
      <c r="BA31" s="62"/>
      <c r="BB31" s="62"/>
      <c r="BC31" s="62"/>
      <c r="BD31" s="62"/>
      <c r="BE31" s="62"/>
      <c r="BF31" s="62"/>
      <c r="BG31" s="62"/>
      <c r="BH31" s="62"/>
      <c r="BI31" s="62"/>
      <c r="BJ31" s="62"/>
      <c r="BK31" s="62"/>
      <c r="BL31" s="62"/>
      <c r="BM31" s="62"/>
      <c r="BN31" s="62"/>
      <c r="BO31" s="62"/>
      <c r="BP31" s="62"/>
      <c r="BQ31" s="62"/>
      <c r="BR31" s="62"/>
      <c r="BS31" s="62"/>
      <c r="BT31" s="62"/>
      <c r="BU31" s="62"/>
    </row>
    <row r="32" spans="1:73" ht="18.75" customHeight="1">
      <c r="A32" s="24">
        <v>30</v>
      </c>
      <c r="B32" s="25">
        <v>41812</v>
      </c>
      <c r="C32" s="26">
        <v>0.75</v>
      </c>
      <c r="D32" s="27" t="s">
        <v>81</v>
      </c>
      <c r="E32" s="107">
        <v>1</v>
      </c>
      <c r="F32" s="107">
        <v>0</v>
      </c>
      <c r="G32" s="27" t="s">
        <v>83</v>
      </c>
      <c r="H32" s="28" t="s">
        <v>7</v>
      </c>
      <c r="I32" s="62"/>
      <c r="J32" s="42">
        <f t="shared" si="0"/>
        <v>3</v>
      </c>
      <c r="K32" s="42" t="str">
        <f t="shared" si="1"/>
        <v>0</v>
      </c>
      <c r="L32" s="33"/>
      <c r="M32" s="47" t="s">
        <v>9</v>
      </c>
      <c r="N32" s="47" t="s">
        <v>10</v>
      </c>
      <c r="O32" s="47" t="s">
        <v>11</v>
      </c>
      <c r="P32" s="47" t="s">
        <v>12</v>
      </c>
      <c r="Q32" s="47" t="s">
        <v>13</v>
      </c>
      <c r="R32" s="47" t="s">
        <v>14</v>
      </c>
      <c r="S32" s="14" t="s">
        <v>15</v>
      </c>
      <c r="T32" s="47" t="s">
        <v>16</v>
      </c>
      <c r="U32" s="47" t="str">
        <f t="shared" ref="U32:U36" si="179">BT32</f>
        <v>rank2</v>
      </c>
      <c r="V32" s="63" t="s">
        <v>89</v>
      </c>
      <c r="W32" s="16" t="s">
        <v>19</v>
      </c>
      <c r="X32" s="16" t="s">
        <v>20</v>
      </c>
      <c r="Y32" s="16" t="s">
        <v>21</v>
      </c>
      <c r="Z32" s="16" t="s">
        <v>22</v>
      </c>
      <c r="AA32" s="16" t="s">
        <v>23</v>
      </c>
      <c r="AB32" s="16" t="s">
        <v>24</v>
      </c>
      <c r="AC32" s="17" t="s">
        <v>25</v>
      </c>
      <c r="AD32" s="33"/>
      <c r="AE32" s="18" t="s">
        <v>90</v>
      </c>
      <c r="AF32" s="19" t="s">
        <v>27</v>
      </c>
      <c r="AG32" s="19" t="s">
        <v>28</v>
      </c>
      <c r="AH32" s="19" t="s">
        <v>29</v>
      </c>
      <c r="AI32" s="19" t="s">
        <v>22</v>
      </c>
      <c r="AJ32" s="19" t="s">
        <v>23</v>
      </c>
      <c r="AK32" s="19" t="s">
        <v>30</v>
      </c>
      <c r="AL32" s="20" t="s">
        <v>25</v>
      </c>
      <c r="AM32" s="37">
        <f t="shared" si="15"/>
        <v>30</v>
      </c>
      <c r="AN32" s="38" t="str">
        <f t="shared" si="16"/>
        <v>Belgium</v>
      </c>
      <c r="AO32" s="38" t="str">
        <f t="shared" si="17"/>
        <v>Oroszország</v>
      </c>
      <c r="AP32" s="39" t="e">
        <f t="shared" ref="AP32:AQ32" si="180">IF(#REF!&lt;&gt;"",#REF!,"")</f>
        <v>#REF!</v>
      </c>
      <c r="AQ32" s="40" t="e">
        <f t="shared" si="180"/>
        <v>#REF!</v>
      </c>
      <c r="AR32" s="41" t="str">
        <f t="shared" si="19"/>
        <v/>
      </c>
      <c r="AS32" s="41" t="str">
        <f t="shared" si="20"/>
        <v/>
      </c>
      <c r="AT32" s="42" t="str">
        <f t="shared" si="21"/>
        <v/>
      </c>
      <c r="AU32" s="42" t="str">
        <f t="shared" si="22"/>
        <v/>
      </c>
      <c r="AV32" s="42" t="e">
        <f t="shared" ref="AV32:AW32" si="181">INDEX($AZ$3:$BB$48,MATCH(AN32,$AZ$3:$AZ$48,),3)</f>
        <v>#N/A</v>
      </c>
      <c r="AW32" s="42" t="e">
        <f t="shared" si="181"/>
        <v>#N/A</v>
      </c>
      <c r="AX32" s="42" t="str">
        <f t="shared" si="24"/>
        <v>H</v>
      </c>
      <c r="AY32" s="38"/>
      <c r="AZ32" s="38"/>
      <c r="BA32" s="38"/>
      <c r="BB32" s="33"/>
      <c r="BC32" s="21" t="s">
        <v>89</v>
      </c>
      <c r="BD32" s="22" t="s">
        <v>19</v>
      </c>
      <c r="BE32" s="22"/>
      <c r="BF32" s="22"/>
      <c r="BG32" s="22" t="s">
        <v>22</v>
      </c>
      <c r="BH32" s="22" t="s">
        <v>23</v>
      </c>
      <c r="BI32" s="22" t="s">
        <v>24</v>
      </c>
      <c r="BJ32" s="23" t="s">
        <v>25</v>
      </c>
      <c r="BK32" s="38"/>
      <c r="BL32" s="47" t="s">
        <v>34</v>
      </c>
      <c r="BM32" s="47" t="s">
        <v>35</v>
      </c>
      <c r="BN32" s="47" t="s">
        <v>36</v>
      </c>
      <c r="BO32" s="47" t="s">
        <v>37</v>
      </c>
      <c r="BP32" s="47" t="s">
        <v>38</v>
      </c>
      <c r="BQ32" s="47" t="s">
        <v>39</v>
      </c>
      <c r="BR32" s="47" t="s">
        <v>40</v>
      </c>
      <c r="BS32" s="14" t="s">
        <v>41</v>
      </c>
      <c r="BT32" s="47" t="s">
        <v>17</v>
      </c>
      <c r="BU32" s="62"/>
    </row>
    <row r="33" spans="1:73" ht="18.75" customHeight="1">
      <c r="A33" s="24">
        <v>31</v>
      </c>
      <c r="B33" s="25">
        <v>41812</v>
      </c>
      <c r="C33" s="26">
        <v>0.875</v>
      </c>
      <c r="D33" s="27" t="s">
        <v>84</v>
      </c>
      <c r="E33" s="107">
        <v>2</v>
      </c>
      <c r="F33" s="107">
        <v>4</v>
      </c>
      <c r="G33" s="27" t="s">
        <v>82</v>
      </c>
      <c r="H33" s="28" t="s">
        <v>7</v>
      </c>
      <c r="I33" s="62"/>
      <c r="J33" s="42" t="str">
        <f t="shared" si="0"/>
        <v>0</v>
      </c>
      <c r="K33" s="42">
        <f t="shared" si="1"/>
        <v>3</v>
      </c>
      <c r="L33" s="33"/>
      <c r="M33" s="47">
        <f t="shared" ref="M33:M36" si="182">RANK(AC33,AC$33:AC$36)</f>
        <v>1</v>
      </c>
      <c r="N33" s="47">
        <f t="shared" ref="N33:N36" si="183">RANK(AB33,AB$33:AB$36)</f>
        <v>1</v>
      </c>
      <c r="O33" s="47">
        <f t="shared" ref="O33:O36" si="184">RANK(Z33,Z$33:Z$36)</f>
        <v>1</v>
      </c>
      <c r="P33" s="47">
        <f t="shared" ref="P33:P36" si="185">3125*M33</f>
        <v>3125</v>
      </c>
      <c r="Q33" s="47">
        <f t="shared" ref="Q33:Q36" si="186">625*N33</f>
        <v>625</v>
      </c>
      <c r="R33" s="47">
        <f t="shared" ref="R33:R36" si="187">125*O33</f>
        <v>125</v>
      </c>
      <c r="S33" s="29">
        <f t="shared" ref="S33:S36" si="188">SUM(P33:R33)</f>
        <v>3875</v>
      </c>
      <c r="T33" s="47">
        <f t="shared" ref="T33:T36" si="189">RANK(S33,$S$33:$S$36,1)</f>
        <v>1</v>
      </c>
      <c r="U33" s="47">
        <f t="shared" si="179"/>
        <v>1</v>
      </c>
      <c r="V33" s="64" t="s">
        <v>69</v>
      </c>
      <c r="W33" s="31">
        <f t="shared" ref="W33:W36" si="190">COUNTIFS($D$3:$D$50,$V33,$E$3:$E$50,"&gt;-1")+COUNTIFS($G$3:$G$50,$V33,$F$3:$F$50,"&gt;-1")</f>
        <v>3</v>
      </c>
      <c r="X33" s="31">
        <f>COUNTIFS(hazai,V33,pontH,3)+COUNTIFS(vendeg,V33,pontV,3)</f>
        <v>3</v>
      </c>
      <c r="Y33" s="31">
        <f>COUNTIFS(hazai,V33,pontH,1)+COUNTIFS(vendeg,V33,pontV,1)</f>
        <v>0</v>
      </c>
      <c r="Z33" s="31">
        <f t="shared" ref="Z33:Z36" si="191">SUMIFS($E$3:$E$50,$D$3:$D$50,$V33)+SUMIFS($F$3:$F$50,$G$3:$G$50,$V33)</f>
        <v>6</v>
      </c>
      <c r="AA33" s="31">
        <f t="shared" ref="AA33:AA36" si="192">SUMIFS($F$3:$F$50,$D$3:$D$50,$V33)+SUMIFS($E$3:$E$50,$G$3:$G$50,$V33)</f>
        <v>3</v>
      </c>
      <c r="AB33" s="31">
        <f t="shared" ref="AB33:AB36" si="193">Z33-AA33</f>
        <v>3</v>
      </c>
      <c r="AC33" s="32">
        <f>SUMIF(hazai,$V33,$J$3:$J$50)+SUMIF(vendeg,V33,$K$3:$K$50)</f>
        <v>9</v>
      </c>
      <c r="AD33" s="33">
        <v>1</v>
      </c>
      <c r="AE33" s="34" t="str">
        <f>VLOOKUP(AD33,U33:AC36,2,0)</f>
        <v>Argentína</v>
      </c>
      <c r="AF33" s="35">
        <f>VLOOKUP(AD33,U33:AC36,3,0)</f>
        <v>3</v>
      </c>
      <c r="AG33" s="35">
        <f>VLOOKUP(AD33,U33:AC36,4,0)</f>
        <v>3</v>
      </c>
      <c r="AH33" s="35">
        <f>VLOOKUP(AD33,U33:AC36,5,0)</f>
        <v>0</v>
      </c>
      <c r="AI33" s="35">
        <f>VLOOKUP(AD33,U33:AC36,6,0)</f>
        <v>6</v>
      </c>
      <c r="AJ33" s="35">
        <f>VLOOKUP(AD33,U33:AC36,7,0)</f>
        <v>3</v>
      </c>
      <c r="AK33" s="35">
        <f>VLOOKUP(AD33,U33:AC36,8,0)</f>
        <v>3</v>
      </c>
      <c r="AL33" s="36">
        <f>VLOOKUP(AD33,U33:AC36,9,0)</f>
        <v>9</v>
      </c>
      <c r="AM33" s="37">
        <f t="shared" si="15"/>
        <v>31</v>
      </c>
      <c r="AN33" s="38" t="str">
        <f t="shared" si="16"/>
        <v>Dél-Korea</v>
      </c>
      <c r="AO33" s="38" t="str">
        <f t="shared" si="17"/>
        <v>Algéria</v>
      </c>
      <c r="AP33" s="39">
        <f t="shared" ref="AP33:AQ33" si="194">IF(E33&lt;&gt;"",E33,"")</f>
        <v>2</v>
      </c>
      <c r="AQ33" s="40">
        <f t="shared" si="194"/>
        <v>4</v>
      </c>
      <c r="AR33" s="41" t="str">
        <f t="shared" si="19"/>
        <v/>
      </c>
      <c r="AS33" s="41" t="str">
        <f t="shared" si="20"/>
        <v/>
      </c>
      <c r="AT33" s="42" t="str">
        <f t="shared" si="21"/>
        <v/>
      </c>
      <c r="AU33" s="42" t="str">
        <f t="shared" si="22"/>
        <v/>
      </c>
      <c r="AV33" s="42" t="e">
        <f t="shared" ref="AV33:AW33" si="195">INDEX($AZ$3:$BB$48,MATCH(AN33,$AZ$3:$AZ$48,),3)</f>
        <v>#N/A</v>
      </c>
      <c r="AW33" s="42" t="e">
        <f t="shared" si="195"/>
        <v>#N/A</v>
      </c>
      <c r="AX33" s="42" t="str">
        <f t="shared" si="24"/>
        <v>H</v>
      </c>
      <c r="AY33" s="38"/>
      <c r="AZ33" s="43" t="b">
        <f>IF(COUNTIF(T33:T36,T33)&gt;1,V33)</f>
        <v>0</v>
      </c>
      <c r="BA33" s="38"/>
      <c r="BB33" s="33" t="b">
        <f>IF(COUNTIF(T33:T36,T33)&gt;1,T33)</f>
        <v>0</v>
      </c>
      <c r="BC33" s="44" t="s">
        <v>69</v>
      </c>
      <c r="BD33" s="45">
        <f>COUNTIFS(Hee,BC33,eeh,"&gt;-1",$AW$3:$AW$50,BB33)+COUNTIFS(Vee,BC33,eev,"&gt;-1",$AV$3:$AV$50,BB33)</f>
        <v>0</v>
      </c>
      <c r="BE33" s="45">
        <f>COUNTIFS(Hee,BC34,akiH,3,vepontV,BB34)+COUNTIFS(Vee,BC34,akiV,3,epontH,BB34)</f>
        <v>0</v>
      </c>
      <c r="BF33" s="45">
        <f>COUNTIFS(Hee,BC33,akiH,1,vepontV,BB33)+COUNTIFS(Vee,BC33,akiV,1,epontH,BB33)</f>
        <v>0</v>
      </c>
      <c r="BG33" s="45">
        <f>SUMIFS(eeh,Hee,BC33,vepontV,BB33)+SUMIFS(eev,Vee,BC33,epontH,BB33)</f>
        <v>0</v>
      </c>
      <c r="BH33" s="45">
        <f>SUMIFS(eeh,Vee,BC33,epontH,BB33)+SUMIFS(eev,Hee,BC33,vepontV,BB33)</f>
        <v>0</v>
      </c>
      <c r="BI33" s="45">
        <f t="shared" ref="BI33:BI36" si="196">IF(BD33&gt;0,BG33-BH33,0)</f>
        <v>0</v>
      </c>
      <c r="BJ33" s="46">
        <f t="shared" ref="BJ33:BJ36" si="197">BE33*3+BF33</f>
        <v>0</v>
      </c>
      <c r="BK33" s="38"/>
      <c r="BL33" s="47">
        <f t="shared" ref="BL33:BL36" si="198">RANK(BJ33,BJ$39:BJ$42)</f>
        <v>1</v>
      </c>
      <c r="BM33" s="47">
        <f t="shared" ref="BM33:BM36" si="199">RANK(BI33,BI$39:BI$42)</f>
        <v>1</v>
      </c>
      <c r="BN33" s="47">
        <f t="shared" ref="BN33:BN36" si="200">RANK(BG33,BG$39:BG$42)</f>
        <v>1</v>
      </c>
      <c r="BO33" s="47">
        <f t="shared" ref="BO33:BO36" si="201">BL33*25</f>
        <v>25</v>
      </c>
      <c r="BP33" s="47">
        <f t="shared" ref="BP33:BP36" si="202">BM33*5</f>
        <v>5</v>
      </c>
      <c r="BQ33" s="47">
        <f t="shared" ref="BQ33:BQ36" si="203">BN33</f>
        <v>1</v>
      </c>
      <c r="BR33" s="47">
        <v>0.1</v>
      </c>
      <c r="BS33" s="29">
        <f t="shared" ref="BS33:BS36" si="204">SUM(BO33:BR33)+S33</f>
        <v>3906.1</v>
      </c>
      <c r="BT33" s="47">
        <f>RANK(BS33,BS33:BS36,1)</f>
        <v>1</v>
      </c>
      <c r="BU33" s="62"/>
    </row>
    <row r="34" spans="1:73" ht="18.75" customHeight="1">
      <c r="A34" s="24">
        <v>32</v>
      </c>
      <c r="B34" s="25">
        <v>41813</v>
      </c>
      <c r="C34" s="26">
        <v>0</v>
      </c>
      <c r="D34" s="27" t="s">
        <v>80</v>
      </c>
      <c r="E34" s="107">
        <v>2</v>
      </c>
      <c r="F34" s="107">
        <v>2</v>
      </c>
      <c r="G34" s="27" t="s">
        <v>73</v>
      </c>
      <c r="H34" s="28" t="s">
        <v>74</v>
      </c>
      <c r="I34" s="62"/>
      <c r="J34" s="42">
        <f t="shared" si="0"/>
        <v>1</v>
      </c>
      <c r="K34" s="42">
        <f t="shared" si="1"/>
        <v>1</v>
      </c>
      <c r="L34" s="33"/>
      <c r="M34" s="47">
        <f t="shared" si="182"/>
        <v>3</v>
      </c>
      <c r="N34" s="47">
        <f t="shared" si="183"/>
        <v>2</v>
      </c>
      <c r="O34" s="47">
        <f t="shared" si="184"/>
        <v>2</v>
      </c>
      <c r="P34" s="47">
        <f t="shared" si="185"/>
        <v>9375</v>
      </c>
      <c r="Q34" s="47">
        <f t="shared" si="186"/>
        <v>1250</v>
      </c>
      <c r="R34" s="47">
        <f t="shared" si="187"/>
        <v>250</v>
      </c>
      <c r="S34" s="29">
        <f t="shared" si="188"/>
        <v>10875</v>
      </c>
      <c r="T34" s="47">
        <f t="shared" si="189"/>
        <v>3</v>
      </c>
      <c r="U34" s="47">
        <f t="shared" si="179"/>
        <v>3</v>
      </c>
      <c r="V34" s="64" t="s">
        <v>70</v>
      </c>
      <c r="W34" s="31">
        <f t="shared" si="190"/>
        <v>3</v>
      </c>
      <c r="X34" s="31">
        <f>COUNTIFS(hazai,V34,pontH,3)+COUNTIFS(vendeg,V34,pontV,3)</f>
        <v>1</v>
      </c>
      <c r="Y34" s="31">
        <f>COUNTIFS(hazai,V34,pontH,1)+COUNTIFS(vendeg,V34,pontV,1)</f>
        <v>0</v>
      </c>
      <c r="Z34" s="31">
        <f t="shared" si="191"/>
        <v>4</v>
      </c>
      <c r="AA34" s="31">
        <f t="shared" si="192"/>
        <v>4</v>
      </c>
      <c r="AB34" s="31">
        <f t="shared" si="193"/>
        <v>0</v>
      </c>
      <c r="AC34" s="32">
        <f>SUMIF(hazai,$V34,$J$3:$J$50)+SUMIF(vendeg,V34,$K$3:$K$50)</f>
        <v>3</v>
      </c>
      <c r="AD34" s="33">
        <v>2</v>
      </c>
      <c r="AE34" s="48" t="str">
        <f>VLOOKUP(AD34,U33:AC36,2,0)</f>
        <v>Nigéria</v>
      </c>
      <c r="AF34" s="49">
        <f>VLOOKUP(AD34,U33:AC36,3,0)</f>
        <v>3</v>
      </c>
      <c r="AG34" s="49">
        <f>VLOOKUP(AD34,U33:AC36,4,0)</f>
        <v>1</v>
      </c>
      <c r="AH34" s="49">
        <f>VLOOKUP(AD34,U33:AC36,5,0)</f>
        <v>1</v>
      </c>
      <c r="AI34" s="49">
        <f>VLOOKUP(AD34,U33:AC36,6,0)</f>
        <v>3</v>
      </c>
      <c r="AJ34" s="49">
        <f>VLOOKUP(AD34,U33:AC36,7,0)</f>
        <v>3</v>
      </c>
      <c r="AK34" s="49">
        <f>VLOOKUP(AD34,U33:AC36,8,0)</f>
        <v>0</v>
      </c>
      <c r="AL34" s="50">
        <f>VLOOKUP(AD34,U33:AC36,9,0)</f>
        <v>4</v>
      </c>
      <c r="AM34" s="37">
        <f t="shared" si="15"/>
        <v>32</v>
      </c>
      <c r="AN34" s="38" t="str">
        <f t="shared" si="16"/>
        <v>USA</v>
      </c>
      <c r="AO34" s="38" t="str">
        <f t="shared" si="17"/>
        <v>Portugália</v>
      </c>
      <c r="AP34" s="39" t="e">
        <f t="shared" ref="AP34:AQ34" si="205">IF(#REF!&lt;&gt;"",#REF!,"")</f>
        <v>#REF!</v>
      </c>
      <c r="AQ34" s="40" t="e">
        <f t="shared" si="205"/>
        <v>#REF!</v>
      </c>
      <c r="AR34" s="41" t="str">
        <f t="shared" si="19"/>
        <v/>
      </c>
      <c r="AS34" s="41" t="str">
        <f t="shared" si="20"/>
        <v/>
      </c>
      <c r="AT34" s="42" t="str">
        <f t="shared" si="21"/>
        <v/>
      </c>
      <c r="AU34" s="42" t="str">
        <f t="shared" si="22"/>
        <v/>
      </c>
      <c r="AV34" s="42" t="e">
        <f t="shared" ref="AV34:AW34" si="206">INDEX($AZ$3:$BB$48,MATCH(AN34,$AZ$3:$AZ$48,),3)</f>
        <v>#N/A</v>
      </c>
      <c r="AW34" s="42" t="e">
        <f t="shared" si="206"/>
        <v>#N/A</v>
      </c>
      <c r="AX34" s="42" t="e">
        <f>#REF!</f>
        <v>#REF!</v>
      </c>
      <c r="AY34" s="38"/>
      <c r="AZ34" s="43" t="b">
        <f>IF(COUNTIF(T33:T36,T34)&gt;1,V34)</f>
        <v>0</v>
      </c>
      <c r="BA34" s="38"/>
      <c r="BB34" s="33" t="b">
        <f>IF(COUNTIF(T33:T36,T34)&gt;1,T34)</f>
        <v>0</v>
      </c>
      <c r="BC34" s="44" t="s">
        <v>70</v>
      </c>
      <c r="BD34" s="45">
        <f>COUNTIFS(Hee,BC34,eeh,"&gt;-1",$AW$3:$AW$50,BB34)+COUNTIFS(Vee,BC34,eev,"&gt;-1",$AV$3:$AV$50,BB34)</f>
        <v>0</v>
      </c>
      <c r="BE34" s="45">
        <f>COUNTIFS(Hee,BC35,akiH,3,vepontV,BB35)+COUNTIFS(Vee,BC35,akiV,3,epontH,BB35)</f>
        <v>0</v>
      </c>
      <c r="BF34" s="45">
        <f>COUNTIFS(Hee,BC34,akiH,1,vepontV,BB34)+COUNTIFS(Vee,BC34,akiV,1,epontH,BB34)</f>
        <v>0</v>
      </c>
      <c r="BG34" s="45">
        <f>SUMIFS(eeh,Hee,BC34,vepontV,BB34)+SUMIFS(eev,Vee,BC34,epontH,BB34)</f>
        <v>0</v>
      </c>
      <c r="BH34" s="45">
        <f>SUMIFS(eeh,Vee,BC34,epontH,BB34)+SUMIFS(eev,Hee,BC34,vepontV,BB34)</f>
        <v>0</v>
      </c>
      <c r="BI34" s="45">
        <f t="shared" si="196"/>
        <v>0</v>
      </c>
      <c r="BJ34" s="46">
        <f t="shared" si="197"/>
        <v>0</v>
      </c>
      <c r="BK34" s="38"/>
      <c r="BL34" s="47">
        <f t="shared" si="198"/>
        <v>1</v>
      </c>
      <c r="BM34" s="47">
        <f t="shared" si="199"/>
        <v>1</v>
      </c>
      <c r="BN34" s="47">
        <f t="shared" si="200"/>
        <v>1</v>
      </c>
      <c r="BO34" s="47">
        <f t="shared" si="201"/>
        <v>25</v>
      </c>
      <c r="BP34" s="47">
        <f t="shared" si="202"/>
        <v>5</v>
      </c>
      <c r="BQ34" s="47">
        <f t="shared" si="203"/>
        <v>1</v>
      </c>
      <c r="BR34" s="47">
        <v>0.2</v>
      </c>
      <c r="BS34" s="29">
        <f t="shared" si="204"/>
        <v>10906.2</v>
      </c>
      <c r="BT34" s="47">
        <f>RANK(BS34,BS33:BS36,1)</f>
        <v>3</v>
      </c>
      <c r="BU34" s="62"/>
    </row>
    <row r="35" spans="1:73" ht="18.75" customHeight="1">
      <c r="A35" s="24">
        <v>33</v>
      </c>
      <c r="B35" s="25">
        <v>41813</v>
      </c>
      <c r="C35" s="26">
        <v>0.75</v>
      </c>
      <c r="D35" s="27" t="s">
        <v>51</v>
      </c>
      <c r="E35" s="107">
        <v>0</v>
      </c>
      <c r="F35" s="107">
        <v>3</v>
      </c>
      <c r="G35" s="27" t="s">
        <v>47</v>
      </c>
      <c r="H35" s="28" t="s">
        <v>49</v>
      </c>
      <c r="I35" s="62"/>
      <c r="J35" s="42" t="str">
        <f t="shared" si="0"/>
        <v>0</v>
      </c>
      <c r="K35" s="42">
        <f t="shared" si="1"/>
        <v>3</v>
      </c>
      <c r="L35" s="33"/>
      <c r="M35" s="47">
        <f t="shared" si="182"/>
        <v>4</v>
      </c>
      <c r="N35" s="47">
        <f t="shared" si="183"/>
        <v>4</v>
      </c>
      <c r="O35" s="47">
        <f t="shared" si="184"/>
        <v>4</v>
      </c>
      <c r="P35" s="47">
        <f t="shared" si="185"/>
        <v>12500</v>
      </c>
      <c r="Q35" s="47">
        <f t="shared" si="186"/>
        <v>2500</v>
      </c>
      <c r="R35" s="47">
        <f t="shared" si="187"/>
        <v>500</v>
      </c>
      <c r="S35" s="29">
        <f t="shared" si="188"/>
        <v>15500</v>
      </c>
      <c r="T35" s="47">
        <f t="shared" si="189"/>
        <v>4</v>
      </c>
      <c r="U35" s="47">
        <f t="shared" si="179"/>
        <v>4</v>
      </c>
      <c r="V35" s="64" t="s">
        <v>77</v>
      </c>
      <c r="W35" s="31">
        <f t="shared" si="190"/>
        <v>3</v>
      </c>
      <c r="X35" s="31">
        <f>COUNTIFS(hazai,V35,pontH,3)+COUNTIFS(vendeg,V35,pontV,3)</f>
        <v>0</v>
      </c>
      <c r="Y35" s="31">
        <f>COUNTIFS(hazai,V35,pontH,1)+COUNTIFS(vendeg,V35,pontV,1)</f>
        <v>1</v>
      </c>
      <c r="Z35" s="31">
        <f t="shared" si="191"/>
        <v>1</v>
      </c>
      <c r="AA35" s="31">
        <f t="shared" si="192"/>
        <v>4</v>
      </c>
      <c r="AB35" s="31">
        <f t="shared" si="193"/>
        <v>-3</v>
      </c>
      <c r="AC35" s="32">
        <f>SUMIF(hazai,$V35,$J$3:$J$50)+SUMIF(vendeg,V35,$K$3:$K$50)</f>
        <v>1</v>
      </c>
      <c r="AD35" s="33">
        <v>3</v>
      </c>
      <c r="AE35" s="51" t="str">
        <f>VLOOKUP(AD35,U33:AC36,2,0)</f>
        <v>Bosznia-Herc.</v>
      </c>
      <c r="AF35" s="52">
        <f>VLOOKUP(AD35,U33:AC36,3,0)</f>
        <v>3</v>
      </c>
      <c r="AG35" s="52">
        <f>VLOOKUP(AD35,U33:AC36,4,0)</f>
        <v>1</v>
      </c>
      <c r="AH35" s="52">
        <f>VLOOKUP(AD35,U33:AC36,5,0)</f>
        <v>0</v>
      </c>
      <c r="AI35" s="52">
        <f>VLOOKUP(AD35,U33:AC36,6,0)</f>
        <v>4</v>
      </c>
      <c r="AJ35" s="52">
        <f>VLOOKUP(AD35,U33:AC36,7,0)</f>
        <v>4</v>
      </c>
      <c r="AK35" s="52">
        <f>VLOOKUP(AD35,U33:AC36,8,0)</f>
        <v>0</v>
      </c>
      <c r="AL35" s="53">
        <f>VLOOKUP(AD35,U33:AC36,9,0)</f>
        <v>3</v>
      </c>
      <c r="AM35" s="37">
        <f t="shared" si="15"/>
        <v>33</v>
      </c>
      <c r="AN35" s="38" t="str">
        <f t="shared" si="16"/>
        <v>Ausztrália</v>
      </c>
      <c r="AO35" s="38" t="str">
        <f t="shared" si="17"/>
        <v>Spanyolország</v>
      </c>
      <c r="AP35" s="39">
        <f t="shared" ref="AP35:AQ35" si="207">IF(E35&lt;&gt;"",E35,"")</f>
        <v>0</v>
      </c>
      <c r="AQ35" s="40">
        <f t="shared" si="207"/>
        <v>3</v>
      </c>
      <c r="AR35" s="41" t="str">
        <f t="shared" si="19"/>
        <v/>
      </c>
      <c r="AS35" s="41" t="str">
        <f t="shared" si="20"/>
        <v/>
      </c>
      <c r="AT35" s="42" t="str">
        <f t="shared" si="21"/>
        <v/>
      </c>
      <c r="AU35" s="42" t="str">
        <f t="shared" si="22"/>
        <v/>
      </c>
      <c r="AV35" s="42" t="e">
        <f t="shared" ref="AV35:AW35" si="208">INDEX($AZ$3:$BB$48,MATCH(AN35,$AZ$3:$AZ$48,),3)</f>
        <v>#N/A</v>
      </c>
      <c r="AW35" s="42" t="e">
        <f t="shared" si="208"/>
        <v>#N/A</v>
      </c>
      <c r="AX35" s="42" t="str">
        <f t="shared" ref="AX35:AX50" si="209">H35</f>
        <v>B</v>
      </c>
      <c r="AY35" s="38"/>
      <c r="AZ35" s="43" t="b">
        <f>IF(COUNTIF(T33:T36,T35)&gt;1,V35)</f>
        <v>0</v>
      </c>
      <c r="BA35" s="38"/>
      <c r="BB35" s="33" t="b">
        <f>IF(COUNTIF(T33:T36,T35)&gt;1,T35)</f>
        <v>0</v>
      </c>
      <c r="BC35" s="44" t="s">
        <v>77</v>
      </c>
      <c r="BD35" s="45">
        <f>COUNTIFS(Hee,BC35,eeh,"&gt;-1",$AW$3:$AW$50,BB35)+COUNTIFS(Vee,BC35,eev,"&gt;-1",$AV$3:$AV$50,BB35)</f>
        <v>0</v>
      </c>
      <c r="BE35" s="45">
        <f>COUNTIFS(Hee,BC36,akiH,3,vepontV,BB36)+COUNTIFS(Vee,BC36,akiV,3,epontH,BB36)</f>
        <v>0</v>
      </c>
      <c r="BF35" s="45">
        <f>COUNTIFS(Hee,BC35,akiH,1,vepontV,BB35)+COUNTIFS(Vee,BC35,akiV,1,epontH,BB35)</f>
        <v>0</v>
      </c>
      <c r="BG35" s="45">
        <f>SUMIFS(eeh,Hee,BC35,vepontV,BB35)+SUMIFS(eev,Vee,BC35,epontH,BB35)</f>
        <v>0</v>
      </c>
      <c r="BH35" s="45">
        <f>SUMIFS(eeh,Vee,BC35,epontH,BB35)+SUMIFS(eev,Hee,BC35,vepontV,BB35)</f>
        <v>0</v>
      </c>
      <c r="BI35" s="45">
        <f t="shared" si="196"/>
        <v>0</v>
      </c>
      <c r="BJ35" s="46">
        <f t="shared" si="197"/>
        <v>0</v>
      </c>
      <c r="BK35" s="38"/>
      <c r="BL35" s="47">
        <f t="shared" si="198"/>
        <v>1</v>
      </c>
      <c r="BM35" s="47">
        <f t="shared" si="199"/>
        <v>1</v>
      </c>
      <c r="BN35" s="47">
        <f t="shared" si="200"/>
        <v>1</v>
      </c>
      <c r="BO35" s="47">
        <f t="shared" si="201"/>
        <v>25</v>
      </c>
      <c r="BP35" s="47">
        <f t="shared" si="202"/>
        <v>5</v>
      </c>
      <c r="BQ35" s="47">
        <f t="shared" si="203"/>
        <v>1</v>
      </c>
      <c r="BR35" s="47">
        <v>0.3</v>
      </c>
      <c r="BS35" s="29">
        <f t="shared" si="204"/>
        <v>15531.3</v>
      </c>
      <c r="BT35" s="47">
        <f>RANK(BS35,BS33:BS36,1)</f>
        <v>4</v>
      </c>
      <c r="BU35" s="62"/>
    </row>
    <row r="36" spans="1:73" ht="18.75" customHeight="1">
      <c r="A36" s="24">
        <v>34</v>
      </c>
      <c r="B36" s="25">
        <v>41813</v>
      </c>
      <c r="C36" s="26">
        <v>0.75</v>
      </c>
      <c r="D36" s="27" t="s">
        <v>48</v>
      </c>
      <c r="E36" s="107">
        <v>2</v>
      </c>
      <c r="F36" s="107">
        <v>0</v>
      </c>
      <c r="G36" s="27" t="s">
        <v>50</v>
      </c>
      <c r="H36" s="28" t="s">
        <v>49</v>
      </c>
      <c r="I36" s="62"/>
      <c r="J36" s="42">
        <f t="shared" si="0"/>
        <v>3</v>
      </c>
      <c r="K36" s="42" t="str">
        <f t="shared" si="1"/>
        <v>0</v>
      </c>
      <c r="L36" s="33"/>
      <c r="M36" s="47">
        <f t="shared" si="182"/>
        <v>2</v>
      </c>
      <c r="N36" s="47">
        <f t="shared" si="183"/>
        <v>2</v>
      </c>
      <c r="O36" s="47">
        <f t="shared" si="184"/>
        <v>3</v>
      </c>
      <c r="P36" s="47">
        <f t="shared" si="185"/>
        <v>6250</v>
      </c>
      <c r="Q36" s="47">
        <f t="shared" si="186"/>
        <v>1250</v>
      </c>
      <c r="R36" s="47">
        <f t="shared" si="187"/>
        <v>375</v>
      </c>
      <c r="S36" s="29">
        <f t="shared" si="188"/>
        <v>7875</v>
      </c>
      <c r="T36" s="47">
        <f t="shared" si="189"/>
        <v>2</v>
      </c>
      <c r="U36" s="47">
        <f t="shared" si="179"/>
        <v>2</v>
      </c>
      <c r="V36" s="64" t="s">
        <v>78</v>
      </c>
      <c r="W36" s="55">
        <f t="shared" si="190"/>
        <v>3</v>
      </c>
      <c r="X36" s="55">
        <f>COUNTIFS(hazai,V36,pontH,3)+COUNTIFS(vendeg,V36,pontV,3)</f>
        <v>1</v>
      </c>
      <c r="Y36" s="31">
        <f>COUNTIFS(hazai,V36,pontH,1)+COUNTIFS(vendeg,V36,pontV,1)</f>
        <v>1</v>
      </c>
      <c r="Z36" s="55">
        <f t="shared" si="191"/>
        <v>3</v>
      </c>
      <c r="AA36" s="55">
        <f t="shared" si="192"/>
        <v>3</v>
      </c>
      <c r="AB36" s="55">
        <f t="shared" si="193"/>
        <v>0</v>
      </c>
      <c r="AC36" s="56">
        <f>SUMIF(hazai,$V36,$J$3:$J$50)+SUMIF(vendeg,V36,$K$3:$K$50)</f>
        <v>4</v>
      </c>
      <c r="AD36" s="33">
        <v>4</v>
      </c>
      <c r="AE36" s="57" t="str">
        <f>VLOOKUP(AD36,U33:AC36,2,0)</f>
        <v>Irán</v>
      </c>
      <c r="AF36" s="58">
        <f>VLOOKUP(AD36,U33:AC36,3,0)</f>
        <v>3</v>
      </c>
      <c r="AG36" s="58">
        <f>VLOOKUP(AD36,U33:AC36,4,0)</f>
        <v>0</v>
      </c>
      <c r="AH36" s="58">
        <f>VLOOKUP(AD36,U33:AC36,5,0)</f>
        <v>1</v>
      </c>
      <c r="AI36" s="58">
        <f>VLOOKUP(AD36,U33:AC36,6,0)</f>
        <v>1</v>
      </c>
      <c r="AJ36" s="58">
        <f>VLOOKUP(AD36,U33:AC36,7,0)</f>
        <v>4</v>
      </c>
      <c r="AK36" s="58">
        <f>VLOOKUP(AD36,U33:AC36,8,0)</f>
        <v>-3</v>
      </c>
      <c r="AL36" s="59">
        <f>VLOOKUP(AD36,U33:AC36,9,0)</f>
        <v>1</v>
      </c>
      <c r="AM36" s="37">
        <f t="shared" si="15"/>
        <v>34</v>
      </c>
      <c r="AN36" s="38" t="str">
        <f t="shared" si="16"/>
        <v>Hollandia</v>
      </c>
      <c r="AO36" s="38" t="str">
        <f t="shared" si="17"/>
        <v>Chile</v>
      </c>
      <c r="AP36" s="39">
        <f t="shared" ref="AP36:AQ36" si="210">IF(E36&lt;&gt;"",E36,"")</f>
        <v>2</v>
      </c>
      <c r="AQ36" s="40">
        <f t="shared" si="210"/>
        <v>0</v>
      </c>
      <c r="AR36" s="41" t="str">
        <f t="shared" si="19"/>
        <v/>
      </c>
      <c r="AS36" s="41" t="str">
        <f t="shared" si="20"/>
        <v/>
      </c>
      <c r="AT36" s="42" t="str">
        <f t="shared" si="21"/>
        <v/>
      </c>
      <c r="AU36" s="42" t="str">
        <f t="shared" si="22"/>
        <v/>
      </c>
      <c r="AV36" s="42" t="e">
        <f t="shared" ref="AV36:AW36" si="211">INDEX($AZ$3:$BB$48,MATCH(AN36,$AZ$3:$AZ$48,),3)</f>
        <v>#N/A</v>
      </c>
      <c r="AW36" s="42" t="e">
        <f t="shared" si="211"/>
        <v>#N/A</v>
      </c>
      <c r="AX36" s="42" t="str">
        <f t="shared" si="209"/>
        <v>B</v>
      </c>
      <c r="AY36" s="38"/>
      <c r="AZ36" s="43" t="b">
        <f>IF(COUNTIF(T33:T36,T36)&gt;1,V36)</f>
        <v>0</v>
      </c>
      <c r="BA36" s="38"/>
      <c r="BB36" s="33" t="b">
        <f>IF(COUNTIF(T33:T36,T36)&gt;1,T36)</f>
        <v>0</v>
      </c>
      <c r="BC36" s="60" t="s">
        <v>78</v>
      </c>
      <c r="BD36" s="45">
        <f>COUNTIFS(Hee,BC36,eeh,"&gt;-1",$AW$3:$AW$50,BB36)+COUNTIFS(Vee,BC36,eev,"&gt;-1",$AV$3:$AV$50,BB36)</f>
        <v>0</v>
      </c>
      <c r="BE36" s="45">
        <f>COUNTIFS(Hee,BC37,akiH,3,vepontV,BB37)+COUNTIFS(Vee,BC37,akiV,3,epontH,BB37)</f>
        <v>0</v>
      </c>
      <c r="BF36" s="45">
        <f>COUNTIFS(Hee,BC36,akiH,1,vepontV,BB36)+COUNTIFS(Vee,BC36,akiV,1,epontH,BB36)</f>
        <v>0</v>
      </c>
      <c r="BG36" s="45">
        <f>SUMIFS(eeh,Hee,BC36,vepontV,BB36)+SUMIFS(eev,Vee,BC36,epontH,BB36)</f>
        <v>0</v>
      </c>
      <c r="BH36" s="45">
        <f>SUMIFS(eeh,Vee,BC36,epontH,BB36)+SUMIFS(eev,Hee,BC36,vepontV,BB36)</f>
        <v>0</v>
      </c>
      <c r="BI36" s="45">
        <f t="shared" si="196"/>
        <v>0</v>
      </c>
      <c r="BJ36" s="46">
        <f t="shared" si="197"/>
        <v>0</v>
      </c>
      <c r="BK36" s="38"/>
      <c r="BL36" s="47">
        <f t="shared" si="198"/>
        <v>1</v>
      </c>
      <c r="BM36" s="47">
        <f t="shared" si="199"/>
        <v>1</v>
      </c>
      <c r="BN36" s="47">
        <f t="shared" si="200"/>
        <v>1</v>
      </c>
      <c r="BO36" s="47">
        <f t="shared" si="201"/>
        <v>25</v>
      </c>
      <c r="BP36" s="47">
        <f t="shared" si="202"/>
        <v>5</v>
      </c>
      <c r="BQ36" s="47">
        <f t="shared" si="203"/>
        <v>1</v>
      </c>
      <c r="BR36" s="47">
        <v>0.4</v>
      </c>
      <c r="BS36" s="29">
        <f t="shared" si="204"/>
        <v>7906.4</v>
      </c>
      <c r="BT36" s="47">
        <f>RANK(BS36,BS33:BS36,1)</f>
        <v>2</v>
      </c>
      <c r="BU36" s="62"/>
    </row>
    <row r="37" spans="1:73" ht="18.75" customHeight="1">
      <c r="A37" s="24">
        <v>35</v>
      </c>
      <c r="B37" s="25">
        <v>41813</v>
      </c>
      <c r="C37" s="26">
        <v>0.91666666666666596</v>
      </c>
      <c r="D37" s="27" t="s">
        <v>45</v>
      </c>
      <c r="E37" s="107">
        <v>1</v>
      </c>
      <c r="F37" s="107">
        <v>4</v>
      </c>
      <c r="G37" s="27" t="s">
        <v>42</v>
      </c>
      <c r="H37" s="28" t="s">
        <v>44</v>
      </c>
      <c r="I37" s="62"/>
      <c r="J37" s="42" t="str">
        <f t="shared" si="0"/>
        <v>0</v>
      </c>
      <c r="K37" s="42">
        <f t="shared" si="1"/>
        <v>3</v>
      </c>
      <c r="L37" s="33"/>
      <c r="M37" s="7"/>
      <c r="N37" s="7"/>
      <c r="O37" s="7"/>
      <c r="P37" s="7"/>
      <c r="Q37" s="7"/>
      <c r="R37" s="7"/>
      <c r="S37" s="7"/>
      <c r="T37" s="47"/>
      <c r="U37" s="47"/>
      <c r="V37" s="65"/>
      <c r="W37" s="61"/>
      <c r="X37" s="61"/>
      <c r="Y37" s="61"/>
      <c r="Z37" s="61"/>
      <c r="AA37" s="61"/>
      <c r="AB37" s="61"/>
      <c r="AC37" s="61"/>
      <c r="AD37" s="33"/>
      <c r="AE37" s="62"/>
      <c r="AF37" s="62"/>
      <c r="AG37" s="62"/>
      <c r="AH37" s="62"/>
      <c r="AI37" s="62"/>
      <c r="AJ37" s="62"/>
      <c r="AK37" s="62"/>
      <c r="AL37" s="62"/>
      <c r="AM37" s="62">
        <f t="shared" si="15"/>
        <v>35</v>
      </c>
      <c r="AN37" s="62" t="str">
        <f t="shared" si="16"/>
        <v>Kamerun</v>
      </c>
      <c r="AO37" s="62" t="str">
        <f t="shared" si="17"/>
        <v>Brazília</v>
      </c>
      <c r="AP37" s="62">
        <f t="shared" ref="AP37:AQ37" si="212">IF(E37&lt;&gt;"",E37,"")</f>
        <v>1</v>
      </c>
      <c r="AQ37" s="62">
        <f t="shared" si="212"/>
        <v>4</v>
      </c>
      <c r="AR37" s="62" t="str">
        <f t="shared" si="19"/>
        <v/>
      </c>
      <c r="AS37" s="62" t="str">
        <f t="shared" si="20"/>
        <v/>
      </c>
      <c r="AT37" s="62" t="str">
        <f t="shared" si="21"/>
        <v/>
      </c>
      <c r="AU37" s="62" t="str">
        <f t="shared" si="22"/>
        <v/>
      </c>
      <c r="AV37" s="62" t="e">
        <f t="shared" ref="AV37:AW37" si="213">INDEX($AZ$3:$BB$48,MATCH(AN37,$AZ$3:$AZ$48,),3)</f>
        <v>#N/A</v>
      </c>
      <c r="AW37" s="62" t="e">
        <f t="shared" si="213"/>
        <v>#N/A</v>
      </c>
      <c r="AX37" s="62" t="str">
        <f t="shared" si="209"/>
        <v>A</v>
      </c>
      <c r="AY37" s="62"/>
      <c r="AZ37" s="62"/>
      <c r="BA37" s="62"/>
      <c r="BB37" s="62"/>
      <c r="BC37" s="62"/>
      <c r="BD37" s="62"/>
      <c r="BE37" s="62"/>
      <c r="BF37" s="62"/>
      <c r="BG37" s="62"/>
      <c r="BH37" s="62"/>
      <c r="BI37" s="62"/>
      <c r="BJ37" s="62"/>
      <c r="BK37" s="62"/>
      <c r="BL37" s="62"/>
      <c r="BM37" s="62"/>
      <c r="BN37" s="62"/>
      <c r="BO37" s="62"/>
      <c r="BP37" s="62"/>
      <c r="BQ37" s="62"/>
      <c r="BR37" s="62"/>
      <c r="BS37" s="62"/>
      <c r="BT37" s="62"/>
      <c r="BU37" s="62"/>
    </row>
    <row r="38" spans="1:73" ht="18.75" customHeight="1">
      <c r="A38" s="24">
        <v>36</v>
      </c>
      <c r="B38" s="25">
        <v>41813</v>
      </c>
      <c r="C38" s="26">
        <v>0.91666666666666596</v>
      </c>
      <c r="D38" s="27" t="s">
        <v>43</v>
      </c>
      <c r="E38" s="107">
        <v>1</v>
      </c>
      <c r="F38" s="107">
        <v>3</v>
      </c>
      <c r="G38" s="27" t="s">
        <v>46</v>
      </c>
      <c r="H38" s="28" t="s">
        <v>44</v>
      </c>
      <c r="I38" s="62"/>
      <c r="J38" s="42" t="str">
        <f t="shared" si="0"/>
        <v>0</v>
      </c>
      <c r="K38" s="42">
        <f t="shared" si="1"/>
        <v>3</v>
      </c>
      <c r="L38" s="33"/>
      <c r="M38" s="47" t="s">
        <v>91</v>
      </c>
      <c r="N38" s="47" t="s">
        <v>92</v>
      </c>
      <c r="O38" s="47" t="s">
        <v>93</v>
      </c>
      <c r="P38" s="47" t="s">
        <v>12</v>
      </c>
      <c r="Q38" s="47" t="s">
        <v>13</v>
      </c>
      <c r="R38" s="47" t="s">
        <v>14</v>
      </c>
      <c r="S38" s="14" t="s">
        <v>15</v>
      </c>
      <c r="T38" s="47" t="s">
        <v>16</v>
      </c>
      <c r="U38" s="47" t="str">
        <f t="shared" ref="U38:U42" si="214">BT38</f>
        <v>rank2</v>
      </c>
      <c r="V38" s="63" t="s">
        <v>94</v>
      </c>
      <c r="W38" s="16" t="s">
        <v>19</v>
      </c>
      <c r="X38" s="16" t="s">
        <v>20</v>
      </c>
      <c r="Y38" s="16" t="s">
        <v>21</v>
      </c>
      <c r="Z38" s="16" t="s">
        <v>22</v>
      </c>
      <c r="AA38" s="16" t="s">
        <v>23</v>
      </c>
      <c r="AB38" s="16" t="s">
        <v>24</v>
      </c>
      <c r="AC38" s="17" t="s">
        <v>25</v>
      </c>
      <c r="AD38" s="33"/>
      <c r="AE38" s="18" t="s">
        <v>95</v>
      </c>
      <c r="AF38" s="19" t="s">
        <v>27</v>
      </c>
      <c r="AG38" s="19" t="s">
        <v>28</v>
      </c>
      <c r="AH38" s="19" t="s">
        <v>29</v>
      </c>
      <c r="AI38" s="19" t="s">
        <v>22</v>
      </c>
      <c r="AJ38" s="19" t="s">
        <v>23</v>
      </c>
      <c r="AK38" s="19" t="s">
        <v>30</v>
      </c>
      <c r="AL38" s="20" t="s">
        <v>25</v>
      </c>
      <c r="AM38" s="37">
        <f t="shared" si="15"/>
        <v>36</v>
      </c>
      <c r="AN38" s="38" t="str">
        <f t="shared" si="16"/>
        <v>Horvátország</v>
      </c>
      <c r="AO38" s="38" t="str">
        <f t="shared" si="17"/>
        <v>Mexico</v>
      </c>
      <c r="AP38" s="39">
        <f t="shared" ref="AP38:AQ38" si="215">IF(E38&lt;&gt;"",E38,"")</f>
        <v>1</v>
      </c>
      <c r="AQ38" s="40">
        <f t="shared" si="215"/>
        <v>3</v>
      </c>
      <c r="AR38" s="41" t="str">
        <f t="shared" si="19"/>
        <v/>
      </c>
      <c r="AS38" s="41" t="str">
        <f t="shared" si="20"/>
        <v/>
      </c>
      <c r="AT38" s="42" t="str">
        <f t="shared" si="21"/>
        <v/>
      </c>
      <c r="AU38" s="42" t="str">
        <f t="shared" si="22"/>
        <v/>
      </c>
      <c r="AV38" s="42" t="e">
        <f t="shared" ref="AV38:AW38" si="216">INDEX($AZ$3:$BB$48,MATCH(AN38,$AZ$3:$AZ$48,),3)</f>
        <v>#N/A</v>
      </c>
      <c r="AW38" s="42" t="e">
        <f t="shared" si="216"/>
        <v>#N/A</v>
      </c>
      <c r="AX38" s="42" t="str">
        <f t="shared" si="209"/>
        <v>A</v>
      </c>
      <c r="AY38" s="38"/>
      <c r="AZ38" s="38"/>
      <c r="BA38" s="38"/>
      <c r="BB38" s="33"/>
      <c r="BC38" s="66" t="s">
        <v>94</v>
      </c>
      <c r="BD38" s="22" t="s">
        <v>19</v>
      </c>
      <c r="BE38" s="22" t="s">
        <v>28</v>
      </c>
      <c r="BF38" s="22" t="s">
        <v>96</v>
      </c>
      <c r="BG38" s="22" t="s">
        <v>22</v>
      </c>
      <c r="BH38" s="22" t="s">
        <v>23</v>
      </c>
      <c r="BI38" s="22" t="s">
        <v>24</v>
      </c>
      <c r="BJ38" s="23" t="s">
        <v>25</v>
      </c>
      <c r="BK38" s="38"/>
      <c r="BL38" s="47" t="s">
        <v>34</v>
      </c>
      <c r="BM38" s="47" t="s">
        <v>35</v>
      </c>
      <c r="BN38" s="47" t="s">
        <v>36</v>
      </c>
      <c r="BO38" s="47" t="s">
        <v>37</v>
      </c>
      <c r="BP38" s="47" t="s">
        <v>38</v>
      </c>
      <c r="BQ38" s="47" t="s">
        <v>39</v>
      </c>
      <c r="BR38" s="47" t="s">
        <v>40</v>
      </c>
      <c r="BS38" s="14" t="s">
        <v>41</v>
      </c>
      <c r="BT38" s="47" t="s">
        <v>17</v>
      </c>
      <c r="BU38" s="62"/>
    </row>
    <row r="39" spans="1:73" ht="18.75" customHeight="1">
      <c r="A39" s="24">
        <v>37</v>
      </c>
      <c r="B39" s="25">
        <v>41814</v>
      </c>
      <c r="C39" s="26">
        <v>0.75</v>
      </c>
      <c r="D39" s="27" t="s">
        <v>61</v>
      </c>
      <c r="E39" s="107">
        <v>0</v>
      </c>
      <c r="F39" s="107">
        <v>1</v>
      </c>
      <c r="G39" s="27" t="s">
        <v>55</v>
      </c>
      <c r="H39" s="28" t="s">
        <v>57</v>
      </c>
      <c r="I39" s="62"/>
      <c r="J39" s="42" t="str">
        <f t="shared" si="0"/>
        <v>0</v>
      </c>
      <c r="K39" s="42">
        <f t="shared" si="1"/>
        <v>3</v>
      </c>
      <c r="L39" s="33"/>
      <c r="M39" s="47">
        <f t="shared" ref="M39:M42" si="217">RANK(AC39,AC$39:AC$42)</f>
        <v>1</v>
      </c>
      <c r="N39" s="47">
        <f t="shared" ref="N39:N42" si="218">RANK(AB39,AB$39:AB$42)</f>
        <v>1</v>
      </c>
      <c r="O39" s="47">
        <f t="shared" ref="O39:O42" si="219">RANK(Z39,Z$39:Z$42)</f>
        <v>1</v>
      </c>
      <c r="P39" s="47">
        <f t="shared" ref="P39:P42" si="220">3125*M39</f>
        <v>3125</v>
      </c>
      <c r="Q39" s="47">
        <f t="shared" ref="Q39:Q42" si="221">625*N39</f>
        <v>625</v>
      </c>
      <c r="R39" s="47">
        <f t="shared" ref="R39:R42" si="222">125*O39</f>
        <v>125</v>
      </c>
      <c r="S39" s="29">
        <f t="shared" ref="S39:S42" si="223">SUM(P39:R39)</f>
        <v>3875</v>
      </c>
      <c r="T39" s="47">
        <f t="shared" ref="T39:T42" si="224">RANK(S39,$S$39:$S$42,1)</f>
        <v>1</v>
      </c>
      <c r="U39" s="47">
        <f t="shared" si="214"/>
        <v>1</v>
      </c>
      <c r="V39" s="64" t="s">
        <v>72</v>
      </c>
      <c r="W39" s="31">
        <f t="shared" ref="W39:W42" si="225">COUNTIFS($D$3:$D$50,$V39,$E$3:$E$50,"&gt;-1")+COUNTIFS($G$3:$G$50,$V39,$F$3:$F$50,"&gt;-1")</f>
        <v>3</v>
      </c>
      <c r="X39" s="31">
        <f>COUNTIFS(hazai,V39,pontH,3)+COUNTIFS(vendeg,V39,pontV,3)</f>
        <v>2</v>
      </c>
      <c r="Y39" s="31">
        <f>COUNTIFS(hazai,V39,pontH,1)+COUNTIFS(vendeg,V39,pontV,1)</f>
        <v>1</v>
      </c>
      <c r="Z39" s="31">
        <f t="shared" ref="Z39:Z42" si="226">SUMIFS($E$3:$E$50,$D$3:$D$50,$V39)+SUMIFS($F$3:$F$50,$G$3:$G$50,$V39)</f>
        <v>7</v>
      </c>
      <c r="AA39" s="31">
        <f t="shared" ref="AA39:AA42" si="227">SUMIFS($F$3:$F$50,$D$3:$D$50,$V39)+SUMIFS($E$3:$E$50,$G$3:$G$50,$V39)</f>
        <v>2</v>
      </c>
      <c r="AB39" s="31">
        <f t="shared" ref="AB39:AB42" si="228">Z39-AA39</f>
        <v>5</v>
      </c>
      <c r="AC39" s="32">
        <f>SUMIF(hazai,$V39,$J$3:$J$50)+SUMIF(vendeg,V39,$K$3:$K$50)</f>
        <v>7</v>
      </c>
      <c r="AD39" s="33">
        <v>1</v>
      </c>
      <c r="AE39" s="34" t="str">
        <f>VLOOKUP(AD39,U39:AC42,2,0)</f>
        <v>Németország</v>
      </c>
      <c r="AF39" s="35">
        <f>VLOOKUP(AD39,U39:AC42,3,0)</f>
        <v>3</v>
      </c>
      <c r="AG39" s="35">
        <f>VLOOKUP(AD39,U39:AC42,4,0)</f>
        <v>2</v>
      </c>
      <c r="AH39" s="35">
        <f>VLOOKUP(AD39,U39:AC42,5,0)</f>
        <v>1</v>
      </c>
      <c r="AI39" s="35">
        <f>VLOOKUP(AD39,U39:AC42,6,0)</f>
        <v>7</v>
      </c>
      <c r="AJ39" s="35">
        <f>VLOOKUP(AD39,U39:AC42,7,0)</f>
        <v>2</v>
      </c>
      <c r="AK39" s="35">
        <f>VLOOKUP(AD39,U39:AC42,8,0)</f>
        <v>5</v>
      </c>
      <c r="AL39" s="36">
        <f>VLOOKUP(AD39,U39:AC42,9,0)</f>
        <v>7</v>
      </c>
      <c r="AM39" s="37">
        <f t="shared" si="15"/>
        <v>37</v>
      </c>
      <c r="AN39" s="38" t="str">
        <f t="shared" si="16"/>
        <v>Olaszország</v>
      </c>
      <c r="AO39" s="38" t="str">
        <f t="shared" si="17"/>
        <v>Uruguay</v>
      </c>
      <c r="AP39" s="39">
        <f t="shared" ref="AP39:AQ39" si="229">IF(E39&lt;&gt;"",E39,"")</f>
        <v>0</v>
      </c>
      <c r="AQ39" s="40">
        <f t="shared" si="229"/>
        <v>1</v>
      </c>
      <c r="AR39" s="41" t="str">
        <f t="shared" si="19"/>
        <v/>
      </c>
      <c r="AS39" s="41" t="str">
        <f t="shared" si="20"/>
        <v/>
      </c>
      <c r="AT39" s="42" t="str">
        <f t="shared" si="21"/>
        <v/>
      </c>
      <c r="AU39" s="42" t="str">
        <f t="shared" si="22"/>
        <v/>
      </c>
      <c r="AV39" s="42" t="e">
        <f t="shared" ref="AV39:AW39" si="230">INDEX($AZ$3:$BB$48,MATCH(AN39,$AZ$3:$AZ$48,),3)</f>
        <v>#N/A</v>
      </c>
      <c r="AW39" s="42" t="e">
        <f t="shared" si="230"/>
        <v>#N/A</v>
      </c>
      <c r="AX39" s="42" t="str">
        <f t="shared" si="209"/>
        <v>D</v>
      </c>
      <c r="AY39" s="38"/>
      <c r="AZ39" s="43" t="b">
        <f>IF(COUNTIF(T39:T42,T39)&gt;1,V39)</f>
        <v>0</v>
      </c>
      <c r="BA39" s="67" t="s">
        <v>74</v>
      </c>
      <c r="BB39" s="33" t="b">
        <f>IF(COUNTIF(T39:T42,T39)&gt;1,T39)</f>
        <v>0</v>
      </c>
      <c r="BC39" s="44" t="s">
        <v>72</v>
      </c>
      <c r="BD39" s="45">
        <f>COUNTIFS(Hee,BC39,eeh,"&gt;-1",$AW$3:$AW$50,BB39)+COUNTIFS(Vee,BC39,eev,"&gt;-1",$AV$3:$AV$50,BB39)</f>
        <v>0</v>
      </c>
      <c r="BE39" s="45">
        <f>COUNTIFS(Hee,BC40,akiH,3,vepontV,BB40)+COUNTIFS(Vee,BC40,akiV,3,epontH,BB40)</f>
        <v>0</v>
      </c>
      <c r="BF39" s="45">
        <f>COUNTIFS(Hee,BC39,akiH,1,vepontV,BB39)+COUNTIFS(Vee,BC39,akiV,1,epontH,BB39)</f>
        <v>0</v>
      </c>
      <c r="BG39" s="45">
        <f>SUMIFS(eeh,Hee,BC39,vepontV,BB39)+SUMIFS(eev,Vee,BC39,epontH,BB39)</f>
        <v>0</v>
      </c>
      <c r="BH39" s="45">
        <f>SUMIFS(eeh,Vee,BC39,epontH,BB39)+SUMIFS(eev,Hee,BC39,vepontV,BB39)</f>
        <v>0</v>
      </c>
      <c r="BI39" s="45">
        <f t="shared" ref="BI39:BI42" si="231">IF(BD39&gt;0,BG39-BH39,0)</f>
        <v>0</v>
      </c>
      <c r="BJ39" s="46">
        <f t="shared" ref="BJ39:BJ42" si="232">BE39*3+BF39</f>
        <v>0</v>
      </c>
      <c r="BK39" s="38"/>
      <c r="BL39" s="47">
        <f t="shared" ref="BL39:BL42" si="233">RANK(BJ39,BJ$39:BJ$42)</f>
        <v>1</v>
      </c>
      <c r="BM39" s="47">
        <f t="shared" ref="BM39:BM42" si="234">RANK(BI39,BI$39:BI$42)</f>
        <v>1</v>
      </c>
      <c r="BN39" s="47">
        <f t="shared" ref="BN39:BN42" si="235">RANK(BG39,BG$39:BG$42)</f>
        <v>1</v>
      </c>
      <c r="BO39" s="47">
        <f t="shared" ref="BO39:BO42" si="236">BL39*25</f>
        <v>25</v>
      </c>
      <c r="BP39" s="47">
        <f t="shared" ref="BP39:BP42" si="237">BM39*5</f>
        <v>5</v>
      </c>
      <c r="BQ39" s="47">
        <f t="shared" ref="BQ39:BQ42" si="238">BN39</f>
        <v>1</v>
      </c>
      <c r="BR39" s="47">
        <v>0.1</v>
      </c>
      <c r="BS39" s="29">
        <f t="shared" ref="BS39:BS42" si="239">SUM(BO39:BR39)+S39</f>
        <v>3906.1</v>
      </c>
      <c r="BT39" s="47">
        <f>RANK(BS39,BS39:BS42,1)</f>
        <v>1</v>
      </c>
      <c r="BU39" s="62"/>
    </row>
    <row r="40" spans="1:73" ht="18.75" customHeight="1">
      <c r="A40" s="24">
        <v>38</v>
      </c>
      <c r="B40" s="25">
        <v>41814</v>
      </c>
      <c r="C40" s="26">
        <v>0.75</v>
      </c>
      <c r="D40" s="27" t="s">
        <v>56</v>
      </c>
      <c r="E40" s="107">
        <v>0</v>
      </c>
      <c r="F40" s="107">
        <v>0</v>
      </c>
      <c r="G40" s="27" t="s">
        <v>60</v>
      </c>
      <c r="H40" s="28" t="s">
        <v>57</v>
      </c>
      <c r="I40" s="62"/>
      <c r="J40" s="42">
        <f t="shared" si="0"/>
        <v>1</v>
      </c>
      <c r="K40" s="42">
        <f t="shared" si="1"/>
        <v>1</v>
      </c>
      <c r="L40" s="33"/>
      <c r="M40" s="47">
        <f t="shared" si="217"/>
        <v>2</v>
      </c>
      <c r="N40" s="47">
        <f t="shared" si="218"/>
        <v>4</v>
      </c>
      <c r="O40" s="47">
        <f t="shared" si="219"/>
        <v>2</v>
      </c>
      <c r="P40" s="47">
        <f t="shared" si="220"/>
        <v>6250</v>
      </c>
      <c r="Q40" s="47">
        <f t="shared" si="221"/>
        <v>2500</v>
      </c>
      <c r="R40" s="47">
        <f t="shared" si="222"/>
        <v>250</v>
      </c>
      <c r="S40" s="29">
        <f t="shared" si="223"/>
        <v>9000</v>
      </c>
      <c r="T40" s="47">
        <f t="shared" si="224"/>
        <v>3</v>
      </c>
      <c r="U40" s="47">
        <f t="shared" si="214"/>
        <v>3</v>
      </c>
      <c r="V40" s="64" t="s">
        <v>73</v>
      </c>
      <c r="W40" s="31">
        <f t="shared" si="225"/>
        <v>3</v>
      </c>
      <c r="X40" s="31">
        <f>COUNTIFS(hazai,V40,pontH,3)+COUNTIFS(vendeg,V40,pontV,3)</f>
        <v>1</v>
      </c>
      <c r="Y40" s="31">
        <f>COUNTIFS(hazai,V40,pontH,1)+COUNTIFS(vendeg,V40,pontV,1)</f>
        <v>1</v>
      </c>
      <c r="Z40" s="31">
        <f t="shared" si="226"/>
        <v>4</v>
      </c>
      <c r="AA40" s="31">
        <f t="shared" si="227"/>
        <v>7</v>
      </c>
      <c r="AB40" s="31">
        <f t="shared" si="228"/>
        <v>-3</v>
      </c>
      <c r="AC40" s="32">
        <f>SUMIF(hazai,$V40,$J$3:$J$50)+SUMIF(vendeg,V40,$K$3:$K$50)</f>
        <v>4</v>
      </c>
      <c r="AD40" s="33">
        <v>2</v>
      </c>
      <c r="AE40" s="48" t="str">
        <f>VLOOKUP(AD40,U39:AC42,2,0)</f>
        <v>USA</v>
      </c>
      <c r="AF40" s="49">
        <f>VLOOKUP(AD40,U39:AC42,3,0)</f>
        <v>3</v>
      </c>
      <c r="AG40" s="49">
        <f>VLOOKUP(AD40,U39:AC42,4,0)</f>
        <v>1</v>
      </c>
      <c r="AH40" s="49">
        <f>VLOOKUP(AD40,U39:AC42,5,0)</f>
        <v>1</v>
      </c>
      <c r="AI40" s="49">
        <f>VLOOKUP(AD40,U39:AC42,6,0)</f>
        <v>4</v>
      </c>
      <c r="AJ40" s="49">
        <f>VLOOKUP(AD40,U39:AC42,7,0)</f>
        <v>4</v>
      </c>
      <c r="AK40" s="49">
        <f>VLOOKUP(AD40,U39:AC42,8,0)</f>
        <v>0</v>
      </c>
      <c r="AL40" s="50">
        <f>VLOOKUP(AD40,U39:AC42,9,0)</f>
        <v>4</v>
      </c>
      <c r="AM40" s="37">
        <f t="shared" si="15"/>
        <v>38</v>
      </c>
      <c r="AN40" s="38" t="str">
        <f t="shared" si="16"/>
        <v>Costa Rica</v>
      </c>
      <c r="AO40" s="38" t="str">
        <f t="shared" si="17"/>
        <v>Anglia</v>
      </c>
      <c r="AP40" s="39">
        <f t="shared" ref="AP40:AQ40" si="240">IF(E40&lt;&gt;"",E40,"")</f>
        <v>0</v>
      </c>
      <c r="AQ40" s="40">
        <f t="shared" si="240"/>
        <v>0</v>
      </c>
      <c r="AR40" s="41" t="str">
        <f t="shared" si="19"/>
        <v/>
      </c>
      <c r="AS40" s="41" t="str">
        <f t="shared" si="20"/>
        <v/>
      </c>
      <c r="AT40" s="42" t="str">
        <f t="shared" si="21"/>
        <v/>
      </c>
      <c r="AU40" s="42" t="str">
        <f t="shared" si="22"/>
        <v/>
      </c>
      <c r="AV40" s="42" t="e">
        <f t="shared" ref="AV40:AW40" si="241">INDEX($AZ$3:$BB$48,MATCH(AN40,$AZ$3:$AZ$48,),3)</f>
        <v>#N/A</v>
      </c>
      <c r="AW40" s="42" t="e">
        <f t="shared" si="241"/>
        <v>#N/A</v>
      </c>
      <c r="AX40" s="42" t="str">
        <f t="shared" si="209"/>
        <v>D</v>
      </c>
      <c r="AY40" s="38"/>
      <c r="AZ40" s="43" t="b">
        <f>IF(COUNTIF(T39:T42,T40)&gt;1,V40)</f>
        <v>0</v>
      </c>
      <c r="BA40" s="67" t="s">
        <v>74</v>
      </c>
      <c r="BB40" s="33" t="b">
        <f>IF(COUNTIF(T39:T42,T40)&gt;1,T40)</f>
        <v>0</v>
      </c>
      <c r="BC40" s="44" t="s">
        <v>73</v>
      </c>
      <c r="BD40" s="45">
        <f>COUNTIFS(Hee,BC40,eeh,"&gt;-1",$AW$3:$AW$50,BB40)+COUNTIFS(Vee,BC40,eev,"&gt;-1",$AV$3:$AV$50,BB40)</f>
        <v>0</v>
      </c>
      <c r="BE40" s="45">
        <f>COUNTIFS(Hee,BC41,akiH,3,vepontV,BB41)+COUNTIFS(Vee,BC41,akiV,3,epontH,BB41)</f>
        <v>0</v>
      </c>
      <c r="BF40" s="45">
        <f>COUNTIFS(Hee,BC40,akiH,1,vepontV,BB40)+COUNTIFS(Vee,BC40,akiV,1,epontH,BB40)</f>
        <v>0</v>
      </c>
      <c r="BG40" s="45">
        <f>SUMIFS(eeh,Hee,BC40,vepontV,BB40)+SUMIFS(eev,Vee,BC40,epontH,BB40)</f>
        <v>0</v>
      </c>
      <c r="BH40" s="45">
        <f>SUMIFS(eeh,Vee,BC40,epontH,BB40)+SUMIFS(eev,Hee,BC40,vepontV,BB40)</f>
        <v>0</v>
      </c>
      <c r="BI40" s="45">
        <f t="shared" si="231"/>
        <v>0</v>
      </c>
      <c r="BJ40" s="46">
        <f t="shared" si="232"/>
        <v>0</v>
      </c>
      <c r="BK40" s="38"/>
      <c r="BL40" s="47">
        <f t="shared" si="233"/>
        <v>1</v>
      </c>
      <c r="BM40" s="47">
        <f t="shared" si="234"/>
        <v>1</v>
      </c>
      <c r="BN40" s="47">
        <f t="shared" si="235"/>
        <v>1</v>
      </c>
      <c r="BO40" s="47">
        <f t="shared" si="236"/>
        <v>25</v>
      </c>
      <c r="BP40" s="47">
        <f t="shared" si="237"/>
        <v>5</v>
      </c>
      <c r="BQ40" s="47">
        <f t="shared" si="238"/>
        <v>1</v>
      </c>
      <c r="BR40" s="47">
        <v>0.2</v>
      </c>
      <c r="BS40" s="29">
        <f t="shared" si="239"/>
        <v>9031.2000000000007</v>
      </c>
      <c r="BT40" s="47">
        <f>RANK(BS40,BS39:BS42,1)</f>
        <v>3</v>
      </c>
      <c r="BU40" s="62"/>
    </row>
    <row r="41" spans="1:73" ht="18.75" customHeight="1">
      <c r="A41" s="24">
        <v>39</v>
      </c>
      <c r="B41" s="25">
        <v>41814</v>
      </c>
      <c r="C41" s="26">
        <v>0.91666666666666596</v>
      </c>
      <c r="D41" s="27" t="s">
        <v>63</v>
      </c>
      <c r="E41" s="107">
        <v>1</v>
      </c>
      <c r="F41" s="107">
        <v>4</v>
      </c>
      <c r="G41" s="27" t="s">
        <v>52</v>
      </c>
      <c r="H41" s="28" t="s">
        <v>54</v>
      </c>
      <c r="I41" s="62"/>
      <c r="J41" s="42" t="str">
        <f t="shared" si="0"/>
        <v>0</v>
      </c>
      <c r="K41" s="42">
        <f t="shared" si="1"/>
        <v>3</v>
      </c>
      <c r="L41" s="33"/>
      <c r="M41" s="47">
        <f t="shared" si="217"/>
        <v>4</v>
      </c>
      <c r="N41" s="47">
        <f t="shared" si="218"/>
        <v>3</v>
      </c>
      <c r="O41" s="47">
        <f t="shared" si="219"/>
        <v>2</v>
      </c>
      <c r="P41" s="47">
        <f t="shared" si="220"/>
        <v>12500</v>
      </c>
      <c r="Q41" s="47">
        <f t="shared" si="221"/>
        <v>1875</v>
      </c>
      <c r="R41" s="47">
        <f t="shared" si="222"/>
        <v>250</v>
      </c>
      <c r="S41" s="29">
        <f t="shared" si="223"/>
        <v>14625</v>
      </c>
      <c r="T41" s="47">
        <f t="shared" si="224"/>
        <v>4</v>
      </c>
      <c r="U41" s="47">
        <f t="shared" si="214"/>
        <v>4</v>
      </c>
      <c r="V41" s="64" t="s">
        <v>79</v>
      </c>
      <c r="W41" s="31">
        <f t="shared" si="225"/>
        <v>3</v>
      </c>
      <c r="X41" s="31">
        <f>COUNTIFS(hazai,V41,pontH,3)+COUNTIFS(vendeg,V41,pontV,3)</f>
        <v>0</v>
      </c>
      <c r="Y41" s="31">
        <f>COUNTIFS(hazai,V41,pontH,1)+COUNTIFS(vendeg,V41,pontV,1)</f>
        <v>1</v>
      </c>
      <c r="Z41" s="31">
        <f t="shared" si="226"/>
        <v>4</v>
      </c>
      <c r="AA41" s="31">
        <f t="shared" si="227"/>
        <v>6</v>
      </c>
      <c r="AB41" s="31">
        <f t="shared" si="228"/>
        <v>-2</v>
      </c>
      <c r="AC41" s="32">
        <f>SUMIF(hazai,$V41,$J$3:$J$50)+SUMIF(vendeg,V41,$K$3:$K$50)</f>
        <v>1</v>
      </c>
      <c r="AD41" s="33">
        <v>3</v>
      </c>
      <c r="AE41" s="51" t="str">
        <f>VLOOKUP(AD41,U39:AC42,2,0)</f>
        <v>Portugália</v>
      </c>
      <c r="AF41" s="52">
        <f>VLOOKUP(AD41,U39:AC42,3,0)</f>
        <v>3</v>
      </c>
      <c r="AG41" s="52">
        <f>VLOOKUP(AD41,U39:AC42,4,0)</f>
        <v>1</v>
      </c>
      <c r="AH41" s="52">
        <f>VLOOKUP(AD41,U39:AC42,5,0)</f>
        <v>1</v>
      </c>
      <c r="AI41" s="52">
        <f>VLOOKUP(AD41,U39:AC42,6,0)</f>
        <v>4</v>
      </c>
      <c r="AJ41" s="52">
        <f>VLOOKUP(AD41,U39:AC42,7,0)</f>
        <v>7</v>
      </c>
      <c r="AK41" s="52">
        <f>VLOOKUP(AD41,U39:AC42,8,0)</f>
        <v>-3</v>
      </c>
      <c r="AL41" s="53">
        <f>VLOOKUP(AD41,U39:AC42,9,0)</f>
        <v>4</v>
      </c>
      <c r="AM41" s="37">
        <f t="shared" si="15"/>
        <v>39</v>
      </c>
      <c r="AN41" s="38" t="str">
        <f t="shared" si="16"/>
        <v>Japán</v>
      </c>
      <c r="AO41" s="38" t="str">
        <f t="shared" si="17"/>
        <v>Kolumbia</v>
      </c>
      <c r="AP41" s="39">
        <f t="shared" ref="AP41:AQ41" si="242">IF(E41&lt;&gt;"",E41,"")</f>
        <v>1</v>
      </c>
      <c r="AQ41" s="40">
        <f t="shared" si="242"/>
        <v>4</v>
      </c>
      <c r="AR41" s="41" t="str">
        <f t="shared" si="19"/>
        <v/>
      </c>
      <c r="AS41" s="41" t="str">
        <f t="shared" si="20"/>
        <v/>
      </c>
      <c r="AT41" s="42" t="str">
        <f t="shared" si="21"/>
        <v/>
      </c>
      <c r="AU41" s="42" t="str">
        <f t="shared" si="22"/>
        <v/>
      </c>
      <c r="AV41" s="42" t="e">
        <f t="shared" ref="AV41:AW41" si="243">INDEX($AZ$3:$BB$48,MATCH(AN41,$AZ$3:$AZ$48,),3)</f>
        <v>#N/A</v>
      </c>
      <c r="AW41" s="42" t="e">
        <f t="shared" si="243"/>
        <v>#N/A</v>
      </c>
      <c r="AX41" s="42" t="str">
        <f t="shared" si="209"/>
        <v>C</v>
      </c>
      <c r="AY41" s="38"/>
      <c r="AZ41" s="43" t="b">
        <f>IF(COUNTIF(T39:T42,T41)&gt;1,V41)</f>
        <v>0</v>
      </c>
      <c r="BA41" s="67" t="s">
        <v>74</v>
      </c>
      <c r="BB41" s="33" t="b">
        <f>IF(COUNTIF(T39:T42,T41)&gt;1,T41)</f>
        <v>0</v>
      </c>
      <c r="BC41" s="44" t="s">
        <v>79</v>
      </c>
      <c r="BD41" s="45">
        <f>COUNTIFS(Hee,BC41,eeh,"&gt;-1",$AW$3:$AW$50,BB41)+COUNTIFS(Vee,BC41,eev,"&gt;-1",$AV$3:$AV$50,BB41)</f>
        <v>0</v>
      </c>
      <c r="BE41" s="45">
        <f>COUNTIFS(Hee,BC42,akiH,3,vepontV,BB42)+COUNTIFS(Vee,BC42,akiV,3,epontH,BB42)</f>
        <v>0</v>
      </c>
      <c r="BF41" s="45">
        <f>COUNTIFS(Hee,BC41,akiH,1,vepontV,BB41)+COUNTIFS(Vee,BC41,akiV,1,epontH,BB41)</f>
        <v>0</v>
      </c>
      <c r="BG41" s="45">
        <f>SUMIFS(eeh,Hee,BC41,vepontV,BB41)+SUMIFS(eev,Vee,BC41,epontH,BB41)</f>
        <v>0</v>
      </c>
      <c r="BH41" s="45">
        <f>SUMIFS(eeh,Vee,BC41,epontH,BB41)+SUMIFS(eev,Hee,BC41,vepontV,BB41)</f>
        <v>0</v>
      </c>
      <c r="BI41" s="45">
        <f t="shared" si="231"/>
        <v>0</v>
      </c>
      <c r="BJ41" s="46">
        <f t="shared" si="232"/>
        <v>0</v>
      </c>
      <c r="BK41" s="38"/>
      <c r="BL41" s="47">
        <f t="shared" si="233"/>
        <v>1</v>
      </c>
      <c r="BM41" s="47">
        <f t="shared" si="234"/>
        <v>1</v>
      </c>
      <c r="BN41" s="47">
        <f t="shared" si="235"/>
        <v>1</v>
      </c>
      <c r="BO41" s="47">
        <f t="shared" si="236"/>
        <v>25</v>
      </c>
      <c r="BP41" s="47">
        <f t="shared" si="237"/>
        <v>5</v>
      </c>
      <c r="BQ41" s="47">
        <f t="shared" si="238"/>
        <v>1</v>
      </c>
      <c r="BR41" s="47">
        <v>0.3</v>
      </c>
      <c r="BS41" s="29">
        <f t="shared" si="239"/>
        <v>14656.3</v>
      </c>
      <c r="BT41" s="47">
        <f>RANK(BS41,BS39:BS42,1)</f>
        <v>4</v>
      </c>
      <c r="BU41" s="62"/>
    </row>
    <row r="42" spans="1:73" ht="18.75" customHeight="1">
      <c r="A42" s="24">
        <v>40</v>
      </c>
      <c r="B42" s="25">
        <v>41814</v>
      </c>
      <c r="C42" s="26">
        <v>0.91666666666666596</v>
      </c>
      <c r="D42" s="27" t="s">
        <v>53</v>
      </c>
      <c r="E42" s="107">
        <v>2</v>
      </c>
      <c r="F42" s="107">
        <v>1</v>
      </c>
      <c r="G42" s="27" t="s">
        <v>62</v>
      </c>
      <c r="H42" s="28" t="s">
        <v>54</v>
      </c>
      <c r="I42" s="62"/>
      <c r="J42" s="42">
        <f t="shared" si="0"/>
        <v>3</v>
      </c>
      <c r="K42" s="42" t="str">
        <f t="shared" si="1"/>
        <v>0</v>
      </c>
      <c r="L42" s="33"/>
      <c r="M42" s="47">
        <f t="shared" si="217"/>
        <v>2</v>
      </c>
      <c r="N42" s="47">
        <f t="shared" si="218"/>
        <v>2</v>
      </c>
      <c r="O42" s="47">
        <f t="shared" si="219"/>
        <v>2</v>
      </c>
      <c r="P42" s="47">
        <f t="shared" si="220"/>
        <v>6250</v>
      </c>
      <c r="Q42" s="47">
        <f t="shared" si="221"/>
        <v>1250</v>
      </c>
      <c r="R42" s="47">
        <f t="shared" si="222"/>
        <v>250</v>
      </c>
      <c r="S42" s="29">
        <f t="shared" si="223"/>
        <v>7750</v>
      </c>
      <c r="T42" s="47">
        <f t="shared" si="224"/>
        <v>2</v>
      </c>
      <c r="U42" s="47">
        <f t="shared" si="214"/>
        <v>2</v>
      </c>
      <c r="V42" s="64" t="s">
        <v>80</v>
      </c>
      <c r="W42" s="55">
        <f t="shared" si="225"/>
        <v>3</v>
      </c>
      <c r="X42" s="55">
        <f>COUNTIFS(hazai,V42,pontH,3)+COUNTIFS(vendeg,V42,pontV,3)</f>
        <v>1</v>
      </c>
      <c r="Y42" s="31">
        <f>COUNTIFS(hazai,V42,pontH,1)+COUNTIFS(vendeg,V42,pontV,1)</f>
        <v>1</v>
      </c>
      <c r="Z42" s="55">
        <f t="shared" si="226"/>
        <v>4</v>
      </c>
      <c r="AA42" s="55">
        <f t="shared" si="227"/>
        <v>4</v>
      </c>
      <c r="AB42" s="55">
        <f t="shared" si="228"/>
        <v>0</v>
      </c>
      <c r="AC42" s="56">
        <f>SUMIF(hazai,$V42,$J$3:$J$50)+SUMIF(vendeg,V42,$K$3:$K$50)</f>
        <v>4</v>
      </c>
      <c r="AD42" s="33">
        <v>4</v>
      </c>
      <c r="AE42" s="57" t="str">
        <f>VLOOKUP(AD42,U39:AC42,2,0)</f>
        <v>Ghána</v>
      </c>
      <c r="AF42" s="58">
        <f>VLOOKUP(AD42,U39:AC42,3,0)</f>
        <v>3</v>
      </c>
      <c r="AG42" s="58">
        <f>VLOOKUP(AD42,U39:AC42,4,0)</f>
        <v>0</v>
      </c>
      <c r="AH42" s="58">
        <f>VLOOKUP(AD42,U39:AC42,5,0)</f>
        <v>1</v>
      </c>
      <c r="AI42" s="58">
        <f>VLOOKUP(AD42,U39:AC42,6,0)</f>
        <v>4</v>
      </c>
      <c r="AJ42" s="58">
        <f>VLOOKUP(AD42,U39:AC42,7,0)</f>
        <v>6</v>
      </c>
      <c r="AK42" s="58">
        <f>VLOOKUP(AD42,U39:AC42,8,0)</f>
        <v>-2</v>
      </c>
      <c r="AL42" s="59">
        <f>VLOOKUP(AD42,U39:AC42,9,0)</f>
        <v>1</v>
      </c>
      <c r="AM42" s="37">
        <f t="shared" si="15"/>
        <v>40</v>
      </c>
      <c r="AN42" s="38" t="str">
        <f t="shared" si="16"/>
        <v>Görögország</v>
      </c>
      <c r="AO42" s="38" t="str">
        <f t="shared" si="17"/>
        <v>Elefántcsontpart</v>
      </c>
      <c r="AP42" s="39">
        <f t="shared" ref="AP42:AQ42" si="244">IF(E42&lt;&gt;"",E42,"")</f>
        <v>2</v>
      </c>
      <c r="AQ42" s="40">
        <f t="shared" si="244"/>
        <v>1</v>
      </c>
      <c r="AR42" s="41" t="str">
        <f t="shared" si="19"/>
        <v/>
      </c>
      <c r="AS42" s="41" t="str">
        <f t="shared" si="20"/>
        <v/>
      </c>
      <c r="AT42" s="42" t="str">
        <f t="shared" si="21"/>
        <v/>
      </c>
      <c r="AU42" s="42" t="str">
        <f t="shared" si="22"/>
        <v/>
      </c>
      <c r="AV42" s="42" t="e">
        <f t="shared" ref="AV42:AW42" si="245">INDEX($AZ$3:$BB$48,MATCH(AN42,$AZ$3:$AZ$48,),3)</f>
        <v>#N/A</v>
      </c>
      <c r="AW42" s="42" t="e">
        <f t="shared" si="245"/>
        <v>#N/A</v>
      </c>
      <c r="AX42" s="42" t="str">
        <f t="shared" si="209"/>
        <v>C</v>
      </c>
      <c r="AY42" s="38"/>
      <c r="AZ42" s="43" t="b">
        <f>IF(COUNTIF(T39:T42,T42)&gt;1,V42)</f>
        <v>0</v>
      </c>
      <c r="BA42" s="67" t="s">
        <v>74</v>
      </c>
      <c r="BB42" s="33" t="b">
        <f>IF(COUNTIF(T39:T42,T42)&gt;1,T42)</f>
        <v>0</v>
      </c>
      <c r="BC42" s="60" t="s">
        <v>80</v>
      </c>
      <c r="BD42" s="45">
        <f>COUNTIFS(Hee,BC42,eeh,"&gt;-1",$AW$3:$AW$50,BB42)+COUNTIFS(Vee,BC42,eev,"&gt;-1",$AV$3:$AV$50,BB42)</f>
        <v>0</v>
      </c>
      <c r="BE42" s="45">
        <f>COUNTIFS(Hee,BC43,akiH,3,vepontV,BB43)+COUNTIFS(Vee,BC43,akiV,3,epontH,BB43)</f>
        <v>0</v>
      </c>
      <c r="BF42" s="45">
        <f>COUNTIFS(Hee,BC42,akiH,1,vepontV,BB42)+COUNTIFS(Vee,BC42,akiV,1,epontH,BB42)</f>
        <v>0</v>
      </c>
      <c r="BG42" s="45">
        <f>SUMIFS(eeh,Hee,BC42,vepontV,BB42)+SUMIFS(eev,Vee,BC42,epontH,BB42)</f>
        <v>0</v>
      </c>
      <c r="BH42" s="45">
        <f>SUMIFS(eeh,Vee,BC42,epontH,BB42)+SUMIFS(eev,Hee,BC42,vepontV,BB42)</f>
        <v>0</v>
      </c>
      <c r="BI42" s="45">
        <f t="shared" si="231"/>
        <v>0</v>
      </c>
      <c r="BJ42" s="46">
        <f t="shared" si="232"/>
        <v>0</v>
      </c>
      <c r="BK42" s="38"/>
      <c r="BL42" s="47">
        <f t="shared" si="233"/>
        <v>1</v>
      </c>
      <c r="BM42" s="47">
        <f t="shared" si="234"/>
        <v>1</v>
      </c>
      <c r="BN42" s="47">
        <f t="shared" si="235"/>
        <v>1</v>
      </c>
      <c r="BO42" s="47">
        <f t="shared" si="236"/>
        <v>25</v>
      </c>
      <c r="BP42" s="47">
        <f t="shared" si="237"/>
        <v>5</v>
      </c>
      <c r="BQ42" s="47">
        <f t="shared" si="238"/>
        <v>1</v>
      </c>
      <c r="BR42" s="47">
        <v>0.4</v>
      </c>
      <c r="BS42" s="29">
        <f t="shared" si="239"/>
        <v>7781.4</v>
      </c>
      <c r="BT42" s="47">
        <f>RANK(BS42,BS39:BS42,1)</f>
        <v>2</v>
      </c>
      <c r="BU42" s="62"/>
    </row>
    <row r="43" spans="1:73" ht="18.75" customHeight="1">
      <c r="A43" s="24">
        <v>41</v>
      </c>
      <c r="B43" s="25">
        <v>41815</v>
      </c>
      <c r="C43" s="26">
        <v>0.75</v>
      </c>
      <c r="D43" s="27" t="s">
        <v>78</v>
      </c>
      <c r="E43" s="107">
        <v>2</v>
      </c>
      <c r="F43" s="107">
        <v>3</v>
      </c>
      <c r="G43" s="27" t="s">
        <v>69</v>
      </c>
      <c r="H43" s="28" t="s">
        <v>71</v>
      </c>
      <c r="I43" s="62"/>
      <c r="J43" s="42" t="str">
        <f t="shared" si="0"/>
        <v>0</v>
      </c>
      <c r="K43" s="42">
        <f t="shared" si="1"/>
        <v>3</v>
      </c>
      <c r="L43" s="33"/>
      <c r="M43" s="7"/>
      <c r="N43" s="7"/>
      <c r="O43" s="7"/>
      <c r="P43" s="7"/>
      <c r="Q43" s="7"/>
      <c r="R43" s="7"/>
      <c r="S43" s="7"/>
      <c r="T43" s="47"/>
      <c r="U43" s="47"/>
      <c r="V43" s="65"/>
      <c r="W43" s="61"/>
      <c r="X43" s="61"/>
      <c r="Y43" s="61"/>
      <c r="Z43" s="61"/>
      <c r="AA43" s="61"/>
      <c r="AB43" s="61"/>
      <c r="AC43" s="61"/>
      <c r="AD43" s="33"/>
      <c r="AE43" s="62"/>
      <c r="AF43" s="62"/>
      <c r="AG43" s="62"/>
      <c r="AH43" s="62"/>
      <c r="AI43" s="62"/>
      <c r="AJ43" s="62"/>
      <c r="AK43" s="62"/>
      <c r="AL43" s="62"/>
      <c r="AM43" s="62">
        <f t="shared" si="15"/>
        <v>41</v>
      </c>
      <c r="AN43" s="62" t="str">
        <f t="shared" si="16"/>
        <v>Nigéria</v>
      </c>
      <c r="AO43" s="62" t="str">
        <f t="shared" si="17"/>
        <v>Argentína</v>
      </c>
      <c r="AP43" s="62">
        <f t="shared" ref="AP43:AQ43" si="246">IF(E43&lt;&gt;"",E43,"")</f>
        <v>2</v>
      </c>
      <c r="AQ43" s="62">
        <f t="shared" si="246"/>
        <v>3</v>
      </c>
      <c r="AR43" s="62" t="str">
        <f t="shared" si="19"/>
        <v/>
      </c>
      <c r="AS43" s="62" t="str">
        <f t="shared" si="20"/>
        <v/>
      </c>
      <c r="AT43" s="62" t="str">
        <f t="shared" si="21"/>
        <v/>
      </c>
      <c r="AU43" s="62" t="str">
        <f t="shared" si="22"/>
        <v/>
      </c>
      <c r="AV43" s="62" t="e">
        <f t="shared" ref="AV43:AW43" si="247">INDEX($AZ$3:$BB$48,MATCH(AN43,$AZ$3:$AZ$48,),3)</f>
        <v>#N/A</v>
      </c>
      <c r="AW43" s="62" t="e">
        <f t="shared" si="247"/>
        <v>#N/A</v>
      </c>
      <c r="AX43" s="62" t="str">
        <f t="shared" si="209"/>
        <v>F</v>
      </c>
      <c r="AY43" s="62"/>
      <c r="AZ43" s="62"/>
      <c r="BA43" s="62"/>
      <c r="BB43" s="62"/>
      <c r="BC43" s="62"/>
      <c r="BD43" s="62"/>
      <c r="BE43" s="62"/>
      <c r="BF43" s="62"/>
      <c r="BG43" s="62"/>
      <c r="BH43" s="62"/>
      <c r="BI43" s="62"/>
      <c r="BJ43" s="62"/>
      <c r="BK43" s="62"/>
      <c r="BL43" s="62"/>
      <c r="BM43" s="62"/>
      <c r="BN43" s="62"/>
      <c r="BO43" s="62"/>
      <c r="BP43" s="62"/>
      <c r="BQ43" s="62"/>
      <c r="BR43" s="62"/>
      <c r="BS43" s="62"/>
      <c r="BT43" s="62"/>
      <c r="BU43" s="62"/>
    </row>
    <row r="44" spans="1:73" ht="18.75" customHeight="1">
      <c r="A44" s="24">
        <v>42</v>
      </c>
      <c r="B44" s="25">
        <v>41815</v>
      </c>
      <c r="C44" s="26">
        <v>0.75</v>
      </c>
      <c r="D44" s="27" t="s">
        <v>70</v>
      </c>
      <c r="E44" s="107">
        <v>3</v>
      </c>
      <c r="F44" s="107">
        <v>1</v>
      </c>
      <c r="G44" s="27" t="s">
        <v>77</v>
      </c>
      <c r="H44" s="28" t="s">
        <v>71</v>
      </c>
      <c r="I44" s="62"/>
      <c r="J44" s="42">
        <f t="shared" si="0"/>
        <v>3</v>
      </c>
      <c r="K44" s="42" t="str">
        <f t="shared" si="1"/>
        <v>0</v>
      </c>
      <c r="L44" s="33"/>
      <c r="M44" s="47" t="s">
        <v>9</v>
      </c>
      <c r="N44" s="47" t="s">
        <v>10</v>
      </c>
      <c r="O44" s="47" t="s">
        <v>11</v>
      </c>
      <c r="P44" s="47" t="s">
        <v>12</v>
      </c>
      <c r="Q44" s="47" t="s">
        <v>13</v>
      </c>
      <c r="R44" s="47" t="s">
        <v>14</v>
      </c>
      <c r="S44" s="14" t="s">
        <v>15</v>
      </c>
      <c r="T44" s="47" t="s">
        <v>16</v>
      </c>
      <c r="U44" s="47" t="str">
        <f t="shared" ref="U44:U48" si="248">BT44</f>
        <v>rank2</v>
      </c>
      <c r="V44" s="63" t="s">
        <v>97</v>
      </c>
      <c r="W44" s="16" t="s">
        <v>19</v>
      </c>
      <c r="X44" s="16" t="s">
        <v>20</v>
      </c>
      <c r="Y44" s="16" t="s">
        <v>21</v>
      </c>
      <c r="Z44" s="16" t="s">
        <v>22</v>
      </c>
      <c r="AA44" s="16" t="s">
        <v>23</v>
      </c>
      <c r="AB44" s="16" t="s">
        <v>24</v>
      </c>
      <c r="AC44" s="17" t="s">
        <v>25</v>
      </c>
      <c r="AD44" s="33"/>
      <c r="AE44" s="18" t="s">
        <v>98</v>
      </c>
      <c r="AF44" s="19" t="s">
        <v>27</v>
      </c>
      <c r="AG44" s="19" t="s">
        <v>28</v>
      </c>
      <c r="AH44" s="19" t="s">
        <v>29</v>
      </c>
      <c r="AI44" s="19" t="s">
        <v>22</v>
      </c>
      <c r="AJ44" s="19" t="s">
        <v>23</v>
      </c>
      <c r="AK44" s="19" t="s">
        <v>30</v>
      </c>
      <c r="AL44" s="20" t="s">
        <v>25</v>
      </c>
      <c r="AM44" s="37">
        <f t="shared" si="15"/>
        <v>42</v>
      </c>
      <c r="AN44" s="38" t="str">
        <f t="shared" si="16"/>
        <v>Bosznia-Herc.</v>
      </c>
      <c r="AO44" s="38" t="str">
        <f t="shared" si="17"/>
        <v>Irán</v>
      </c>
      <c r="AP44" s="39">
        <f t="shared" ref="AP44:AQ44" si="249">IF(E44&lt;&gt;"",E44,"")</f>
        <v>3</v>
      </c>
      <c r="AQ44" s="40">
        <f t="shared" si="249"/>
        <v>1</v>
      </c>
      <c r="AR44" s="41" t="str">
        <f t="shared" si="19"/>
        <v/>
      </c>
      <c r="AS44" s="41" t="str">
        <f t="shared" si="20"/>
        <v/>
      </c>
      <c r="AT44" s="42" t="str">
        <f t="shared" si="21"/>
        <v/>
      </c>
      <c r="AU44" s="42" t="str">
        <f t="shared" si="22"/>
        <v/>
      </c>
      <c r="AV44" s="42" t="e">
        <f t="shared" ref="AV44:AW44" si="250">INDEX($AZ$3:$BB$48,MATCH(AN44,$AZ$3:$AZ$48,),3)</f>
        <v>#N/A</v>
      </c>
      <c r="AW44" s="42" t="e">
        <f t="shared" si="250"/>
        <v>#N/A</v>
      </c>
      <c r="AX44" s="42" t="str">
        <f t="shared" si="209"/>
        <v>F</v>
      </c>
      <c r="AY44" s="38"/>
      <c r="AZ44" s="38"/>
      <c r="BA44" s="38"/>
      <c r="BB44" s="33"/>
      <c r="BC44" s="21" t="s">
        <v>97</v>
      </c>
      <c r="BD44" s="22" t="s">
        <v>19</v>
      </c>
      <c r="BE44" s="22" t="s">
        <v>28</v>
      </c>
      <c r="BF44" s="22"/>
      <c r="BG44" s="22" t="s">
        <v>22</v>
      </c>
      <c r="BH44" s="22" t="s">
        <v>23</v>
      </c>
      <c r="BI44" s="22" t="s">
        <v>24</v>
      </c>
      <c r="BJ44" s="23" t="s">
        <v>25</v>
      </c>
      <c r="BK44" s="38"/>
      <c r="BL44" s="47" t="s">
        <v>34</v>
      </c>
      <c r="BM44" s="47" t="s">
        <v>35</v>
      </c>
      <c r="BN44" s="47" t="s">
        <v>36</v>
      </c>
      <c r="BO44" s="47" t="s">
        <v>37</v>
      </c>
      <c r="BP44" s="47" t="s">
        <v>38</v>
      </c>
      <c r="BQ44" s="47" t="s">
        <v>39</v>
      </c>
      <c r="BR44" s="47" t="s">
        <v>40</v>
      </c>
      <c r="BS44" s="14" t="s">
        <v>41</v>
      </c>
      <c r="BT44" s="47" t="s">
        <v>17</v>
      </c>
      <c r="BU44" s="62"/>
    </row>
    <row r="45" spans="1:73" ht="18.75" customHeight="1">
      <c r="A45" s="24">
        <v>43</v>
      </c>
      <c r="B45" s="25">
        <v>41815</v>
      </c>
      <c r="C45" s="26">
        <v>0.91666666666666596</v>
      </c>
      <c r="D45" s="27" t="s">
        <v>68</v>
      </c>
      <c r="E45" s="107">
        <v>0</v>
      </c>
      <c r="F45" s="107">
        <v>3</v>
      </c>
      <c r="G45" s="27" t="s">
        <v>64</v>
      </c>
      <c r="H45" s="28" t="s">
        <v>66</v>
      </c>
      <c r="I45" s="62"/>
      <c r="J45" s="42" t="str">
        <f t="shared" si="0"/>
        <v>0</v>
      </c>
      <c r="K45" s="42">
        <f t="shared" si="1"/>
        <v>3</v>
      </c>
      <c r="L45" s="33"/>
      <c r="M45" s="47">
        <f t="shared" ref="M45:M48" si="251">RANK(AC45,AC$45:AC$48)</f>
        <v>1</v>
      </c>
      <c r="N45" s="47">
        <f t="shared" ref="N45:N48" si="252">RANK(AB45,AB$45:AB$48)</f>
        <v>1</v>
      </c>
      <c r="O45" s="47">
        <f t="shared" ref="O45:O48" si="253">RANK(Z45,Z$45:Z$48)</f>
        <v>2</v>
      </c>
      <c r="P45" s="47">
        <f t="shared" ref="P45:P48" si="254">3125*M45</f>
        <v>3125</v>
      </c>
      <c r="Q45" s="47">
        <f t="shared" ref="Q45:Q48" si="255">625*N45</f>
        <v>625</v>
      </c>
      <c r="R45" s="47">
        <f t="shared" ref="R45:R48" si="256">125*O45</f>
        <v>250</v>
      </c>
      <c r="S45" s="29">
        <f t="shared" ref="S45:S48" si="257">SUM(P45:R45)</f>
        <v>4000</v>
      </c>
      <c r="T45" s="47">
        <f t="shared" ref="T45:T48" si="258">RANK(S45,$S$45:$S$48,1)</f>
        <v>1</v>
      </c>
      <c r="U45" s="47">
        <f t="shared" si="248"/>
        <v>1</v>
      </c>
      <c r="V45" s="64" t="s">
        <v>81</v>
      </c>
      <c r="W45" s="31">
        <f t="shared" ref="W45:W48" si="259">COUNTIFS($D$3:$D$50,$V45,$E$3:$E$50,"&gt;-1")+COUNTIFS($G$3:$G$50,$V45,$F$3:$F$50,"&gt;-1")</f>
        <v>3</v>
      </c>
      <c r="X45" s="31">
        <f>COUNTIFS(hazai,V45,pontH,3)+COUNTIFS(vendeg,V45,pontV,3)</f>
        <v>3</v>
      </c>
      <c r="Y45" s="31">
        <f>COUNTIFS(hazai,V45,pontH,1)+COUNTIFS(vendeg,V45,pontV,1)</f>
        <v>0</v>
      </c>
      <c r="Z45" s="31">
        <f t="shared" ref="Z45:Z48" si="260">SUMIFS($E$3:$E$50,$D$3:$D$50,$V45)+SUMIFS($F$3:$F$50,$G$3:$G$50,$V45)</f>
        <v>4</v>
      </c>
      <c r="AA45" s="31">
        <f t="shared" ref="AA45:AA48" si="261">SUMIFS($F$3:$F$50,$D$3:$D$50,$V45)+SUMIFS($E$3:$E$50,$G$3:$G$50,$V45)</f>
        <v>1</v>
      </c>
      <c r="AB45" s="31">
        <f t="shared" ref="AB45:AB48" si="262">Z45-AA45</f>
        <v>3</v>
      </c>
      <c r="AC45" s="32">
        <f>SUMIF(hazai,$V45,$J$3:$J$50)+SUMIF(vendeg,V45,$K$3:$K$50)</f>
        <v>9</v>
      </c>
      <c r="AD45" s="33">
        <v>1</v>
      </c>
      <c r="AE45" s="34" t="str">
        <f>VLOOKUP(AD45,U45:AC48,2,0)</f>
        <v>Belgium</v>
      </c>
      <c r="AF45" s="35">
        <f>VLOOKUP(AD45,U45:AC48,3,0)</f>
        <v>3</v>
      </c>
      <c r="AG45" s="35">
        <f>VLOOKUP(AD45,U45:AC48,4,0)</f>
        <v>3</v>
      </c>
      <c r="AH45" s="35">
        <f>VLOOKUP(AD45,U45:AC48,5,0)</f>
        <v>0</v>
      </c>
      <c r="AI45" s="35">
        <f>VLOOKUP(AD45,U45:AC48,6,0)</f>
        <v>4</v>
      </c>
      <c r="AJ45" s="35">
        <f>VLOOKUP(AD45,U45:AC48,7,0)</f>
        <v>1</v>
      </c>
      <c r="AK45" s="35">
        <f>VLOOKUP(AD45,U45:AC48,8,0)</f>
        <v>3</v>
      </c>
      <c r="AL45" s="36">
        <f>VLOOKUP(AD45,U45:AC48,9,0)</f>
        <v>9</v>
      </c>
      <c r="AM45" s="37">
        <f t="shared" si="15"/>
        <v>43</v>
      </c>
      <c r="AN45" s="38" t="str">
        <f t="shared" si="16"/>
        <v>Hondurasz</v>
      </c>
      <c r="AO45" s="38" t="str">
        <f t="shared" si="17"/>
        <v>Svájc</v>
      </c>
      <c r="AP45" s="39">
        <f t="shared" ref="AP45:AQ45" si="263">IF(E45&lt;&gt;"",E45,"")</f>
        <v>0</v>
      </c>
      <c r="AQ45" s="40">
        <f t="shared" si="263"/>
        <v>3</v>
      </c>
      <c r="AR45" s="41" t="str">
        <f t="shared" si="19"/>
        <v/>
      </c>
      <c r="AS45" s="41" t="str">
        <f t="shared" si="20"/>
        <v/>
      </c>
      <c r="AT45" s="42" t="str">
        <f t="shared" si="21"/>
        <v/>
      </c>
      <c r="AU45" s="42" t="str">
        <f t="shared" si="22"/>
        <v/>
      </c>
      <c r="AV45" s="42" t="e">
        <f t="shared" ref="AV45:AW45" si="264">INDEX($AZ$3:$BB$48,MATCH(AN45,$AZ$3:$AZ$48,),3)</f>
        <v>#N/A</v>
      </c>
      <c r="AW45" s="42" t="e">
        <f t="shared" si="264"/>
        <v>#N/A</v>
      </c>
      <c r="AX45" s="42" t="str">
        <f t="shared" si="209"/>
        <v>E</v>
      </c>
      <c r="AY45" s="38"/>
      <c r="AZ45" s="43" t="b">
        <f>IF(COUNTIF(T45:T48,T45)&gt;1,V45)</f>
        <v>0</v>
      </c>
      <c r="BA45" s="38"/>
      <c r="BB45" s="33" t="b">
        <f>IF(COUNTIF(T45:T48,T45)&gt;1,T45)</f>
        <v>0</v>
      </c>
      <c r="BC45" s="44" t="s">
        <v>81</v>
      </c>
      <c r="BD45" s="45">
        <f>COUNTIFS(Hee,BC45,eeh,"&gt;-1",$AW$3:$AW$50,BB45)+COUNTIFS(Vee,BC45,eev,"&gt;-1",$AV$3:$AV$50,BB45)</f>
        <v>0</v>
      </c>
      <c r="BE45" s="45">
        <f>COUNTIFS(Hee,BC46,akiH,3,vepontV,BB46)+COUNTIFS(Vee,BC46,akiV,3,epontH,BB46)</f>
        <v>0</v>
      </c>
      <c r="BF45" s="45">
        <f>COUNTIFS(Hee,BC45,akiH,1,vepontV,BB45)+COUNTIFS(Vee,BC45,akiV,1,epontH,BB45)</f>
        <v>0</v>
      </c>
      <c r="BG45" s="45">
        <f>SUMIFS(eeh,Hee,BC45,vepontV,BB45)+SUMIFS(eev,Vee,BC45,epontH,BB45)</f>
        <v>0</v>
      </c>
      <c r="BH45" s="45">
        <f>SUMIFS(eeh,Vee,BC45,epontH,BB45)+SUMIFS(eev,Hee,BC45,vepontV,BB45)</f>
        <v>0</v>
      </c>
      <c r="BI45" s="45">
        <f t="shared" ref="BI45:BI48" si="265">IF(BD45&gt;0,BG45-BH45,0)</f>
        <v>0</v>
      </c>
      <c r="BJ45" s="46">
        <f t="shared" ref="BJ45:BJ48" si="266">BE45*3+BF45</f>
        <v>0</v>
      </c>
      <c r="BK45" s="38"/>
      <c r="BL45" s="47">
        <f t="shared" ref="BL45:BL48" si="267">RANK(BJ45,BJ$39:BJ$42)</f>
        <v>1</v>
      </c>
      <c r="BM45" s="47">
        <f t="shared" ref="BM45:BM48" si="268">RANK(BI45,BI$39:BI$42)</f>
        <v>1</v>
      </c>
      <c r="BN45" s="47">
        <f t="shared" ref="BN45:BN48" si="269">RANK(BG45,BG$39:BG$42)</f>
        <v>1</v>
      </c>
      <c r="BO45" s="47">
        <f t="shared" ref="BO45:BO48" si="270">BL45*25</f>
        <v>25</v>
      </c>
      <c r="BP45" s="47">
        <f t="shared" ref="BP45:BP48" si="271">BM45*5</f>
        <v>5</v>
      </c>
      <c r="BQ45" s="47">
        <f t="shared" ref="BQ45:BQ48" si="272">BN45</f>
        <v>1</v>
      </c>
      <c r="BR45" s="47">
        <v>0.1</v>
      </c>
      <c r="BS45" s="29">
        <f t="shared" ref="BS45:BS48" si="273">SUM(BO45:BR45)+S45</f>
        <v>4031.1</v>
      </c>
      <c r="BT45" s="47">
        <f>RANK(BS45,BS45:BS48,1)</f>
        <v>1</v>
      </c>
      <c r="BU45" s="62"/>
    </row>
    <row r="46" spans="1:73" ht="18.75" customHeight="1">
      <c r="A46" s="24">
        <v>44</v>
      </c>
      <c r="B46" s="25">
        <v>41815</v>
      </c>
      <c r="C46" s="26">
        <v>0.91666666666666596</v>
      </c>
      <c r="D46" s="27" t="s">
        <v>65</v>
      </c>
      <c r="E46" s="107">
        <v>0</v>
      </c>
      <c r="F46" s="107">
        <v>0</v>
      </c>
      <c r="G46" s="27" t="s">
        <v>67</v>
      </c>
      <c r="H46" s="28" t="s">
        <v>66</v>
      </c>
      <c r="I46" s="62"/>
      <c r="J46" s="42">
        <f t="shared" si="0"/>
        <v>1</v>
      </c>
      <c r="K46" s="42">
        <f t="shared" si="1"/>
        <v>1</v>
      </c>
      <c r="L46" s="33"/>
      <c r="M46" s="47">
        <f t="shared" si="251"/>
        <v>2</v>
      </c>
      <c r="N46" s="47">
        <f t="shared" si="252"/>
        <v>2</v>
      </c>
      <c r="O46" s="47">
        <f t="shared" si="253"/>
        <v>1</v>
      </c>
      <c r="P46" s="47">
        <f t="shared" si="254"/>
        <v>6250</v>
      </c>
      <c r="Q46" s="47">
        <f t="shared" si="255"/>
        <v>1250</v>
      </c>
      <c r="R46" s="47">
        <f t="shared" si="256"/>
        <v>125</v>
      </c>
      <c r="S46" s="29">
        <f t="shared" si="257"/>
        <v>7625</v>
      </c>
      <c r="T46" s="47">
        <f t="shared" si="258"/>
        <v>2</v>
      </c>
      <c r="U46" s="47">
        <f t="shared" si="248"/>
        <v>2</v>
      </c>
      <c r="V46" s="64" t="s">
        <v>82</v>
      </c>
      <c r="W46" s="31">
        <f t="shared" si="259"/>
        <v>3</v>
      </c>
      <c r="X46" s="31">
        <f>COUNTIFS(hazai,V46,pontH,3)+COUNTIFS(vendeg,V46,pontV,3)</f>
        <v>1</v>
      </c>
      <c r="Y46" s="31">
        <f>COUNTIFS(hazai,V46,pontH,1)+COUNTIFS(vendeg,V46,pontV,1)</f>
        <v>1</v>
      </c>
      <c r="Z46" s="31">
        <f t="shared" si="260"/>
        <v>6</v>
      </c>
      <c r="AA46" s="31">
        <f t="shared" si="261"/>
        <v>5</v>
      </c>
      <c r="AB46" s="31">
        <f t="shared" si="262"/>
        <v>1</v>
      </c>
      <c r="AC46" s="32">
        <f>SUMIF(hazai,$V46,$J$3:$J$50)+SUMIF(vendeg,V46,$K$3:$K$50)</f>
        <v>4</v>
      </c>
      <c r="AD46" s="33">
        <v>2</v>
      </c>
      <c r="AE46" s="48" t="str">
        <f>VLOOKUP(AD46,U45:AC48,2,0)</f>
        <v>Algéria</v>
      </c>
      <c r="AF46" s="49">
        <f>VLOOKUP(AD46,U45:AC48,3,0)</f>
        <v>3</v>
      </c>
      <c r="AG46" s="49">
        <f>VLOOKUP(AD46,U45:AC48,4,0)</f>
        <v>1</v>
      </c>
      <c r="AH46" s="49">
        <f>VLOOKUP(AD46,U45:AC48,5,0)</f>
        <v>1</v>
      </c>
      <c r="AI46" s="49">
        <f>VLOOKUP(AD46,U45:AC48,6,0)</f>
        <v>6</v>
      </c>
      <c r="AJ46" s="49">
        <f>VLOOKUP(AD46,U45:AC48,7,0)</f>
        <v>5</v>
      </c>
      <c r="AK46" s="49">
        <f>VLOOKUP(AD46,U45:AC48,8,0)</f>
        <v>1</v>
      </c>
      <c r="AL46" s="50">
        <f>VLOOKUP(AD46,U45:AC48,9,0)</f>
        <v>4</v>
      </c>
      <c r="AM46" s="37">
        <f t="shared" si="15"/>
        <v>44</v>
      </c>
      <c r="AN46" s="38" t="str">
        <f t="shared" si="16"/>
        <v>Ecuador</v>
      </c>
      <c r="AO46" s="38" t="str">
        <f t="shared" si="17"/>
        <v>Franciaország</v>
      </c>
      <c r="AP46" s="39">
        <f t="shared" ref="AP46:AQ46" si="274">IF(E46&lt;&gt;"",E46,"")</f>
        <v>0</v>
      </c>
      <c r="AQ46" s="40">
        <f t="shared" si="274"/>
        <v>0</v>
      </c>
      <c r="AR46" s="41" t="str">
        <f t="shared" si="19"/>
        <v/>
      </c>
      <c r="AS46" s="41" t="str">
        <f t="shared" si="20"/>
        <v/>
      </c>
      <c r="AT46" s="42" t="str">
        <f t="shared" si="21"/>
        <v/>
      </c>
      <c r="AU46" s="42" t="str">
        <f t="shared" si="22"/>
        <v/>
      </c>
      <c r="AV46" s="42" t="e">
        <f t="shared" ref="AV46:AW46" si="275">INDEX($AZ$3:$BB$48,MATCH(AN46,$AZ$3:$AZ$48,),3)</f>
        <v>#N/A</v>
      </c>
      <c r="AW46" s="42" t="e">
        <f t="shared" si="275"/>
        <v>#N/A</v>
      </c>
      <c r="AX46" s="42" t="str">
        <f t="shared" si="209"/>
        <v>E</v>
      </c>
      <c r="AY46" s="38"/>
      <c r="AZ46" s="43" t="b">
        <f>IF(COUNTIF(T45:T48,T46)&gt;1,V46)</f>
        <v>0</v>
      </c>
      <c r="BA46" s="38"/>
      <c r="BB46" s="33" t="b">
        <f>IF(COUNTIF(T45:T48,T46)&gt;1,T46)</f>
        <v>0</v>
      </c>
      <c r="BC46" s="44" t="s">
        <v>82</v>
      </c>
      <c r="BD46" s="45">
        <f>COUNTIFS(Hee,BC46,eeh,"&gt;-1",$AW$3:$AW$50,BB46)+COUNTIFS(Vee,BC46,eev,"&gt;-1",$AV$3:$AV$50,BB46)</f>
        <v>0</v>
      </c>
      <c r="BE46" s="45">
        <f>COUNTIFS(Hee,BC47,akiH,3,vepontV,BB47)+COUNTIFS(Vee,BC47,akiV,3,epontH,BB47)</f>
        <v>0</v>
      </c>
      <c r="BF46" s="45">
        <f>COUNTIFS(Hee,BC46,akiH,1,vepontV,BB46)+COUNTIFS(Vee,BC46,akiV,1,epontH,BB46)</f>
        <v>0</v>
      </c>
      <c r="BG46" s="45">
        <f>SUMIFS(eeh,Hee,BC46,vepontV,BB46)+SUMIFS(eev,Vee,BC46,epontH,BB46)</f>
        <v>0</v>
      </c>
      <c r="BH46" s="45">
        <f>SUMIFS(eeh,Vee,BC46,epontH,BB46)+SUMIFS(eev,Hee,BC46,vepontV,BB46)</f>
        <v>0</v>
      </c>
      <c r="BI46" s="45">
        <f t="shared" si="265"/>
        <v>0</v>
      </c>
      <c r="BJ46" s="46">
        <f t="shared" si="266"/>
        <v>0</v>
      </c>
      <c r="BK46" s="38"/>
      <c r="BL46" s="47">
        <f t="shared" si="267"/>
        <v>1</v>
      </c>
      <c r="BM46" s="47">
        <f t="shared" si="268"/>
        <v>1</v>
      </c>
      <c r="BN46" s="47">
        <f t="shared" si="269"/>
        <v>1</v>
      </c>
      <c r="BO46" s="47">
        <f t="shared" si="270"/>
        <v>25</v>
      </c>
      <c r="BP46" s="47">
        <f t="shared" si="271"/>
        <v>5</v>
      </c>
      <c r="BQ46" s="47">
        <f t="shared" si="272"/>
        <v>1</v>
      </c>
      <c r="BR46" s="47">
        <v>0.2</v>
      </c>
      <c r="BS46" s="29">
        <f t="shared" si="273"/>
        <v>7656.2</v>
      </c>
      <c r="BT46" s="47">
        <f>RANK(BS46,BS45:BS48,1)</f>
        <v>2</v>
      </c>
      <c r="BU46" s="62"/>
    </row>
    <row r="47" spans="1:73" ht="18.75" customHeight="1">
      <c r="A47" s="24">
        <v>45</v>
      </c>
      <c r="B47" s="25">
        <v>41816</v>
      </c>
      <c r="C47" s="26">
        <v>0.75</v>
      </c>
      <c r="D47" s="27" t="s">
        <v>80</v>
      </c>
      <c r="E47" s="107">
        <v>0</v>
      </c>
      <c r="F47" s="107">
        <v>1</v>
      </c>
      <c r="G47" s="27" t="s">
        <v>72</v>
      </c>
      <c r="H47" s="28" t="s">
        <v>74</v>
      </c>
      <c r="I47" s="62"/>
      <c r="J47" s="42" t="str">
        <f t="shared" si="0"/>
        <v>0</v>
      </c>
      <c r="K47" s="42">
        <f t="shared" si="1"/>
        <v>3</v>
      </c>
      <c r="L47" s="33"/>
      <c r="M47" s="47">
        <f t="shared" si="251"/>
        <v>3</v>
      </c>
      <c r="N47" s="47">
        <f t="shared" si="252"/>
        <v>3</v>
      </c>
      <c r="O47" s="47">
        <f t="shared" si="253"/>
        <v>4</v>
      </c>
      <c r="P47" s="47">
        <f t="shared" si="254"/>
        <v>9375</v>
      </c>
      <c r="Q47" s="47">
        <f t="shared" si="255"/>
        <v>1875</v>
      </c>
      <c r="R47" s="47">
        <f t="shared" si="256"/>
        <v>500</v>
      </c>
      <c r="S47" s="29">
        <f t="shared" si="257"/>
        <v>11750</v>
      </c>
      <c r="T47" s="47">
        <f t="shared" si="258"/>
        <v>3</v>
      </c>
      <c r="U47" s="47">
        <f t="shared" si="248"/>
        <v>3</v>
      </c>
      <c r="V47" s="64" t="s">
        <v>83</v>
      </c>
      <c r="W47" s="31">
        <f t="shared" si="259"/>
        <v>3</v>
      </c>
      <c r="X47" s="31">
        <f>COUNTIFS(hazai,V47,pontH,3)+COUNTIFS(vendeg,V47,pontV,3)</f>
        <v>0</v>
      </c>
      <c r="Y47" s="31">
        <f>COUNTIFS(hazai,V47,pontH,1)+COUNTIFS(vendeg,V47,pontV,1)</f>
        <v>2</v>
      </c>
      <c r="Z47" s="31">
        <f t="shared" si="260"/>
        <v>2</v>
      </c>
      <c r="AA47" s="31">
        <f t="shared" si="261"/>
        <v>3</v>
      </c>
      <c r="AB47" s="31">
        <f t="shared" si="262"/>
        <v>-1</v>
      </c>
      <c r="AC47" s="32">
        <f>SUMIF(hazai,$V47,$J$3:$J$50)+SUMIF(vendeg,V47,$K$3:$K$50)</f>
        <v>2</v>
      </c>
      <c r="AD47" s="33">
        <v>3</v>
      </c>
      <c r="AE47" s="51" t="str">
        <f>VLOOKUP(AD47,U45:AC48,2,0)</f>
        <v>Oroszország</v>
      </c>
      <c r="AF47" s="52">
        <f>VLOOKUP(AD47,U45:AC48,3,0)</f>
        <v>3</v>
      </c>
      <c r="AG47" s="52">
        <f>VLOOKUP(AD47,U45:AC48,4,0)</f>
        <v>0</v>
      </c>
      <c r="AH47" s="52">
        <f>VLOOKUP(AD47,U45:AC48,5,0)</f>
        <v>2</v>
      </c>
      <c r="AI47" s="52">
        <f>VLOOKUP(AD47,U45:AC48,6,0)</f>
        <v>2</v>
      </c>
      <c r="AJ47" s="52">
        <f>VLOOKUP(AD47,U45:AC48,7,0)</f>
        <v>3</v>
      </c>
      <c r="AK47" s="52">
        <f>VLOOKUP(AD47,U45:AC48,8,0)</f>
        <v>-1</v>
      </c>
      <c r="AL47" s="53">
        <f>VLOOKUP(AD47,U45:AC48,9,0)</f>
        <v>2</v>
      </c>
      <c r="AM47" s="37">
        <f t="shared" si="15"/>
        <v>45</v>
      </c>
      <c r="AN47" s="38" t="str">
        <f t="shared" si="16"/>
        <v>USA</v>
      </c>
      <c r="AO47" s="38" t="str">
        <f t="shared" si="17"/>
        <v>Németország</v>
      </c>
      <c r="AP47" s="39">
        <f t="shared" ref="AP47:AQ47" si="276">IF(E47&lt;&gt;"",E47,"")</f>
        <v>0</v>
      </c>
      <c r="AQ47" s="40">
        <f t="shared" si="276"/>
        <v>1</v>
      </c>
      <c r="AR47" s="41" t="str">
        <f t="shared" si="19"/>
        <v/>
      </c>
      <c r="AS47" s="41" t="str">
        <f t="shared" si="20"/>
        <v/>
      </c>
      <c r="AT47" s="42" t="str">
        <f t="shared" si="21"/>
        <v/>
      </c>
      <c r="AU47" s="42" t="str">
        <f t="shared" si="22"/>
        <v/>
      </c>
      <c r="AV47" s="42" t="e">
        <f t="shared" ref="AV47:AW47" si="277">INDEX($AZ$3:$BB$48,MATCH(AN47,$AZ$3:$AZ$48,),3)</f>
        <v>#N/A</v>
      </c>
      <c r="AW47" s="42" t="e">
        <f t="shared" si="277"/>
        <v>#N/A</v>
      </c>
      <c r="AX47" s="42" t="str">
        <f t="shared" si="209"/>
        <v>G</v>
      </c>
      <c r="AY47" s="38"/>
      <c r="AZ47" s="43" t="b">
        <f>IF(COUNTIF(T45:T48,T47)&gt;1,V47)</f>
        <v>0</v>
      </c>
      <c r="BA47" s="38"/>
      <c r="BB47" s="33" t="b">
        <f>IF(COUNTIF(T45:T48,T47)&gt;1,T47)</f>
        <v>0</v>
      </c>
      <c r="BC47" s="44" t="s">
        <v>83</v>
      </c>
      <c r="BD47" s="45">
        <f>COUNTIFS(Hee,BC47,eeh,"&gt;-1",$AW$3:$AW$50,BB47)+COUNTIFS(Vee,BC47,eev,"&gt;-1",$AV$3:$AV$50,BB47)</f>
        <v>0</v>
      </c>
      <c r="BE47" s="45">
        <f>COUNTIFS(Hee,BC48,akiH,3,vepontV,BB48)+COUNTIFS(Vee,BC48,akiV,3,epontH,BB48)</f>
        <v>0</v>
      </c>
      <c r="BF47" s="45">
        <f>COUNTIFS(Hee,BC47,akiH,1,vepontV,BB47)+COUNTIFS(Vee,BC47,akiV,1,epontH,BB47)</f>
        <v>0</v>
      </c>
      <c r="BG47" s="45">
        <f>SUMIFS(eeh,Hee,BC47,vepontV,BB47)+SUMIFS(eev,Vee,BC47,epontH,BB47)</f>
        <v>0</v>
      </c>
      <c r="BH47" s="45">
        <f>SUMIFS(eeh,Vee,BC47,epontH,BB47)+SUMIFS(eev,Hee,BC47,vepontV,BB47)</f>
        <v>0</v>
      </c>
      <c r="BI47" s="45">
        <f t="shared" si="265"/>
        <v>0</v>
      </c>
      <c r="BJ47" s="46">
        <f t="shared" si="266"/>
        <v>0</v>
      </c>
      <c r="BK47" s="38"/>
      <c r="BL47" s="47">
        <f t="shared" si="267"/>
        <v>1</v>
      </c>
      <c r="BM47" s="47">
        <f t="shared" si="268"/>
        <v>1</v>
      </c>
      <c r="BN47" s="47">
        <f t="shared" si="269"/>
        <v>1</v>
      </c>
      <c r="BO47" s="47">
        <f t="shared" si="270"/>
        <v>25</v>
      </c>
      <c r="BP47" s="47">
        <f t="shared" si="271"/>
        <v>5</v>
      </c>
      <c r="BQ47" s="47">
        <f t="shared" si="272"/>
        <v>1</v>
      </c>
      <c r="BR47" s="47">
        <v>0.3</v>
      </c>
      <c r="BS47" s="29">
        <f t="shared" si="273"/>
        <v>11781.3</v>
      </c>
      <c r="BT47" s="47">
        <f>RANK(BS47,BS45:BS48,1)</f>
        <v>3</v>
      </c>
      <c r="BU47" s="62"/>
    </row>
    <row r="48" spans="1:73" ht="18.75" customHeight="1">
      <c r="A48" s="24">
        <v>46</v>
      </c>
      <c r="B48" s="25">
        <v>41816</v>
      </c>
      <c r="C48" s="26">
        <v>0.75</v>
      </c>
      <c r="D48" s="27" t="s">
        <v>73</v>
      </c>
      <c r="E48" s="107">
        <v>2</v>
      </c>
      <c r="F48" s="107">
        <v>1</v>
      </c>
      <c r="G48" s="27" t="s">
        <v>79</v>
      </c>
      <c r="H48" s="28" t="s">
        <v>74</v>
      </c>
      <c r="I48" s="62"/>
      <c r="J48" s="42">
        <f t="shared" si="0"/>
        <v>3</v>
      </c>
      <c r="K48" s="42" t="str">
        <f t="shared" si="1"/>
        <v>0</v>
      </c>
      <c r="L48" s="33"/>
      <c r="M48" s="47">
        <f t="shared" si="251"/>
        <v>4</v>
      </c>
      <c r="N48" s="47">
        <f t="shared" si="252"/>
        <v>4</v>
      </c>
      <c r="O48" s="47">
        <f t="shared" si="253"/>
        <v>3</v>
      </c>
      <c r="P48" s="47">
        <f t="shared" si="254"/>
        <v>12500</v>
      </c>
      <c r="Q48" s="47">
        <f t="shared" si="255"/>
        <v>2500</v>
      </c>
      <c r="R48" s="47">
        <f t="shared" si="256"/>
        <v>375</v>
      </c>
      <c r="S48" s="29">
        <f t="shared" si="257"/>
        <v>15375</v>
      </c>
      <c r="T48" s="47">
        <f t="shared" si="258"/>
        <v>4</v>
      </c>
      <c r="U48" s="47">
        <f t="shared" si="248"/>
        <v>4</v>
      </c>
      <c r="V48" s="64" t="s">
        <v>84</v>
      </c>
      <c r="W48" s="55">
        <f t="shared" si="259"/>
        <v>3</v>
      </c>
      <c r="X48" s="55">
        <f>COUNTIFS(hazai,V48,pontH,3)+COUNTIFS(vendeg,V48,pontV,3)</f>
        <v>0</v>
      </c>
      <c r="Y48" s="31">
        <f>COUNTIFS(hazai,V48,pontH,1)+COUNTIFS(vendeg,V48,pontV,1)</f>
        <v>1</v>
      </c>
      <c r="Z48" s="55">
        <f t="shared" si="260"/>
        <v>3</v>
      </c>
      <c r="AA48" s="55">
        <f t="shared" si="261"/>
        <v>6</v>
      </c>
      <c r="AB48" s="55">
        <f t="shared" si="262"/>
        <v>-3</v>
      </c>
      <c r="AC48" s="56">
        <f>SUMIF(hazai,$V48,$J$3:$J$50)+SUMIF(vendeg,V48,$K$3:$K$50)</f>
        <v>1</v>
      </c>
      <c r="AD48" s="33">
        <v>4</v>
      </c>
      <c r="AE48" s="57" t="str">
        <f>VLOOKUP(AD48,U45:AC48,2,0)</f>
        <v>Dél-Korea</v>
      </c>
      <c r="AF48" s="58">
        <f>VLOOKUP(AD48,U45:AC48,3,0)</f>
        <v>3</v>
      </c>
      <c r="AG48" s="58">
        <f>VLOOKUP(AD48,U45:AC48,4,0)</f>
        <v>0</v>
      </c>
      <c r="AH48" s="58">
        <f>VLOOKUP(AD48,U45:AC48,5,0)</f>
        <v>1</v>
      </c>
      <c r="AI48" s="58">
        <f>VLOOKUP(AD48,U45:AC48,6,0)</f>
        <v>3</v>
      </c>
      <c r="AJ48" s="58">
        <f>VLOOKUP(AD48,U45:AC48,7,0)</f>
        <v>6</v>
      </c>
      <c r="AK48" s="58">
        <f>VLOOKUP(AD48,U45:AC48,8,0)</f>
        <v>-3</v>
      </c>
      <c r="AL48" s="59">
        <f>VLOOKUP(AD48,U45:AC48,9,0)</f>
        <v>1</v>
      </c>
      <c r="AM48" s="37">
        <f t="shared" si="15"/>
        <v>46</v>
      </c>
      <c r="AN48" s="38" t="str">
        <f t="shared" si="16"/>
        <v>Portugália</v>
      </c>
      <c r="AO48" s="38" t="str">
        <f t="shared" si="17"/>
        <v>Ghána</v>
      </c>
      <c r="AP48" s="39">
        <f t="shared" ref="AP48:AQ48" si="278">IF(E48&lt;&gt;"",E48,"")</f>
        <v>2</v>
      </c>
      <c r="AQ48" s="40">
        <f t="shared" si="278"/>
        <v>1</v>
      </c>
      <c r="AR48" s="41" t="str">
        <f t="shared" si="19"/>
        <v/>
      </c>
      <c r="AS48" s="41" t="str">
        <f t="shared" si="20"/>
        <v/>
      </c>
      <c r="AT48" s="42" t="str">
        <f t="shared" si="21"/>
        <v/>
      </c>
      <c r="AU48" s="42" t="str">
        <f t="shared" si="22"/>
        <v/>
      </c>
      <c r="AV48" s="42" t="e">
        <f t="shared" ref="AV48:AW48" si="279">INDEX($AZ$3:$BB$48,MATCH(AN48,$AZ$3:$AZ$48,),3)</f>
        <v>#N/A</v>
      </c>
      <c r="AW48" s="42" t="e">
        <f t="shared" si="279"/>
        <v>#N/A</v>
      </c>
      <c r="AX48" s="42" t="str">
        <f t="shared" si="209"/>
        <v>G</v>
      </c>
      <c r="AY48" s="38"/>
      <c r="AZ48" s="43" t="b">
        <f>IF(COUNTIF(T45:T48,T48)&gt;1,V48)</f>
        <v>0</v>
      </c>
      <c r="BA48" s="38"/>
      <c r="BB48" s="33" t="b">
        <f>IF(COUNTIF(T45:T48,T48)&gt;1,T48)</f>
        <v>0</v>
      </c>
      <c r="BC48" s="60" t="s">
        <v>84</v>
      </c>
      <c r="BD48" s="45">
        <f>COUNTIFS(Hee,BC48,eeh,"&gt;-1",$AW$3:$AW$50,BB48)+COUNTIFS(Vee,BC48,eev,"&gt;-1",$AV$3:$AV$50,BB48)</f>
        <v>0</v>
      </c>
      <c r="BE48" s="45">
        <f>COUNTIFS(Hee,BC49,akiH,3,vepontV,BB49)+COUNTIFS(Vee,BC49,akiV,3,epontH,BB49)</f>
        <v>0</v>
      </c>
      <c r="BF48" s="45">
        <f>COUNTIFS(Hee,BC48,akiH,1,vepontV,BB48)+COUNTIFS(Vee,BC48,akiV,1,epontH,BB48)</f>
        <v>0</v>
      </c>
      <c r="BG48" s="45">
        <f>SUMIFS(eeh,Hee,BC48,vepontV,BB48)+SUMIFS(eev,Vee,BC48,epontH,BB48)</f>
        <v>0</v>
      </c>
      <c r="BH48" s="45">
        <f>SUMIFS(eeh,Vee,BC48,epontH,BB48)+SUMIFS(eev,Hee,BC48,vepontV,BB48)</f>
        <v>0</v>
      </c>
      <c r="BI48" s="45">
        <f t="shared" si="265"/>
        <v>0</v>
      </c>
      <c r="BJ48" s="46">
        <f t="shared" si="266"/>
        <v>0</v>
      </c>
      <c r="BK48" s="38"/>
      <c r="BL48" s="47">
        <f t="shared" si="267"/>
        <v>1</v>
      </c>
      <c r="BM48" s="47">
        <f t="shared" si="268"/>
        <v>1</v>
      </c>
      <c r="BN48" s="47">
        <f t="shared" si="269"/>
        <v>1</v>
      </c>
      <c r="BO48" s="47">
        <f t="shared" si="270"/>
        <v>25</v>
      </c>
      <c r="BP48" s="47">
        <f t="shared" si="271"/>
        <v>5</v>
      </c>
      <c r="BQ48" s="47">
        <f t="shared" si="272"/>
        <v>1</v>
      </c>
      <c r="BR48" s="47">
        <v>0.4</v>
      </c>
      <c r="BS48" s="29">
        <f t="shared" si="273"/>
        <v>15406.4</v>
      </c>
      <c r="BT48" s="47">
        <f>RANK(BS48,BS45:BS48,1)</f>
        <v>4</v>
      </c>
      <c r="BU48" s="62"/>
    </row>
    <row r="49" spans="1:73" ht="18.75" customHeight="1">
      <c r="A49" s="24">
        <v>47</v>
      </c>
      <c r="B49" s="25">
        <v>41816</v>
      </c>
      <c r="C49" s="26">
        <v>0.91666666666666596</v>
      </c>
      <c r="D49" s="27" t="s">
        <v>84</v>
      </c>
      <c r="E49" s="107">
        <v>0</v>
      </c>
      <c r="F49" s="107">
        <v>1</v>
      </c>
      <c r="G49" s="27" t="s">
        <v>81</v>
      </c>
      <c r="H49" s="28" t="s">
        <v>7</v>
      </c>
      <c r="I49" s="62"/>
      <c r="J49" s="42" t="str">
        <f t="shared" si="0"/>
        <v>0</v>
      </c>
      <c r="K49" s="42">
        <f t="shared" si="1"/>
        <v>3</v>
      </c>
      <c r="L49" s="33"/>
      <c r="M49" s="7"/>
      <c r="N49" s="7"/>
      <c r="O49" s="7"/>
      <c r="P49" s="7"/>
      <c r="Q49" s="7"/>
      <c r="R49" s="7"/>
      <c r="S49" s="7"/>
      <c r="T49" s="7"/>
      <c r="U49" s="7"/>
      <c r="V49" s="38"/>
      <c r="W49" s="38"/>
      <c r="X49" s="38"/>
      <c r="Y49" s="38"/>
      <c r="Z49" s="38"/>
      <c r="AA49" s="38"/>
      <c r="AB49" s="38"/>
      <c r="AC49" s="38"/>
      <c r="AD49" s="33"/>
      <c r="AE49" s="62"/>
      <c r="AF49" s="62"/>
      <c r="AG49" s="62"/>
      <c r="AH49" s="62"/>
      <c r="AI49" s="62"/>
      <c r="AJ49" s="62"/>
      <c r="AK49" s="62"/>
      <c r="AL49" s="62"/>
      <c r="AM49" s="62">
        <f t="shared" si="15"/>
        <v>47</v>
      </c>
      <c r="AN49" s="62" t="str">
        <f t="shared" si="16"/>
        <v>Dél-Korea</v>
      </c>
      <c r="AO49" s="62" t="str">
        <f t="shared" si="17"/>
        <v>Belgium</v>
      </c>
      <c r="AP49" s="62">
        <f t="shared" ref="AP49:AQ49" si="280">IF(E49&lt;&gt;"",E49,"")</f>
        <v>0</v>
      </c>
      <c r="AQ49" s="62">
        <f t="shared" si="280"/>
        <v>1</v>
      </c>
      <c r="AR49" s="62" t="str">
        <f t="shared" si="19"/>
        <v/>
      </c>
      <c r="AS49" s="62" t="str">
        <f t="shared" si="20"/>
        <v/>
      </c>
      <c r="AT49" s="62" t="str">
        <f t="shared" si="21"/>
        <v/>
      </c>
      <c r="AU49" s="62" t="str">
        <f t="shared" si="22"/>
        <v/>
      </c>
      <c r="AV49" s="62" t="e">
        <f t="shared" ref="AV49:AW49" si="281">INDEX($AZ$3:$BB$48,MATCH(AN49,$AZ$3:$AZ$48,),3)</f>
        <v>#N/A</v>
      </c>
      <c r="AW49" s="62" t="e">
        <f t="shared" si="281"/>
        <v>#N/A</v>
      </c>
      <c r="AX49" s="62" t="str">
        <f t="shared" si="209"/>
        <v>H</v>
      </c>
      <c r="AY49" s="62"/>
      <c r="AZ49" s="62"/>
      <c r="BA49" s="62"/>
      <c r="BB49" s="62"/>
      <c r="BC49" s="62"/>
      <c r="BD49" s="62"/>
      <c r="BE49" s="62"/>
      <c r="BF49" s="62"/>
      <c r="BG49" s="62"/>
      <c r="BH49" s="62"/>
      <c r="BI49" s="62"/>
      <c r="BJ49" s="62"/>
      <c r="BK49" s="62"/>
      <c r="BL49" s="62"/>
      <c r="BM49" s="62"/>
      <c r="BN49" s="62"/>
      <c r="BO49" s="62"/>
      <c r="BP49" s="62"/>
      <c r="BQ49" s="62"/>
      <c r="BR49" s="62"/>
      <c r="BS49" s="62"/>
      <c r="BT49" s="62"/>
      <c r="BU49" s="62"/>
    </row>
    <row r="50" spans="1:73" ht="18.75" customHeight="1">
      <c r="A50" s="24">
        <v>48</v>
      </c>
      <c r="B50" s="25">
        <v>41816</v>
      </c>
      <c r="C50" s="26">
        <v>0.91666666666666596</v>
      </c>
      <c r="D50" s="27" t="s">
        <v>82</v>
      </c>
      <c r="E50" s="107">
        <v>1</v>
      </c>
      <c r="F50" s="107">
        <v>1</v>
      </c>
      <c r="G50" s="27" t="s">
        <v>83</v>
      </c>
      <c r="H50" s="28" t="s">
        <v>7</v>
      </c>
      <c r="I50" s="62"/>
      <c r="J50" s="42">
        <f t="shared" si="0"/>
        <v>1</v>
      </c>
      <c r="K50" s="42">
        <f t="shared" si="1"/>
        <v>1</v>
      </c>
      <c r="L50" s="33"/>
      <c r="M50" s="7"/>
      <c r="N50" s="7"/>
      <c r="O50" s="7"/>
      <c r="P50" s="7"/>
      <c r="Q50" s="7"/>
      <c r="R50" s="7"/>
      <c r="S50" s="7"/>
      <c r="T50" s="7"/>
      <c r="U50" s="7"/>
      <c r="V50" s="38"/>
      <c r="W50" s="38"/>
      <c r="X50" s="38"/>
      <c r="Y50" s="38"/>
      <c r="Z50" s="38"/>
      <c r="AA50" s="38"/>
      <c r="AB50" s="38"/>
      <c r="AC50" s="38"/>
      <c r="AD50" s="33"/>
      <c r="AE50" s="62"/>
      <c r="AF50" s="62"/>
      <c r="AG50" s="62"/>
      <c r="AH50" s="62"/>
      <c r="AI50" s="62"/>
      <c r="AJ50" s="62"/>
      <c r="AK50" s="62"/>
      <c r="AL50" s="62"/>
      <c r="AM50" s="62">
        <f t="shared" si="15"/>
        <v>48</v>
      </c>
      <c r="AN50" s="62" t="str">
        <f t="shared" si="16"/>
        <v>Algéria</v>
      </c>
      <c r="AO50" s="62" t="str">
        <f t="shared" si="17"/>
        <v>Oroszország</v>
      </c>
      <c r="AP50" s="62">
        <f t="shared" ref="AP50:AQ50" si="282">IF(E50&lt;&gt;"",E50,"")</f>
        <v>1</v>
      </c>
      <c r="AQ50" s="62">
        <f t="shared" si="282"/>
        <v>1</v>
      </c>
      <c r="AR50" s="62" t="str">
        <f t="shared" si="19"/>
        <v/>
      </c>
      <c r="AS50" s="62" t="str">
        <f t="shared" si="20"/>
        <v/>
      </c>
      <c r="AT50" s="62" t="str">
        <f t="shared" si="21"/>
        <v/>
      </c>
      <c r="AU50" s="62" t="str">
        <f t="shared" si="22"/>
        <v/>
      </c>
      <c r="AV50" s="62" t="e">
        <f t="shared" ref="AV50:AW50" si="283">INDEX($AZ$3:$BB$48,MATCH(AN50,$AZ$3:$AZ$48,),3)</f>
        <v>#N/A</v>
      </c>
      <c r="AW50" s="62" t="e">
        <f t="shared" si="283"/>
        <v>#N/A</v>
      </c>
      <c r="AX50" s="62" t="str">
        <f t="shared" si="209"/>
        <v>H</v>
      </c>
      <c r="AY50" s="62"/>
      <c r="AZ50" s="62"/>
      <c r="BA50" s="62"/>
      <c r="BB50" s="62"/>
      <c r="BC50" s="62"/>
      <c r="BD50" s="62"/>
      <c r="BE50" s="62"/>
      <c r="BF50" s="62"/>
      <c r="BG50" s="62"/>
      <c r="BH50" s="62"/>
      <c r="BI50" s="62"/>
      <c r="BJ50" s="62"/>
      <c r="BK50" s="62"/>
      <c r="BL50" s="62"/>
      <c r="BM50" s="62"/>
      <c r="BN50" s="62"/>
      <c r="BO50" s="62"/>
      <c r="BP50" s="62"/>
      <c r="BQ50" s="62"/>
      <c r="BR50" s="62"/>
      <c r="BS50" s="62"/>
      <c r="BT50" s="62"/>
      <c r="BU50" s="62"/>
    </row>
    <row r="51" spans="1:73" ht="18.75" customHeight="1">
      <c r="A51" s="24"/>
      <c r="B51" s="68"/>
      <c r="C51" s="69"/>
      <c r="D51" s="70"/>
      <c r="E51" s="71"/>
      <c r="F51" s="71"/>
      <c r="G51" s="70"/>
      <c r="H51" s="72"/>
      <c r="I51" s="73"/>
      <c r="J51" s="33"/>
      <c r="K51" s="33"/>
      <c r="L51" s="33"/>
      <c r="M51" s="7"/>
      <c r="N51" s="7"/>
      <c r="O51" s="7"/>
      <c r="P51" s="7"/>
      <c r="Q51" s="7"/>
      <c r="R51" s="7"/>
      <c r="S51" s="7"/>
      <c r="T51" s="7"/>
      <c r="U51" s="7"/>
      <c r="V51" s="38"/>
      <c r="W51" s="38"/>
      <c r="X51" s="38"/>
      <c r="Y51" s="38"/>
      <c r="Z51" s="38"/>
      <c r="AA51" s="38"/>
      <c r="AB51" s="38"/>
      <c r="AC51" s="38"/>
      <c r="AD51" s="33"/>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c r="BE51" s="62"/>
      <c r="BF51" s="62"/>
      <c r="BG51" s="62"/>
      <c r="BH51" s="62"/>
      <c r="BI51" s="62"/>
      <c r="BJ51" s="62"/>
      <c r="BK51" s="62"/>
      <c r="BL51" s="62"/>
      <c r="BM51" s="62"/>
      <c r="BN51" s="62"/>
      <c r="BO51" s="62"/>
      <c r="BP51" s="62"/>
      <c r="BQ51" s="62"/>
      <c r="BR51" s="62"/>
      <c r="BS51" s="62"/>
      <c r="BT51" s="62"/>
      <c r="BU51" s="62"/>
    </row>
    <row r="52" spans="1:73" ht="18.75" customHeight="1">
      <c r="A52" s="24"/>
      <c r="B52" s="74"/>
      <c r="C52" s="75"/>
      <c r="D52" s="76"/>
      <c r="E52" s="76" t="s">
        <v>99</v>
      </c>
      <c r="F52" s="77"/>
      <c r="G52" s="76"/>
      <c r="H52" s="127" t="s">
        <v>100</v>
      </c>
      <c r="I52" s="128"/>
      <c r="J52" s="33"/>
      <c r="K52" s="33"/>
      <c r="L52" s="33"/>
      <c r="M52" s="7"/>
      <c r="N52" s="7"/>
      <c r="O52" s="7"/>
      <c r="P52" s="7"/>
      <c r="Q52" s="7"/>
      <c r="R52" s="7"/>
      <c r="S52" s="7"/>
      <c r="T52" s="7"/>
      <c r="U52" s="7"/>
      <c r="V52" s="38"/>
      <c r="W52" s="38"/>
      <c r="X52" s="38"/>
      <c r="Y52" s="38"/>
      <c r="Z52" s="38"/>
      <c r="AA52" s="38"/>
      <c r="AB52" s="38"/>
      <c r="AC52" s="38"/>
      <c r="AD52" s="33"/>
      <c r="AE52" s="62"/>
      <c r="AF52" s="78"/>
      <c r="AG52" s="78"/>
      <c r="AH52" s="78"/>
      <c r="AI52" s="78"/>
      <c r="AJ52" s="78"/>
      <c r="AK52" s="78"/>
      <c r="AL52" s="62"/>
      <c r="AM52" s="38"/>
      <c r="AN52" s="38"/>
      <c r="AO52" s="38"/>
      <c r="AP52" s="38"/>
      <c r="AQ52" s="38"/>
      <c r="AR52" s="33"/>
      <c r="AS52" s="33"/>
      <c r="AT52" s="33"/>
      <c r="AU52" s="33"/>
      <c r="AV52" s="33"/>
      <c r="AW52" s="33"/>
      <c r="AX52" s="33"/>
      <c r="AY52" s="38"/>
      <c r="AZ52" s="38"/>
      <c r="BA52" s="38"/>
      <c r="BB52" s="33"/>
      <c r="BC52" s="38"/>
      <c r="BD52" s="38"/>
      <c r="BE52" s="38"/>
      <c r="BF52" s="38"/>
      <c r="BG52" s="38"/>
      <c r="BH52" s="38"/>
      <c r="BI52" s="38"/>
      <c r="BJ52" s="38"/>
      <c r="BK52" s="38"/>
      <c r="BL52" s="7"/>
      <c r="BM52" s="7"/>
      <c r="BN52" s="7"/>
      <c r="BO52" s="7"/>
      <c r="BP52" s="7"/>
      <c r="BQ52" s="7"/>
      <c r="BR52" s="7"/>
      <c r="BS52" s="38"/>
      <c r="BT52" s="38"/>
      <c r="BU52" s="62"/>
    </row>
    <row r="53" spans="1:73" ht="18.75" customHeight="1">
      <c r="A53" s="24">
        <v>49</v>
      </c>
      <c r="B53" s="25">
        <v>41818</v>
      </c>
      <c r="C53" s="26">
        <v>0.75</v>
      </c>
      <c r="D53" s="79" t="str">
        <f>IF(SUM(W3:W6)=12,$AE3,"A csoport győztese")</f>
        <v>Brazília</v>
      </c>
      <c r="E53" s="81">
        <v>1</v>
      </c>
      <c r="F53" s="81">
        <v>1</v>
      </c>
      <c r="G53" s="79" t="str">
        <f>IF(SUM(W9:W12)=12,$AE10,"B csop. 2. helyezett")</f>
        <v>Chile</v>
      </c>
      <c r="H53" s="81">
        <v>3</v>
      </c>
      <c r="I53" s="82">
        <v>2</v>
      </c>
      <c r="J53" s="80" t="str">
        <f t="shared" ref="J53:J60" si="284">IF(ISNUMBER(E53),IF(E53+H53&gt;F53+I53,D53,G53),0)</f>
        <v>Brazília</v>
      </c>
      <c r="K53" s="80"/>
      <c r="L53" s="33"/>
      <c r="M53" s="7"/>
      <c r="N53" s="7"/>
      <c r="O53" s="7"/>
      <c r="P53" s="7"/>
      <c r="Q53" s="7"/>
      <c r="R53" s="7"/>
      <c r="S53" s="7"/>
      <c r="T53" s="7"/>
      <c r="U53" s="7"/>
      <c r="V53" s="38"/>
      <c r="W53" s="38"/>
      <c r="X53" s="38"/>
      <c r="Y53" s="38"/>
      <c r="Z53" s="38"/>
      <c r="AA53" s="38"/>
      <c r="AB53" s="38"/>
      <c r="AC53" s="38"/>
      <c r="AD53" s="33"/>
      <c r="AE53" s="62"/>
      <c r="AF53" s="62"/>
      <c r="AG53" s="62"/>
      <c r="AH53" s="62"/>
      <c r="AI53" s="62"/>
      <c r="AJ53" s="62"/>
      <c r="AK53" s="62"/>
      <c r="AL53" s="62"/>
      <c r="AM53" s="38"/>
      <c r="AN53" s="38"/>
      <c r="AO53" s="38"/>
      <c r="AP53" s="38"/>
      <c r="AQ53" s="38"/>
      <c r="AR53" s="33"/>
      <c r="AS53" s="33"/>
      <c r="AT53" s="33"/>
      <c r="AU53" s="33"/>
      <c r="AV53" s="33"/>
      <c r="AW53" s="33"/>
      <c r="AX53" s="33"/>
      <c r="AY53" s="38"/>
      <c r="AZ53" s="38"/>
      <c r="BA53" s="38"/>
      <c r="BB53" s="33"/>
      <c r="BC53" s="38"/>
      <c r="BD53" s="38"/>
      <c r="BE53" s="38"/>
      <c r="BF53" s="38"/>
      <c r="BG53" s="38"/>
      <c r="BH53" s="38"/>
      <c r="BI53" s="38"/>
      <c r="BJ53" s="38"/>
      <c r="BK53" s="38"/>
      <c r="BL53" s="7"/>
      <c r="BM53" s="7"/>
      <c r="BN53" s="7"/>
      <c r="BO53" s="7"/>
      <c r="BP53" s="7"/>
      <c r="BQ53" s="7"/>
      <c r="BR53" s="7"/>
      <c r="BS53" s="38"/>
      <c r="BT53" s="38"/>
      <c r="BU53" s="62"/>
    </row>
    <row r="54" spans="1:73" ht="18.75" customHeight="1">
      <c r="A54" s="24">
        <v>50</v>
      </c>
      <c r="B54" s="25">
        <v>41818</v>
      </c>
      <c r="C54" s="26">
        <v>0.91666666666666596</v>
      </c>
      <c r="D54" s="79" t="str">
        <f>IF(SUM(W15:W18)=12,$AE15,"C csoport győztese")</f>
        <v>Kolumbia</v>
      </c>
      <c r="E54" s="81">
        <v>2</v>
      </c>
      <c r="F54" s="81">
        <v>0</v>
      </c>
      <c r="G54" s="79" t="str">
        <f>IF(SUM(W21:W24)=12,$AE22,"D csop. 2. helyezett")</f>
        <v>Uruguay</v>
      </c>
      <c r="H54" s="81"/>
      <c r="I54" s="82"/>
      <c r="J54" s="80" t="str">
        <f t="shared" si="284"/>
        <v>Kolumbia</v>
      </c>
      <c r="K54" s="80"/>
      <c r="L54" s="33"/>
      <c r="M54" s="7"/>
      <c r="N54" s="7"/>
      <c r="O54" s="7"/>
      <c r="P54" s="7"/>
      <c r="Q54" s="7"/>
      <c r="R54" s="7"/>
      <c r="S54" s="7"/>
      <c r="T54" s="7"/>
      <c r="U54" s="7"/>
      <c r="V54" s="38"/>
      <c r="W54" s="38"/>
      <c r="X54" s="38"/>
      <c r="Y54" s="38"/>
      <c r="Z54" s="38"/>
      <c r="AA54" s="38"/>
      <c r="AB54" s="38"/>
      <c r="AC54" s="38"/>
      <c r="AD54" s="33"/>
      <c r="AE54" s="62"/>
      <c r="AF54" s="62"/>
      <c r="AG54" s="62"/>
      <c r="AH54" s="62"/>
      <c r="AI54" s="62"/>
      <c r="AJ54" s="62"/>
      <c r="AK54" s="62"/>
      <c r="AL54" s="62"/>
      <c r="AM54" s="38"/>
      <c r="AN54" s="38"/>
      <c r="AO54" s="38"/>
      <c r="AP54" s="38"/>
      <c r="AQ54" s="38"/>
      <c r="AR54" s="33"/>
      <c r="AS54" s="33"/>
      <c r="AT54" s="33"/>
      <c r="AU54" s="33"/>
      <c r="AV54" s="33"/>
      <c r="AW54" s="33"/>
      <c r="AX54" s="33"/>
      <c r="AY54" s="38"/>
      <c r="AZ54" s="38"/>
      <c r="BA54" s="38"/>
      <c r="BB54" s="33"/>
      <c r="BC54" s="38"/>
      <c r="BD54" s="38"/>
      <c r="BE54" s="38"/>
      <c r="BF54" s="38"/>
      <c r="BG54" s="38"/>
      <c r="BH54" s="38"/>
      <c r="BI54" s="38"/>
      <c r="BJ54" s="38"/>
      <c r="BK54" s="38"/>
      <c r="BL54" s="7"/>
      <c r="BM54" s="7"/>
      <c r="BN54" s="7"/>
      <c r="BO54" s="7"/>
      <c r="BP54" s="7"/>
      <c r="BQ54" s="7"/>
      <c r="BR54" s="7"/>
      <c r="BS54" s="38"/>
      <c r="BT54" s="38"/>
      <c r="BU54" s="62"/>
    </row>
    <row r="55" spans="1:73" ht="18.75" customHeight="1">
      <c r="A55" s="24">
        <v>51</v>
      </c>
      <c r="B55" s="25">
        <v>41819</v>
      </c>
      <c r="C55" s="26">
        <v>0.75</v>
      </c>
      <c r="D55" s="83" t="str">
        <f>IF(SUM(W9:W12)=12,AE9,"B csoport győztese")</f>
        <v>Hollandia</v>
      </c>
      <c r="E55" s="81">
        <v>2</v>
      </c>
      <c r="F55" s="81">
        <v>1</v>
      </c>
      <c r="G55" s="83" t="str">
        <f>IF(SUM(W3:W6)=12,$AE4,"A csop. 2. helyezett")</f>
        <v>Mexico</v>
      </c>
      <c r="H55" s="81"/>
      <c r="I55" s="82"/>
      <c r="J55" s="80" t="str">
        <f t="shared" si="284"/>
        <v>Hollandia</v>
      </c>
      <c r="K55" s="80"/>
      <c r="L55" s="33"/>
      <c r="M55" s="7"/>
      <c r="N55" s="7"/>
      <c r="O55" s="7"/>
      <c r="P55" s="7"/>
      <c r="Q55" s="7"/>
      <c r="R55" s="7"/>
      <c r="S55" s="7"/>
      <c r="T55" s="7"/>
      <c r="U55" s="7"/>
      <c r="V55" s="38"/>
      <c r="W55" s="38"/>
      <c r="X55" s="38"/>
      <c r="Y55" s="38"/>
      <c r="Z55" s="38"/>
      <c r="AA55" s="38"/>
      <c r="AB55" s="38"/>
      <c r="AC55" s="38"/>
      <c r="AD55" s="33"/>
      <c r="AE55" s="62"/>
      <c r="AF55" s="62"/>
      <c r="AG55" s="62"/>
      <c r="AH55" s="62"/>
      <c r="AI55" s="62"/>
      <c r="AJ55" s="62"/>
      <c r="AK55" s="62"/>
      <c r="AL55" s="62"/>
      <c r="AM55" s="38"/>
      <c r="AN55" s="38"/>
      <c r="AO55" s="38"/>
      <c r="AP55" s="38"/>
      <c r="AQ55" s="38"/>
      <c r="AR55" s="33"/>
      <c r="AS55" s="33"/>
      <c r="AT55" s="33"/>
      <c r="AU55" s="33"/>
      <c r="AV55" s="33"/>
      <c r="AW55" s="33"/>
      <c r="AX55" s="33"/>
      <c r="AY55" s="38"/>
      <c r="AZ55" s="38"/>
      <c r="BA55" s="38"/>
      <c r="BB55" s="33"/>
      <c r="BC55" s="38"/>
      <c r="BD55" s="38"/>
      <c r="BE55" s="38"/>
      <c r="BF55" s="38"/>
      <c r="BG55" s="38"/>
      <c r="BH55" s="38"/>
      <c r="BI55" s="38"/>
      <c r="BJ55" s="38"/>
      <c r="BK55" s="38"/>
      <c r="BL55" s="7"/>
      <c r="BM55" s="7"/>
      <c r="BN55" s="7"/>
      <c r="BO55" s="7"/>
      <c r="BP55" s="7"/>
      <c r="BQ55" s="7"/>
      <c r="BR55" s="7"/>
      <c r="BS55" s="38"/>
      <c r="BT55" s="38"/>
      <c r="BU55" s="62"/>
    </row>
    <row r="56" spans="1:73" ht="18.75" customHeight="1">
      <c r="A56" s="24">
        <v>52</v>
      </c>
      <c r="B56" s="25">
        <v>41819</v>
      </c>
      <c r="C56" s="26">
        <v>0.91666666666666596</v>
      </c>
      <c r="D56" s="83" t="str">
        <f>IF(SUM(W21:W24)=12,$AE21,"D csoport győztese")</f>
        <v>Costa Rica</v>
      </c>
      <c r="E56" s="81">
        <v>1</v>
      </c>
      <c r="F56" s="81">
        <v>1</v>
      </c>
      <c r="G56" s="83" t="str">
        <f>IF(SUM(W15:W18)=12,$AE16,"C csop. 2. helyezett")</f>
        <v>Görögország</v>
      </c>
      <c r="H56" s="81">
        <v>5</v>
      </c>
      <c r="I56" s="82">
        <v>3</v>
      </c>
      <c r="J56" s="80" t="str">
        <f t="shared" si="284"/>
        <v>Costa Rica</v>
      </c>
      <c r="K56" s="80"/>
      <c r="L56" s="33"/>
      <c r="M56" s="7"/>
      <c r="N56" s="7"/>
      <c r="O56" s="7"/>
      <c r="P56" s="7"/>
      <c r="Q56" s="7"/>
      <c r="R56" s="7"/>
      <c r="S56" s="7"/>
      <c r="T56" s="7"/>
      <c r="U56" s="7"/>
      <c r="V56" s="38"/>
      <c r="W56" s="38"/>
      <c r="X56" s="38"/>
      <c r="Y56" s="38"/>
      <c r="Z56" s="38"/>
      <c r="AA56" s="38"/>
      <c r="AB56" s="38"/>
      <c r="AC56" s="38"/>
      <c r="AD56" s="33"/>
      <c r="AE56" s="62"/>
      <c r="AF56" s="62"/>
      <c r="AG56" s="62"/>
      <c r="AH56" s="62"/>
      <c r="AI56" s="62"/>
      <c r="AJ56" s="62"/>
      <c r="AK56" s="62"/>
      <c r="AL56" s="62"/>
      <c r="AM56" s="38"/>
      <c r="AN56" s="38"/>
      <c r="AO56" s="38"/>
      <c r="AP56" s="38"/>
      <c r="AQ56" s="38"/>
      <c r="AR56" s="33"/>
      <c r="AS56" s="33"/>
      <c r="AT56" s="33"/>
      <c r="AU56" s="33"/>
      <c r="AV56" s="33"/>
      <c r="AW56" s="33"/>
      <c r="AX56" s="33"/>
      <c r="AY56" s="38"/>
      <c r="AZ56" s="38"/>
      <c r="BA56" s="38"/>
      <c r="BB56" s="33"/>
      <c r="BC56" s="38"/>
      <c r="BD56" s="38"/>
      <c r="BE56" s="38"/>
      <c r="BF56" s="38"/>
      <c r="BG56" s="38"/>
      <c r="BH56" s="38"/>
      <c r="BI56" s="38"/>
      <c r="BJ56" s="38"/>
      <c r="BK56" s="38"/>
      <c r="BL56" s="7"/>
      <c r="BM56" s="7"/>
      <c r="BN56" s="7"/>
      <c r="BO56" s="7"/>
      <c r="BP56" s="7"/>
      <c r="BQ56" s="7"/>
      <c r="BR56" s="7"/>
      <c r="BS56" s="38"/>
      <c r="BT56" s="38"/>
      <c r="BU56" s="62"/>
    </row>
    <row r="57" spans="1:73" ht="18.75" customHeight="1">
      <c r="A57" s="24">
        <v>53</v>
      </c>
      <c r="B57" s="25">
        <v>41820</v>
      </c>
      <c r="C57" s="26">
        <v>0.75</v>
      </c>
      <c r="D57" s="79" t="str">
        <f>IF(SUM(W27:W30)=12,$AE27,"E csoport győztese")</f>
        <v>Franciaország</v>
      </c>
      <c r="E57" s="81">
        <v>2</v>
      </c>
      <c r="F57" s="81">
        <v>0</v>
      </c>
      <c r="G57" s="79" t="str">
        <f>IF(SUM(W33:W36)=12,$AE34,"F csop. 2. helyezett")</f>
        <v>Nigéria</v>
      </c>
      <c r="H57" s="81"/>
      <c r="I57" s="82"/>
      <c r="J57" s="80" t="str">
        <f t="shared" si="284"/>
        <v>Franciaország</v>
      </c>
      <c r="K57" s="80"/>
      <c r="L57" s="33"/>
      <c r="M57" s="7"/>
      <c r="N57" s="7"/>
      <c r="O57" s="7"/>
      <c r="P57" s="7"/>
      <c r="Q57" s="7"/>
      <c r="R57" s="7"/>
      <c r="S57" s="7"/>
      <c r="T57" s="7"/>
      <c r="U57" s="7"/>
      <c r="V57" s="38"/>
      <c r="W57" s="38"/>
      <c r="X57" s="38"/>
      <c r="Y57" s="38"/>
      <c r="Z57" s="38"/>
      <c r="AA57" s="38"/>
      <c r="AB57" s="38"/>
      <c r="AC57" s="38"/>
      <c r="AD57" s="33"/>
      <c r="AE57" s="62"/>
      <c r="AF57" s="62"/>
      <c r="AG57" s="62"/>
      <c r="AH57" s="62"/>
      <c r="AI57" s="62"/>
      <c r="AJ57" s="62"/>
      <c r="AK57" s="62"/>
      <c r="AL57" s="62"/>
      <c r="AM57" s="38"/>
      <c r="AN57" s="38"/>
      <c r="AO57" s="38"/>
      <c r="AP57" s="38"/>
      <c r="AQ57" s="38"/>
      <c r="AR57" s="33"/>
      <c r="AS57" s="33"/>
      <c r="AT57" s="33"/>
      <c r="AU57" s="33"/>
      <c r="AV57" s="33"/>
      <c r="AW57" s="33"/>
      <c r="AX57" s="33"/>
      <c r="AY57" s="38"/>
      <c r="AZ57" s="38"/>
      <c r="BA57" s="38"/>
      <c r="BB57" s="33"/>
      <c r="BC57" s="38"/>
      <c r="BD57" s="38"/>
      <c r="BE57" s="38"/>
      <c r="BF57" s="38"/>
      <c r="BG57" s="38"/>
      <c r="BH57" s="38"/>
      <c r="BI57" s="38"/>
      <c r="BJ57" s="38"/>
      <c r="BK57" s="38"/>
      <c r="BL57" s="7"/>
      <c r="BM57" s="7"/>
      <c r="BN57" s="7"/>
      <c r="BO57" s="7"/>
      <c r="BP57" s="7"/>
      <c r="BQ57" s="7"/>
      <c r="BR57" s="7"/>
      <c r="BS57" s="38"/>
      <c r="BT57" s="38"/>
      <c r="BU57" s="62"/>
    </row>
    <row r="58" spans="1:73" ht="18.75" customHeight="1">
      <c r="A58" s="24">
        <v>54</v>
      </c>
      <c r="B58" s="25">
        <v>41820</v>
      </c>
      <c r="C58" s="26">
        <v>0.91666666666666596</v>
      </c>
      <c r="D58" s="79" t="str">
        <f>IF(SUM(W39:W42)=12,$AE39,"G csoport győztese")</f>
        <v>Németország</v>
      </c>
      <c r="E58" s="81">
        <v>2</v>
      </c>
      <c r="F58" s="81">
        <v>1</v>
      </c>
      <c r="G58" s="79" t="str">
        <f>IF(SUM(W45:W48)=12,AE46,"H csop. 2. helyezett")</f>
        <v>Algéria</v>
      </c>
      <c r="H58" s="81"/>
      <c r="I58" s="82"/>
      <c r="J58" s="80" t="str">
        <f t="shared" si="284"/>
        <v>Németország</v>
      </c>
      <c r="K58" s="80"/>
      <c r="L58" s="33"/>
      <c r="M58" s="7"/>
      <c r="N58" s="7"/>
      <c r="O58" s="7"/>
      <c r="P58" s="7"/>
      <c r="Q58" s="7"/>
      <c r="R58" s="7"/>
      <c r="S58" s="7"/>
      <c r="T58" s="7"/>
      <c r="U58" s="7"/>
      <c r="V58" s="38"/>
      <c r="W58" s="38"/>
      <c r="X58" s="38"/>
      <c r="Y58" s="38"/>
      <c r="Z58" s="38"/>
      <c r="AA58" s="38"/>
      <c r="AB58" s="38"/>
      <c r="AC58" s="38"/>
      <c r="AD58" s="33"/>
      <c r="AE58" s="62"/>
      <c r="AF58" s="62"/>
      <c r="AG58" s="62"/>
      <c r="AH58" s="62"/>
      <c r="AI58" s="62"/>
      <c r="AJ58" s="62"/>
      <c r="AK58" s="62"/>
      <c r="AL58" s="62"/>
      <c r="AM58" s="38"/>
      <c r="AN58" s="38"/>
      <c r="AO58" s="38"/>
      <c r="AP58" s="38"/>
      <c r="AQ58" s="38"/>
      <c r="AR58" s="33"/>
      <c r="AS58" s="33"/>
      <c r="AT58" s="33"/>
      <c r="AU58" s="33"/>
      <c r="AV58" s="33"/>
      <c r="AW58" s="33"/>
      <c r="AX58" s="33"/>
      <c r="AY58" s="38"/>
      <c r="AZ58" s="38"/>
      <c r="BA58" s="38"/>
      <c r="BB58" s="33"/>
      <c r="BC58" s="38"/>
      <c r="BD58" s="38"/>
      <c r="BE58" s="38"/>
      <c r="BF58" s="38"/>
      <c r="BG58" s="38"/>
      <c r="BH58" s="38"/>
      <c r="BI58" s="38"/>
      <c r="BJ58" s="38"/>
      <c r="BK58" s="38"/>
      <c r="BL58" s="7"/>
      <c r="BM58" s="7"/>
      <c r="BN58" s="7"/>
      <c r="BO58" s="7"/>
      <c r="BP58" s="7"/>
      <c r="BQ58" s="7"/>
      <c r="BR58" s="7"/>
      <c r="BS58" s="38"/>
      <c r="BT58" s="38"/>
      <c r="BU58" s="62"/>
    </row>
    <row r="59" spans="1:73" ht="18.75" customHeight="1">
      <c r="A59" s="24">
        <v>55</v>
      </c>
      <c r="B59" s="25">
        <v>41821</v>
      </c>
      <c r="C59" s="26">
        <v>0.75</v>
      </c>
      <c r="D59" s="83" t="str">
        <f>IF(SUM(W33:W36)=12,$AE33,"F csoport győztese")</f>
        <v>Argentína</v>
      </c>
      <c r="E59" s="81">
        <v>1</v>
      </c>
      <c r="F59" s="81">
        <v>0</v>
      </c>
      <c r="G59" s="83" t="str">
        <f>IF(SUM(W33:W36)=12,AE28,"E csop. 2. helyezett")</f>
        <v>Svájc</v>
      </c>
      <c r="H59" s="81"/>
      <c r="I59" s="82"/>
      <c r="J59" s="80" t="str">
        <f t="shared" si="284"/>
        <v>Argentína</v>
      </c>
      <c r="K59" s="80"/>
      <c r="L59" s="33"/>
      <c r="M59" s="7"/>
      <c r="N59" s="7"/>
      <c r="O59" s="7"/>
      <c r="P59" s="7"/>
      <c r="Q59" s="7"/>
      <c r="R59" s="7"/>
      <c r="S59" s="7"/>
      <c r="T59" s="7"/>
      <c r="U59" s="7"/>
      <c r="V59" s="38"/>
      <c r="W59" s="38"/>
      <c r="X59" s="38"/>
      <c r="Y59" s="38"/>
      <c r="Z59" s="38"/>
      <c r="AA59" s="38"/>
      <c r="AB59" s="38"/>
      <c r="AC59" s="38"/>
      <c r="AD59" s="33"/>
      <c r="AE59" s="62"/>
      <c r="AF59" s="62"/>
      <c r="AG59" s="62"/>
      <c r="AH59" s="62"/>
      <c r="AI59" s="62"/>
      <c r="AJ59" s="62"/>
      <c r="AK59" s="62"/>
      <c r="AL59" s="62"/>
      <c r="AM59" s="38"/>
      <c r="AN59" s="38"/>
      <c r="AO59" s="38"/>
      <c r="AP59" s="38"/>
      <c r="AQ59" s="38"/>
      <c r="AR59" s="33"/>
      <c r="AS59" s="33"/>
      <c r="AT59" s="33"/>
      <c r="AU59" s="33"/>
      <c r="AV59" s="33"/>
      <c r="AW59" s="33"/>
      <c r="AX59" s="33"/>
      <c r="AY59" s="38"/>
      <c r="AZ59" s="38"/>
      <c r="BA59" s="38"/>
      <c r="BB59" s="33"/>
      <c r="BC59" s="38"/>
      <c r="BD59" s="38"/>
      <c r="BE59" s="38"/>
      <c r="BF59" s="38"/>
      <c r="BG59" s="38"/>
      <c r="BH59" s="38"/>
      <c r="BI59" s="38"/>
      <c r="BJ59" s="38"/>
      <c r="BK59" s="38"/>
      <c r="BL59" s="7"/>
      <c r="BM59" s="7"/>
      <c r="BN59" s="7"/>
      <c r="BO59" s="7"/>
      <c r="BP59" s="7"/>
      <c r="BQ59" s="7"/>
      <c r="BR59" s="7"/>
      <c r="BS59" s="38"/>
      <c r="BT59" s="38"/>
      <c r="BU59" s="62"/>
    </row>
    <row r="60" spans="1:73" ht="18.75" customHeight="1">
      <c r="A60" s="24">
        <v>56</v>
      </c>
      <c r="B60" s="25">
        <v>41821</v>
      </c>
      <c r="C60" s="26">
        <v>0.91666666666666596</v>
      </c>
      <c r="D60" s="83" t="str">
        <f>IF(SUM(W45:W48)=12,$AE45,"H csoport győztese")</f>
        <v>Belgium</v>
      </c>
      <c r="E60" s="81">
        <v>2</v>
      </c>
      <c r="F60" s="81">
        <v>1</v>
      </c>
      <c r="G60" s="83" t="str">
        <f>IF(SUM(W39:W42)=12,$AE40,"G csop. 2. helyezett")</f>
        <v>USA</v>
      </c>
      <c r="H60" s="81"/>
      <c r="I60" s="82"/>
      <c r="J60" s="80" t="str">
        <f t="shared" si="284"/>
        <v>Belgium</v>
      </c>
      <c r="K60" s="80"/>
      <c r="L60" s="33"/>
      <c r="M60" s="7"/>
      <c r="N60" s="7"/>
      <c r="O60" s="7"/>
      <c r="P60" s="7"/>
      <c r="Q60" s="7"/>
      <c r="R60" s="7"/>
      <c r="S60" s="7"/>
      <c r="T60" s="7"/>
      <c r="U60" s="7"/>
      <c r="V60" s="38"/>
      <c r="W60" s="38"/>
      <c r="X60" s="38"/>
      <c r="Y60" s="38"/>
      <c r="Z60" s="38"/>
      <c r="AA60" s="38"/>
      <c r="AB60" s="38"/>
      <c r="AC60" s="38"/>
      <c r="AD60" s="33"/>
      <c r="AE60" s="62"/>
      <c r="AF60" s="62"/>
      <c r="AG60" s="62"/>
      <c r="AH60" s="62"/>
      <c r="AI60" s="62"/>
      <c r="AJ60" s="62"/>
      <c r="AK60" s="62"/>
      <c r="AL60" s="62"/>
      <c r="AM60" s="38"/>
      <c r="AN60" s="38"/>
      <c r="AO60" s="38"/>
      <c r="AP60" s="38"/>
      <c r="AQ60" s="38"/>
      <c r="AR60" s="33"/>
      <c r="AS60" s="33"/>
      <c r="AT60" s="33"/>
      <c r="AU60" s="33"/>
      <c r="AV60" s="33"/>
      <c r="AW60" s="33"/>
      <c r="AX60" s="33"/>
      <c r="AY60" s="38"/>
      <c r="AZ60" s="38"/>
      <c r="BA60" s="38"/>
      <c r="BB60" s="33"/>
      <c r="BC60" s="38"/>
      <c r="BD60" s="38"/>
      <c r="BE60" s="38"/>
      <c r="BF60" s="38"/>
      <c r="BG60" s="38"/>
      <c r="BH60" s="38"/>
      <c r="BI60" s="38"/>
      <c r="BJ60" s="38"/>
      <c r="BK60" s="38"/>
      <c r="BL60" s="7"/>
      <c r="BM60" s="7"/>
      <c r="BN60" s="7"/>
      <c r="BO60" s="7"/>
      <c r="BP60" s="7"/>
      <c r="BQ60" s="7"/>
      <c r="BR60" s="7"/>
      <c r="BS60" s="38"/>
      <c r="BT60" s="38"/>
      <c r="BU60" s="62"/>
    </row>
    <row r="61" spans="1:73" ht="18.75" customHeight="1">
      <c r="A61" s="24"/>
      <c r="B61" s="68"/>
      <c r="C61" s="69"/>
      <c r="D61" s="84"/>
      <c r="E61" s="85"/>
      <c r="F61" s="85"/>
      <c r="G61" s="84"/>
      <c r="H61" s="86"/>
      <c r="I61" s="87"/>
      <c r="J61" s="80"/>
      <c r="K61" s="80"/>
      <c r="L61" s="33"/>
      <c r="M61" s="7"/>
      <c r="N61" s="7"/>
      <c r="O61" s="7"/>
      <c r="P61" s="7"/>
      <c r="Q61" s="7"/>
      <c r="R61" s="7"/>
      <c r="S61" s="7"/>
      <c r="T61" s="7"/>
      <c r="U61" s="7"/>
      <c r="V61" s="38"/>
      <c r="W61" s="38"/>
      <c r="X61" s="38"/>
      <c r="Y61" s="38"/>
      <c r="Z61" s="38"/>
      <c r="AA61" s="38"/>
      <c r="AB61" s="38"/>
      <c r="AC61" s="38"/>
      <c r="AD61" s="33"/>
      <c r="AE61" s="62"/>
      <c r="AF61" s="62"/>
      <c r="AG61" s="62"/>
      <c r="AH61" s="62"/>
      <c r="AI61" s="62"/>
      <c r="AJ61" s="62"/>
      <c r="AK61" s="62"/>
      <c r="AL61" s="62"/>
      <c r="AM61" s="38"/>
      <c r="AN61" s="38"/>
      <c r="AO61" s="38"/>
      <c r="AP61" s="38"/>
      <c r="AQ61" s="38"/>
      <c r="AR61" s="33"/>
      <c r="AS61" s="33"/>
      <c r="AT61" s="33"/>
      <c r="AU61" s="33"/>
      <c r="AV61" s="33"/>
      <c r="AW61" s="33"/>
      <c r="AX61" s="33"/>
      <c r="AY61" s="38"/>
      <c r="AZ61" s="38"/>
      <c r="BA61" s="38"/>
      <c r="BB61" s="33"/>
      <c r="BC61" s="38"/>
      <c r="BD61" s="38"/>
      <c r="BE61" s="38"/>
      <c r="BF61" s="38"/>
      <c r="BG61" s="38"/>
      <c r="BH61" s="38"/>
      <c r="BI61" s="38"/>
      <c r="BJ61" s="38"/>
      <c r="BK61" s="38"/>
      <c r="BL61" s="7"/>
      <c r="BM61" s="7"/>
      <c r="BN61" s="7"/>
      <c r="BO61" s="7"/>
      <c r="BP61" s="7"/>
      <c r="BQ61" s="7"/>
      <c r="BR61" s="7"/>
      <c r="BS61" s="38"/>
      <c r="BT61" s="38"/>
      <c r="BU61" s="62"/>
    </row>
    <row r="62" spans="1:73" ht="18.75" customHeight="1">
      <c r="A62" s="24"/>
      <c r="B62" s="74"/>
      <c r="C62" s="75"/>
      <c r="D62" s="88"/>
      <c r="E62" s="88" t="s">
        <v>101</v>
      </c>
      <c r="F62" s="89"/>
      <c r="G62" s="88"/>
      <c r="H62" s="127" t="s">
        <v>100</v>
      </c>
      <c r="I62" s="128"/>
      <c r="J62" s="80"/>
      <c r="K62" s="80"/>
      <c r="L62" s="33"/>
      <c r="M62" s="7"/>
      <c r="N62" s="7"/>
      <c r="O62" s="7"/>
      <c r="P62" s="7"/>
      <c r="Q62" s="7"/>
      <c r="R62" s="7"/>
      <c r="S62" s="7"/>
      <c r="T62" s="7"/>
      <c r="U62" s="7"/>
      <c r="V62" s="38"/>
      <c r="W62" s="38"/>
      <c r="X62" s="38"/>
      <c r="Y62" s="38"/>
      <c r="Z62" s="38"/>
      <c r="AA62" s="38"/>
      <c r="AB62" s="38"/>
      <c r="AC62" s="38"/>
      <c r="AD62" s="33"/>
      <c r="AE62" s="62"/>
      <c r="AF62" s="62"/>
      <c r="AG62" s="62"/>
      <c r="AH62" s="62"/>
      <c r="AI62" s="62"/>
      <c r="AJ62" s="62"/>
      <c r="AK62" s="62"/>
      <c r="AL62" s="62"/>
      <c r="AM62" s="62"/>
      <c r="AN62" s="62"/>
      <c r="AO62" s="62"/>
      <c r="AP62" s="62"/>
      <c r="AQ62" s="62"/>
      <c r="AR62" s="62"/>
      <c r="AS62" s="62"/>
      <c r="AT62" s="62"/>
      <c r="AU62" s="62"/>
      <c r="AV62" s="62"/>
      <c r="AW62" s="62"/>
      <c r="AX62" s="62"/>
      <c r="AY62" s="62"/>
      <c r="AZ62" s="62"/>
      <c r="BA62" s="62"/>
      <c r="BB62" s="62"/>
      <c r="BC62" s="62"/>
      <c r="BD62" s="62"/>
      <c r="BE62" s="62"/>
      <c r="BF62" s="62"/>
      <c r="BG62" s="62"/>
      <c r="BH62" s="62"/>
      <c r="BI62" s="62"/>
      <c r="BJ62" s="62"/>
      <c r="BK62" s="62"/>
      <c r="BL62" s="62"/>
      <c r="BM62" s="62"/>
      <c r="BN62" s="62"/>
      <c r="BO62" s="62"/>
      <c r="BP62" s="62"/>
      <c r="BQ62" s="62"/>
      <c r="BR62" s="62"/>
      <c r="BS62" s="62"/>
      <c r="BT62" s="62"/>
      <c r="BU62" s="62"/>
    </row>
    <row r="63" spans="1:73" ht="18.75" customHeight="1">
      <c r="A63" s="24">
        <v>57</v>
      </c>
      <c r="B63" s="25">
        <v>41824</v>
      </c>
      <c r="C63" s="26">
        <v>0.91666666666666596</v>
      </c>
      <c r="D63" s="79" t="str">
        <f ca="1">IF(TODAY()&gt;$B$53,J53,"49. Meccs győztese")</f>
        <v>Brazília</v>
      </c>
      <c r="E63" s="81">
        <v>2</v>
      </c>
      <c r="F63" s="81">
        <v>1</v>
      </c>
      <c r="G63" s="79" t="str">
        <f ca="1">IF(TODAY()&gt;$B$54,J54,"50. Meccs győztese")</f>
        <v>Kolumbia</v>
      </c>
      <c r="H63" s="81"/>
      <c r="I63" s="90"/>
      <c r="J63" s="80" t="str">
        <f t="shared" ref="J63:J66" ca="1" si="285">IF(ISNUMBER(E63),IF(E63+H63&gt;F63+I63,D63,G63),0)</f>
        <v>Brazília</v>
      </c>
      <c r="K63" s="80"/>
      <c r="L63" s="33"/>
      <c r="M63" s="7"/>
      <c r="N63" s="7"/>
      <c r="O63" s="7"/>
      <c r="P63" s="7"/>
      <c r="Q63" s="7"/>
      <c r="R63" s="7"/>
      <c r="S63" s="7"/>
      <c r="T63" s="7"/>
      <c r="U63" s="7"/>
      <c r="V63" s="38"/>
      <c r="W63" s="38"/>
      <c r="X63" s="38"/>
      <c r="Y63" s="38"/>
      <c r="Z63" s="38"/>
      <c r="AA63" s="38"/>
      <c r="AB63" s="38"/>
      <c r="AC63" s="38"/>
      <c r="AD63" s="33"/>
      <c r="AE63" s="62"/>
      <c r="AF63" s="62"/>
      <c r="AG63" s="62"/>
      <c r="AH63" s="62"/>
      <c r="AI63" s="62"/>
      <c r="AJ63" s="62"/>
      <c r="AK63" s="62"/>
      <c r="AL63" s="62"/>
      <c r="AM63" s="62"/>
      <c r="AN63" s="62"/>
      <c r="AO63" s="62"/>
      <c r="AP63" s="62"/>
      <c r="AQ63" s="62"/>
      <c r="AR63" s="62"/>
      <c r="AS63" s="62"/>
      <c r="AT63" s="62"/>
      <c r="AU63" s="62"/>
      <c r="AV63" s="62"/>
      <c r="AW63" s="62"/>
      <c r="AX63" s="62"/>
      <c r="AY63" s="62"/>
      <c r="AZ63" s="62"/>
      <c r="BA63" s="62"/>
      <c r="BB63" s="62"/>
      <c r="BC63" s="62"/>
      <c r="BD63" s="62"/>
      <c r="BE63" s="62"/>
      <c r="BF63" s="62"/>
      <c r="BG63" s="62"/>
      <c r="BH63" s="62"/>
      <c r="BI63" s="62"/>
      <c r="BJ63" s="62"/>
      <c r="BK63" s="62"/>
      <c r="BL63" s="62"/>
      <c r="BM63" s="62"/>
      <c r="BN63" s="62"/>
      <c r="BO63" s="62"/>
      <c r="BP63" s="62"/>
      <c r="BQ63" s="62"/>
      <c r="BR63" s="62"/>
      <c r="BS63" s="62"/>
      <c r="BT63" s="62"/>
      <c r="BU63" s="62"/>
    </row>
    <row r="64" spans="1:73" ht="18.75" customHeight="1">
      <c r="A64" s="24">
        <v>58</v>
      </c>
      <c r="B64" s="25">
        <v>41824</v>
      </c>
      <c r="C64" s="26">
        <v>0.75</v>
      </c>
      <c r="D64" s="79" t="str">
        <f ca="1">IF(TODAY()&gt;$B$57,J57,"53. Meccs győztese")</f>
        <v>Franciaország</v>
      </c>
      <c r="E64" s="81">
        <v>0</v>
      </c>
      <c r="F64" s="81">
        <v>1</v>
      </c>
      <c r="G64" s="79" t="str">
        <f ca="1">IF(TODAY()&gt;$B$58,J58,"54. Meccs győztese")</f>
        <v>Németország</v>
      </c>
      <c r="H64" s="81"/>
      <c r="I64" s="82"/>
      <c r="J64" s="80" t="str">
        <f t="shared" ca="1" si="285"/>
        <v>Németország</v>
      </c>
      <c r="K64" s="80"/>
      <c r="L64" s="33"/>
      <c r="M64" s="7"/>
      <c r="N64" s="7"/>
      <c r="O64" s="7"/>
      <c r="P64" s="7"/>
      <c r="Q64" s="7"/>
      <c r="R64" s="7"/>
      <c r="S64" s="7"/>
      <c r="T64" s="7"/>
      <c r="U64" s="7"/>
      <c r="V64" s="38"/>
      <c r="W64" s="38"/>
      <c r="X64" s="38"/>
      <c r="Y64" s="38"/>
      <c r="Z64" s="38"/>
      <c r="AA64" s="38"/>
      <c r="AB64" s="38"/>
      <c r="AC64" s="38"/>
      <c r="AD64" s="33"/>
      <c r="AE64" s="62"/>
      <c r="AF64" s="62"/>
      <c r="AG64" s="62"/>
      <c r="AH64" s="62"/>
      <c r="AI64" s="62"/>
      <c r="AJ64" s="62"/>
      <c r="AK64" s="62"/>
      <c r="AL64" s="62"/>
      <c r="AM64" s="62"/>
      <c r="AN64" s="62"/>
      <c r="AO64" s="62"/>
      <c r="AP64" s="62"/>
      <c r="AQ64" s="62"/>
      <c r="AR64" s="62"/>
      <c r="AS64" s="62"/>
      <c r="AT64" s="62"/>
      <c r="AU64" s="62"/>
      <c r="AV64" s="62"/>
      <c r="AW64" s="62"/>
      <c r="AX64" s="62"/>
      <c r="AY64" s="62"/>
      <c r="AZ64" s="62"/>
      <c r="BA64" s="62"/>
      <c r="BB64" s="62"/>
      <c r="BC64" s="62"/>
      <c r="BD64" s="62"/>
      <c r="BE64" s="62"/>
      <c r="BF64" s="62"/>
      <c r="BG64" s="62"/>
      <c r="BH64" s="62"/>
      <c r="BI64" s="62"/>
      <c r="BJ64" s="62"/>
      <c r="BK64" s="62"/>
      <c r="BL64" s="62"/>
      <c r="BM64" s="62"/>
      <c r="BN64" s="62"/>
      <c r="BO64" s="62"/>
      <c r="BP64" s="62"/>
      <c r="BQ64" s="62"/>
      <c r="BR64" s="62"/>
      <c r="BS64" s="62"/>
      <c r="BT64" s="62"/>
      <c r="BU64" s="62"/>
    </row>
    <row r="65" spans="1:73" ht="18.75" customHeight="1">
      <c r="A65" s="24">
        <v>59</v>
      </c>
      <c r="B65" s="25">
        <v>41825</v>
      </c>
      <c r="C65" s="26">
        <v>0.91666666666666596</v>
      </c>
      <c r="D65" s="83" t="str">
        <f ca="1">IF(TODAY()&gt;$B$55,J55,"51. Meccs győztese")</f>
        <v>Hollandia</v>
      </c>
      <c r="E65" s="81">
        <v>0</v>
      </c>
      <c r="F65" s="81">
        <v>0</v>
      </c>
      <c r="G65" s="83" t="str">
        <f ca="1">IF(TODAY()&gt;$B$56,J56,"52. Meccs győztese")</f>
        <v>Costa Rica</v>
      </c>
      <c r="H65" s="81">
        <v>4</v>
      </c>
      <c r="I65" s="82">
        <v>3</v>
      </c>
      <c r="J65" s="80" t="str">
        <f t="shared" ca="1" si="285"/>
        <v>Hollandia</v>
      </c>
      <c r="K65" s="80"/>
      <c r="L65" s="33"/>
      <c r="M65" s="7"/>
      <c r="N65" s="7"/>
      <c r="O65" s="7"/>
      <c r="P65" s="7"/>
      <c r="Q65" s="7"/>
      <c r="R65" s="7"/>
      <c r="S65" s="7"/>
      <c r="T65" s="7"/>
      <c r="U65" s="7"/>
      <c r="V65" s="38"/>
      <c r="W65" s="38"/>
      <c r="X65" s="38"/>
      <c r="Y65" s="38"/>
      <c r="Z65" s="38"/>
      <c r="AA65" s="38"/>
      <c r="AB65" s="38"/>
      <c r="AC65" s="38"/>
      <c r="AD65" s="33"/>
      <c r="AE65" s="62"/>
      <c r="AF65" s="62"/>
      <c r="AG65" s="62"/>
      <c r="AH65" s="62"/>
      <c r="AI65" s="62"/>
      <c r="AJ65" s="62"/>
      <c r="AK65" s="62"/>
      <c r="AL65" s="62"/>
      <c r="AM65" s="62"/>
      <c r="AN65" s="62"/>
      <c r="AO65" s="62"/>
      <c r="AP65" s="62"/>
      <c r="AQ65" s="62"/>
      <c r="AR65" s="62"/>
      <c r="AS65" s="62"/>
      <c r="AT65" s="62"/>
      <c r="AU65" s="62"/>
      <c r="AV65" s="62"/>
      <c r="AW65" s="62"/>
      <c r="AX65" s="62"/>
      <c r="AY65" s="62"/>
      <c r="AZ65" s="62"/>
      <c r="BA65" s="62"/>
      <c r="BB65" s="62"/>
      <c r="BC65" s="62"/>
      <c r="BD65" s="62"/>
      <c r="BE65" s="62"/>
      <c r="BF65" s="62"/>
      <c r="BG65" s="62"/>
      <c r="BH65" s="62"/>
      <c r="BI65" s="62"/>
      <c r="BJ65" s="62"/>
      <c r="BK65" s="62"/>
      <c r="BL65" s="62"/>
      <c r="BM65" s="62"/>
      <c r="BN65" s="62"/>
      <c r="BO65" s="62"/>
      <c r="BP65" s="62"/>
      <c r="BQ65" s="62"/>
      <c r="BR65" s="62"/>
      <c r="BS65" s="62"/>
      <c r="BT65" s="62"/>
      <c r="BU65" s="62"/>
    </row>
    <row r="66" spans="1:73" ht="18.75" customHeight="1">
      <c r="A66" s="24">
        <v>60</v>
      </c>
      <c r="B66" s="25">
        <v>41825</v>
      </c>
      <c r="C66" s="26">
        <v>0.75</v>
      </c>
      <c r="D66" s="91" t="str">
        <f ca="1">IF(TODAY()&gt;$B$59,J59,"55. Meccs győztese")</f>
        <v>Argentína</v>
      </c>
      <c r="E66" s="81">
        <v>1</v>
      </c>
      <c r="F66" s="81">
        <v>0</v>
      </c>
      <c r="G66" s="83" t="str">
        <f ca="1">IF(TODAY()&gt;$B$60,J60,"56. Meccs győztese")</f>
        <v>Belgium</v>
      </c>
      <c r="H66" s="81"/>
      <c r="I66" s="82"/>
      <c r="J66" s="80" t="str">
        <f t="shared" ca="1" si="285"/>
        <v>Argentína</v>
      </c>
      <c r="K66" s="80"/>
      <c r="L66" s="33"/>
      <c r="M66" s="7"/>
      <c r="N66" s="7"/>
      <c r="O66" s="7"/>
      <c r="P66" s="7"/>
      <c r="Q66" s="7"/>
      <c r="R66" s="7"/>
      <c r="S66" s="7"/>
      <c r="T66" s="7"/>
      <c r="U66" s="7"/>
      <c r="V66" s="38"/>
      <c r="W66" s="38"/>
      <c r="X66" s="38"/>
      <c r="Y66" s="38"/>
      <c r="Z66" s="38"/>
      <c r="AA66" s="38"/>
      <c r="AB66" s="38"/>
      <c r="AC66" s="38"/>
      <c r="AD66" s="33"/>
      <c r="AE66" s="62"/>
      <c r="AF66" s="62"/>
      <c r="AG66" s="62"/>
      <c r="AH66" s="62"/>
      <c r="AI66" s="62"/>
      <c r="AJ66" s="62"/>
      <c r="AK66" s="62"/>
      <c r="AL66" s="62"/>
      <c r="AM66" s="62"/>
      <c r="AN66" s="62"/>
      <c r="AO66" s="62"/>
      <c r="AP66" s="62"/>
      <c r="AQ66" s="62"/>
      <c r="AR66" s="62"/>
      <c r="AS66" s="62"/>
      <c r="AT66" s="62"/>
      <c r="AU66" s="62"/>
      <c r="AV66" s="62"/>
      <c r="AW66" s="62"/>
      <c r="AX66" s="62"/>
      <c r="AY66" s="62"/>
      <c r="AZ66" s="62"/>
      <c r="BA66" s="62"/>
      <c r="BB66" s="62"/>
      <c r="BC66" s="62"/>
      <c r="BD66" s="62"/>
      <c r="BE66" s="62"/>
      <c r="BF66" s="62"/>
      <c r="BG66" s="62"/>
      <c r="BH66" s="62"/>
      <c r="BI66" s="62"/>
      <c r="BJ66" s="62"/>
      <c r="BK66" s="62"/>
      <c r="BL66" s="62"/>
      <c r="BM66" s="62"/>
      <c r="BN66" s="62"/>
      <c r="BO66" s="62"/>
      <c r="BP66" s="62"/>
      <c r="BQ66" s="62"/>
      <c r="BR66" s="62"/>
      <c r="BS66" s="62"/>
      <c r="BT66" s="62"/>
      <c r="BU66" s="62"/>
    </row>
    <row r="67" spans="1:73" ht="18.75" customHeight="1">
      <c r="A67" s="24"/>
      <c r="B67" s="68"/>
      <c r="C67" s="69"/>
      <c r="D67" s="84"/>
      <c r="E67" s="85"/>
      <c r="F67" s="85"/>
      <c r="G67" s="84"/>
      <c r="H67" s="86"/>
      <c r="I67" s="87"/>
      <c r="J67" s="80"/>
      <c r="K67" s="80"/>
      <c r="L67" s="33"/>
      <c r="M67" s="7"/>
      <c r="N67" s="7"/>
      <c r="O67" s="7"/>
      <c r="P67" s="7"/>
      <c r="Q67" s="7"/>
      <c r="R67" s="7"/>
      <c r="S67" s="7"/>
      <c r="T67" s="7"/>
      <c r="U67" s="7"/>
      <c r="V67" s="38"/>
      <c r="W67" s="38"/>
      <c r="X67" s="38"/>
      <c r="Y67" s="38"/>
      <c r="Z67" s="38"/>
      <c r="AA67" s="38"/>
      <c r="AB67" s="38"/>
      <c r="AC67" s="38"/>
      <c r="AD67" s="33"/>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c r="BE67" s="62"/>
      <c r="BF67" s="62"/>
      <c r="BG67" s="62"/>
      <c r="BH67" s="62"/>
      <c r="BI67" s="62"/>
      <c r="BJ67" s="62"/>
      <c r="BK67" s="62"/>
      <c r="BL67" s="62"/>
      <c r="BM67" s="62"/>
      <c r="BN67" s="62"/>
      <c r="BO67" s="62"/>
      <c r="BP67" s="62"/>
      <c r="BQ67" s="62"/>
      <c r="BR67" s="62"/>
      <c r="BS67" s="62"/>
      <c r="BT67" s="62"/>
      <c r="BU67" s="62"/>
    </row>
    <row r="68" spans="1:73" ht="18.75" customHeight="1">
      <c r="A68" s="24"/>
      <c r="B68" s="74"/>
      <c r="C68" s="75"/>
      <c r="D68" s="88"/>
      <c r="E68" s="92" t="s">
        <v>102</v>
      </c>
      <c r="F68" s="89"/>
      <c r="G68" s="88"/>
      <c r="H68" s="127" t="s">
        <v>100</v>
      </c>
      <c r="I68" s="128"/>
      <c r="J68" s="80"/>
      <c r="K68" s="80"/>
      <c r="L68" s="33"/>
      <c r="M68" s="7"/>
      <c r="N68" s="7"/>
      <c r="O68" s="7"/>
      <c r="P68" s="7"/>
      <c r="Q68" s="7"/>
      <c r="R68" s="7"/>
      <c r="S68" s="7"/>
      <c r="T68" s="7"/>
      <c r="U68" s="7"/>
      <c r="V68" s="33"/>
      <c r="W68" s="38"/>
      <c r="X68" s="38"/>
      <c r="Y68" s="38"/>
      <c r="Z68" s="38"/>
      <c r="AA68" s="38"/>
      <c r="AB68" s="38"/>
      <c r="AC68" s="38"/>
      <c r="AD68" s="33"/>
      <c r="AE68" s="93"/>
      <c r="AF68" s="93"/>
      <c r="AG68" s="93"/>
      <c r="AH68" s="93"/>
      <c r="AI68" s="93"/>
      <c r="AJ68" s="93"/>
      <c r="AK68" s="93"/>
      <c r="AL68" s="93"/>
      <c r="AM68" s="93"/>
      <c r="AN68" s="93"/>
      <c r="AO68" s="93"/>
      <c r="AP68" s="93"/>
      <c r="AQ68" s="93"/>
      <c r="AR68" s="93"/>
      <c r="AS68" s="93"/>
      <c r="AT68" s="93"/>
      <c r="AU68" s="93"/>
      <c r="AV68" s="93"/>
      <c r="AW68" s="93"/>
      <c r="AX68" s="93"/>
      <c r="AY68" s="93"/>
      <c r="AZ68" s="93"/>
      <c r="BA68" s="93"/>
      <c r="BB68" s="93"/>
      <c r="BC68" s="93"/>
      <c r="BD68" s="93"/>
      <c r="BE68" s="93"/>
      <c r="BF68" s="93"/>
      <c r="BG68" s="93"/>
      <c r="BH68" s="93"/>
      <c r="BI68" s="93"/>
      <c r="BJ68" s="93"/>
      <c r="BK68" s="93"/>
      <c r="BL68" s="93"/>
      <c r="BM68" s="93"/>
      <c r="BN68" s="93"/>
      <c r="BO68" s="93"/>
      <c r="BP68" s="93"/>
      <c r="BQ68" s="93"/>
      <c r="BR68" s="93"/>
      <c r="BS68" s="93"/>
      <c r="BT68" s="93"/>
      <c r="BU68" s="93"/>
    </row>
    <row r="69" spans="1:73" ht="18.75" customHeight="1">
      <c r="A69" s="24">
        <v>61</v>
      </c>
      <c r="B69" s="25">
        <v>41828</v>
      </c>
      <c r="C69" s="26">
        <v>0.91666666666666596</v>
      </c>
      <c r="D69" s="79" t="str">
        <f ca="1">IF(TODAY()&gt;$B$63,J63,"57. Meccs győztese")</f>
        <v>Brazília</v>
      </c>
      <c r="E69" s="81">
        <v>1</v>
      </c>
      <c r="F69" s="81">
        <v>7</v>
      </c>
      <c r="G69" s="79" t="str">
        <f ca="1">IF(TODAY()&gt;$B$64,J64,"58. Meccs győztese")</f>
        <v>Németország</v>
      </c>
      <c r="H69" s="81"/>
      <c r="I69" s="90"/>
      <c r="J69" s="80" t="str">
        <f t="shared" ref="J69:J70" ca="1" si="286">IF(ISNUMBER(E69),IF(E69+H69&gt;F69+I69,D69,G69),0)</f>
        <v>Németország</v>
      </c>
      <c r="K69" s="109" t="str">
        <f t="shared" ref="K69:K70" ca="1" si="287">IF(ISNUMBER(E69),IF(E69+H69&lt;F69+I69,D69,G69),0)</f>
        <v>Brazília</v>
      </c>
      <c r="L69" s="33"/>
      <c r="M69" s="7"/>
      <c r="N69" s="7"/>
      <c r="O69" s="7"/>
      <c r="P69" s="7"/>
      <c r="Q69" s="7"/>
      <c r="R69" s="7"/>
      <c r="S69" s="7"/>
      <c r="T69" s="7"/>
      <c r="U69" s="7"/>
      <c r="V69" s="38"/>
      <c r="W69" s="38"/>
      <c r="X69" s="38"/>
      <c r="Y69" s="38"/>
      <c r="Z69" s="38"/>
      <c r="AA69" s="38"/>
      <c r="AB69" s="38"/>
      <c r="AC69" s="38"/>
      <c r="AD69" s="33"/>
      <c r="AE69" s="93"/>
      <c r="AF69" s="93"/>
      <c r="AG69" s="93"/>
      <c r="AH69" s="93"/>
      <c r="AI69" s="93"/>
      <c r="AJ69" s="93"/>
      <c r="AK69" s="93"/>
      <c r="AL69" s="93"/>
      <c r="AM69" s="93"/>
      <c r="AN69" s="93"/>
      <c r="AO69" s="93"/>
      <c r="AP69" s="93"/>
      <c r="AQ69" s="93"/>
      <c r="AR69" s="93"/>
      <c r="AS69" s="93"/>
      <c r="AT69" s="93"/>
      <c r="AU69" s="93"/>
      <c r="AV69" s="93"/>
      <c r="AW69" s="93"/>
      <c r="AX69" s="93"/>
      <c r="AY69" s="93"/>
      <c r="AZ69" s="93"/>
      <c r="BA69" s="93"/>
      <c r="BB69" s="93"/>
      <c r="BC69" s="93"/>
      <c r="BD69" s="93"/>
      <c r="BE69" s="93"/>
      <c r="BF69" s="93"/>
      <c r="BG69" s="93"/>
      <c r="BH69" s="93"/>
      <c r="BI69" s="93"/>
      <c r="BJ69" s="93"/>
      <c r="BK69" s="93"/>
      <c r="BL69" s="93"/>
      <c r="BM69" s="93"/>
      <c r="BN69" s="93"/>
      <c r="BO69" s="93"/>
      <c r="BP69" s="93"/>
      <c r="BQ69" s="93"/>
      <c r="BR69" s="93"/>
      <c r="BS69" s="93"/>
      <c r="BT69" s="93"/>
      <c r="BU69" s="93"/>
    </row>
    <row r="70" spans="1:73" ht="18.75" customHeight="1">
      <c r="A70" s="24">
        <v>62</v>
      </c>
      <c r="B70" s="25">
        <v>41829</v>
      </c>
      <c r="C70" s="26">
        <v>0.91666666666666596</v>
      </c>
      <c r="D70" s="83" t="str">
        <f ca="1">IF(TODAY()&gt;$B$65,J65,"59. Meccs győztese")</f>
        <v>Hollandia</v>
      </c>
      <c r="E70" s="81">
        <v>0</v>
      </c>
      <c r="F70" s="81">
        <v>0</v>
      </c>
      <c r="G70" s="83" t="str">
        <f ca="1">IF(TODAY()&gt;$B$66,J66,"60. Meccs győztese")</f>
        <v>Argentína</v>
      </c>
      <c r="H70" s="81">
        <v>2</v>
      </c>
      <c r="I70" s="82">
        <v>4</v>
      </c>
      <c r="J70" s="80" t="str">
        <f t="shared" ca="1" si="286"/>
        <v>Argentína</v>
      </c>
      <c r="K70" s="109" t="str">
        <f t="shared" ca="1" si="287"/>
        <v>Hollandia</v>
      </c>
      <c r="L70" s="33"/>
      <c r="M70" s="7"/>
      <c r="N70" s="7"/>
      <c r="O70" s="7"/>
      <c r="P70" s="7"/>
      <c r="Q70" s="7"/>
      <c r="R70" s="7"/>
      <c r="S70" s="7"/>
      <c r="T70" s="7"/>
      <c r="U70" s="7"/>
      <c r="V70" s="38"/>
      <c r="W70" s="38"/>
      <c r="X70" s="38"/>
      <c r="Y70" s="38"/>
      <c r="Z70" s="38"/>
      <c r="AA70" s="38"/>
      <c r="AB70" s="38"/>
      <c r="AC70" s="38"/>
      <c r="AD70" s="33"/>
      <c r="AE70" s="93"/>
      <c r="AF70" s="93"/>
      <c r="AG70" s="93"/>
      <c r="AH70" s="93"/>
      <c r="AI70" s="93"/>
      <c r="AJ70" s="93"/>
      <c r="AK70" s="93"/>
      <c r="AL70" s="93"/>
      <c r="AM70" s="93"/>
      <c r="AN70" s="93"/>
      <c r="AO70" s="93"/>
      <c r="AP70" s="93"/>
      <c r="AQ70" s="93"/>
      <c r="AR70" s="93"/>
      <c r="AS70" s="93"/>
      <c r="AT70" s="93"/>
      <c r="AU70" s="93"/>
      <c r="AV70" s="93"/>
      <c r="AW70" s="93"/>
      <c r="AX70" s="93"/>
      <c r="AY70" s="93"/>
      <c r="AZ70" s="93"/>
      <c r="BA70" s="93"/>
      <c r="BB70" s="93"/>
      <c r="BC70" s="93"/>
      <c r="BD70" s="93"/>
      <c r="BE70" s="93"/>
      <c r="BF70" s="93"/>
      <c r="BG70" s="93"/>
      <c r="BH70" s="93"/>
      <c r="BI70" s="93"/>
      <c r="BJ70" s="93"/>
      <c r="BK70" s="93"/>
      <c r="BL70" s="93"/>
      <c r="BM70" s="93"/>
      <c r="BN70" s="93"/>
      <c r="BO70" s="93"/>
      <c r="BP70" s="93"/>
      <c r="BQ70" s="93"/>
      <c r="BR70" s="93"/>
      <c r="BS70" s="93"/>
      <c r="BT70" s="93"/>
      <c r="BU70" s="93"/>
    </row>
    <row r="71" spans="1:73" ht="18.75" customHeight="1">
      <c r="A71" s="24"/>
      <c r="B71" s="68"/>
      <c r="C71" s="69"/>
      <c r="D71" s="84"/>
      <c r="E71" s="85"/>
      <c r="F71" s="85"/>
      <c r="G71" s="84"/>
      <c r="H71" s="86"/>
      <c r="I71" s="87"/>
      <c r="J71" s="80"/>
      <c r="K71" s="80"/>
      <c r="L71" s="33"/>
      <c r="M71" s="7"/>
      <c r="N71" s="7"/>
      <c r="O71" s="7" t="s">
        <v>103</v>
      </c>
      <c r="P71" s="7"/>
      <c r="Q71" s="7"/>
      <c r="R71" s="7"/>
      <c r="S71" s="7"/>
      <c r="T71" s="7"/>
      <c r="U71" s="7"/>
      <c r="V71" s="38"/>
      <c r="W71" s="38"/>
      <c r="X71" s="38"/>
      <c r="Y71" s="38"/>
      <c r="Z71" s="38"/>
      <c r="AA71" s="38"/>
      <c r="AB71" s="38"/>
      <c r="AC71" s="38"/>
      <c r="AD71" s="33"/>
      <c r="AE71" s="93"/>
      <c r="AF71" s="94" t="s">
        <v>104</v>
      </c>
      <c r="AG71" s="95" t="str">
        <f ca="1">IF(NOW()&gt;B76,J76,"kukorica belső")</f>
        <v>Németország</v>
      </c>
      <c r="AH71" s="95"/>
      <c r="AI71" s="95"/>
      <c r="AJ71" s="95"/>
      <c r="AK71" s="95"/>
      <c r="AL71" s="93"/>
      <c r="AM71" s="93"/>
      <c r="AN71" s="93"/>
      <c r="AO71" s="93"/>
      <c r="AP71" s="93"/>
      <c r="AQ71" s="93"/>
      <c r="AR71" s="93"/>
      <c r="AS71" s="93"/>
      <c r="AT71" s="93"/>
      <c r="AU71" s="93"/>
      <c r="AV71" s="93"/>
      <c r="AW71" s="93"/>
      <c r="AX71" s="93"/>
      <c r="AY71" s="93"/>
      <c r="AZ71" s="93"/>
      <c r="BA71" s="93"/>
      <c r="BB71" s="93"/>
      <c r="BC71" s="93"/>
      <c r="BD71" s="93"/>
      <c r="BE71" s="93"/>
      <c r="BF71" s="93"/>
      <c r="BG71" s="93"/>
      <c r="BH71" s="93"/>
      <c r="BI71" s="93"/>
      <c r="BJ71" s="93"/>
      <c r="BK71" s="93"/>
      <c r="BL71" s="93"/>
      <c r="BM71" s="93"/>
      <c r="BN71" s="93"/>
      <c r="BO71" s="93"/>
      <c r="BP71" s="93"/>
      <c r="BQ71" s="93"/>
      <c r="BR71" s="93"/>
      <c r="BS71" s="93"/>
      <c r="BT71" s="93"/>
      <c r="BU71" s="93"/>
    </row>
    <row r="72" spans="1:73" ht="21" customHeight="1">
      <c r="A72" s="24"/>
      <c r="B72" s="74"/>
      <c r="C72" s="75"/>
      <c r="D72" s="88"/>
      <c r="E72" s="88" t="s">
        <v>105</v>
      </c>
      <c r="F72" s="89"/>
      <c r="G72" s="88"/>
      <c r="H72" s="127" t="s">
        <v>100</v>
      </c>
      <c r="I72" s="128"/>
      <c r="J72" s="80"/>
      <c r="K72" s="80"/>
      <c r="L72" s="33"/>
      <c r="M72" s="7"/>
      <c r="N72" s="7"/>
      <c r="O72" s="96">
        <f ca="1">TODAY()</f>
        <v>43046</v>
      </c>
      <c r="P72" s="7"/>
      <c r="Q72" s="7"/>
      <c r="R72" s="7"/>
      <c r="S72" s="7"/>
      <c r="T72" s="7"/>
      <c r="U72" s="7"/>
      <c r="V72" s="38"/>
      <c r="W72" s="38"/>
      <c r="X72" s="38"/>
      <c r="Y72" s="38"/>
      <c r="Z72" s="38"/>
      <c r="AA72" s="38"/>
      <c r="AB72" s="38"/>
      <c r="AC72" s="38"/>
      <c r="AD72" s="33"/>
      <c r="AE72" s="93"/>
      <c r="AF72" s="97" t="s">
        <v>106</v>
      </c>
      <c r="AG72" s="98" t="str">
        <f ca="1">IF(NOW()&gt;B76,K76,"ezüst")</f>
        <v>Argentína</v>
      </c>
      <c r="AH72" s="98"/>
      <c r="AI72" s="98"/>
      <c r="AJ72" s="98"/>
      <c r="AK72" s="98"/>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93"/>
      <c r="BK72" s="93"/>
      <c r="BL72" s="93"/>
      <c r="BM72" s="93"/>
      <c r="BN72" s="93"/>
      <c r="BO72" s="93"/>
      <c r="BP72" s="93"/>
      <c r="BQ72" s="93"/>
      <c r="BR72" s="93"/>
      <c r="BS72" s="93"/>
      <c r="BT72" s="93"/>
      <c r="BU72" s="93"/>
    </row>
    <row r="73" spans="1:73" ht="20.25" customHeight="1">
      <c r="A73" s="24">
        <v>63</v>
      </c>
      <c r="B73" s="25">
        <v>41832</v>
      </c>
      <c r="C73" s="26">
        <v>0.91666666666666596</v>
      </c>
      <c r="D73" s="79" t="str">
        <f ca="1">IF(TODAY()&gt;$B$69,K69,"61. Meccs vesztese")</f>
        <v>Brazília</v>
      </c>
      <c r="E73" s="81">
        <v>0</v>
      </c>
      <c r="F73" s="81">
        <v>3</v>
      </c>
      <c r="G73" s="83" t="str">
        <f ca="1">IF(TODAY()&gt;$B$70,K70,"62. Meccs vesztese")</f>
        <v>Hollandia</v>
      </c>
      <c r="H73" s="81"/>
      <c r="I73" s="90"/>
      <c r="J73" s="80" t="str">
        <f ca="1">IF(ISNUMBER(E73),IF(E73+H73&gt;F73+I73,D73,G73),0)</f>
        <v>Hollandia</v>
      </c>
      <c r="K73" s="80"/>
      <c r="L73" s="33"/>
      <c r="M73" s="7"/>
      <c r="N73" s="7"/>
      <c r="O73" s="7"/>
      <c r="P73" s="7"/>
      <c r="Q73" s="7"/>
      <c r="R73" s="7"/>
      <c r="S73" s="7"/>
      <c r="T73" s="7"/>
      <c r="U73" s="7"/>
      <c r="V73" s="38"/>
      <c r="W73" s="38"/>
      <c r="X73" s="38"/>
      <c r="Y73" s="38"/>
      <c r="Z73" s="38"/>
      <c r="AA73" s="38"/>
      <c r="AB73" s="38"/>
      <c r="AC73" s="38"/>
      <c r="AD73" s="33"/>
      <c r="AE73" s="93"/>
      <c r="AF73" s="99" t="s">
        <v>107</v>
      </c>
      <c r="AG73" s="100" t="str">
        <f ca="1">IF(NOW()&gt;B73,J73,"bronz")</f>
        <v>Hollandia</v>
      </c>
      <c r="AH73" s="100"/>
      <c r="AI73" s="100"/>
      <c r="AJ73" s="100"/>
      <c r="AK73" s="100"/>
      <c r="AL73" s="93"/>
      <c r="AM73" s="93"/>
      <c r="AN73" s="93"/>
      <c r="AO73" s="93"/>
      <c r="AP73" s="93"/>
      <c r="AQ73" s="93"/>
      <c r="AR73" s="93"/>
      <c r="AS73" s="93"/>
      <c r="AT73" s="93"/>
      <c r="AU73" s="93"/>
      <c r="AV73" s="93"/>
      <c r="AW73" s="93"/>
      <c r="AX73" s="93"/>
      <c r="AY73" s="93"/>
      <c r="AZ73" s="93"/>
      <c r="BA73" s="93"/>
      <c r="BB73" s="93"/>
      <c r="BC73" s="93"/>
      <c r="BD73" s="93"/>
      <c r="BE73" s="93"/>
      <c r="BF73" s="93"/>
      <c r="BG73" s="93"/>
      <c r="BH73" s="93"/>
      <c r="BI73" s="93"/>
      <c r="BJ73" s="93"/>
      <c r="BK73" s="93"/>
      <c r="BL73" s="93"/>
      <c r="BM73" s="93"/>
      <c r="BN73" s="93"/>
      <c r="BO73" s="93"/>
      <c r="BP73" s="93"/>
      <c r="BQ73" s="93"/>
      <c r="BR73" s="93"/>
      <c r="BS73" s="93"/>
      <c r="BT73" s="93"/>
      <c r="BU73" s="93"/>
    </row>
    <row r="74" spans="1:73" ht="18.75" customHeight="1">
      <c r="A74" s="24"/>
      <c r="B74" s="68"/>
      <c r="C74" s="69"/>
      <c r="D74" s="70"/>
      <c r="E74" s="71"/>
      <c r="F74" s="71"/>
      <c r="G74" s="70"/>
      <c r="H74" s="101"/>
      <c r="I74" s="87"/>
      <c r="J74" s="80"/>
      <c r="K74" s="80"/>
      <c r="L74" s="33"/>
      <c r="M74" s="7"/>
      <c r="N74" s="7"/>
      <c r="O74" s="7"/>
      <c r="P74" s="7"/>
      <c r="Q74" s="7"/>
      <c r="R74" s="7"/>
      <c r="S74" s="7"/>
      <c r="T74" s="7"/>
      <c r="U74" s="7"/>
      <c r="V74" s="38"/>
      <c r="W74" s="38"/>
      <c r="X74" s="38"/>
      <c r="Y74" s="38"/>
      <c r="Z74" s="38"/>
      <c r="AA74" s="38"/>
      <c r="AB74" s="38"/>
      <c r="AC74" s="38"/>
      <c r="AD74" s="33"/>
      <c r="AE74" s="93"/>
      <c r="AF74" s="102"/>
      <c r="AG74" s="93"/>
      <c r="AH74" s="103"/>
      <c r="AI74" s="104"/>
      <c r="AJ74" s="104"/>
      <c r="AK74" s="104"/>
      <c r="AL74" s="93"/>
      <c r="AM74" s="93"/>
      <c r="AN74" s="93"/>
      <c r="AO74" s="93"/>
      <c r="AP74" s="93"/>
      <c r="AQ74" s="93"/>
      <c r="AR74" s="93"/>
      <c r="AS74" s="93"/>
      <c r="AT74" s="93"/>
      <c r="AU74" s="93"/>
      <c r="AV74" s="93"/>
      <c r="AW74" s="93"/>
      <c r="AX74" s="93"/>
      <c r="AY74" s="93"/>
      <c r="AZ74" s="93"/>
      <c r="BA74" s="93"/>
      <c r="BB74" s="93"/>
      <c r="BC74" s="93"/>
      <c r="BD74" s="93"/>
      <c r="BE74" s="93"/>
      <c r="BF74" s="93"/>
      <c r="BG74" s="93"/>
      <c r="BH74" s="93"/>
      <c r="BI74" s="93"/>
      <c r="BJ74" s="93"/>
      <c r="BK74" s="93"/>
      <c r="BL74" s="93"/>
      <c r="BM74" s="93"/>
      <c r="BN74" s="93"/>
      <c r="BO74" s="93"/>
      <c r="BP74" s="93"/>
      <c r="BQ74" s="93"/>
      <c r="BR74" s="93"/>
      <c r="BS74" s="93"/>
      <c r="BT74" s="93"/>
      <c r="BU74" s="93"/>
    </row>
    <row r="75" spans="1:73" ht="18.75" customHeight="1">
      <c r="A75" s="24"/>
      <c r="B75" s="74"/>
      <c r="C75" s="75"/>
      <c r="D75" s="76"/>
      <c r="E75" s="105" t="s">
        <v>108</v>
      </c>
      <c r="F75" s="77"/>
      <c r="G75" s="76"/>
      <c r="H75" s="127" t="s">
        <v>100</v>
      </c>
      <c r="I75" s="128"/>
      <c r="J75" s="80"/>
      <c r="K75" s="80"/>
      <c r="L75" s="33"/>
      <c r="M75" s="7"/>
      <c r="N75" s="7"/>
      <c r="O75" s="7"/>
      <c r="P75" s="7"/>
      <c r="Q75" s="7"/>
      <c r="R75" s="7"/>
      <c r="S75" s="7"/>
      <c r="T75" s="7"/>
      <c r="U75" s="7"/>
      <c r="V75" s="38"/>
      <c r="W75" s="38"/>
      <c r="X75" s="38"/>
      <c r="Y75" s="38"/>
      <c r="Z75" s="38"/>
      <c r="AA75" s="38"/>
      <c r="AB75" s="38"/>
      <c r="AC75" s="38"/>
      <c r="AD75" s="33"/>
      <c r="AE75" s="93"/>
      <c r="AF75" s="102"/>
      <c r="AG75" s="93"/>
      <c r="AH75" s="103"/>
      <c r="AI75" s="104"/>
      <c r="AJ75" s="104"/>
      <c r="AK75" s="104"/>
      <c r="AL75" s="93"/>
      <c r="AM75" s="93"/>
      <c r="AN75" s="93"/>
      <c r="AO75" s="93"/>
      <c r="AP75" s="93"/>
      <c r="AQ75" s="93"/>
      <c r="AR75" s="93"/>
      <c r="AS75" s="93"/>
      <c r="AT75" s="93"/>
      <c r="AU75" s="93"/>
      <c r="AV75" s="93"/>
      <c r="AW75" s="93"/>
      <c r="AX75" s="93"/>
      <c r="AY75" s="93"/>
      <c r="AZ75" s="93"/>
      <c r="BA75" s="93"/>
      <c r="BB75" s="93"/>
      <c r="BC75" s="93"/>
      <c r="BD75" s="93"/>
      <c r="BE75" s="93"/>
      <c r="BF75" s="93"/>
      <c r="BG75" s="93"/>
      <c r="BH75" s="93"/>
      <c r="BI75" s="93"/>
      <c r="BJ75" s="93"/>
      <c r="BK75" s="93"/>
      <c r="BL75" s="93"/>
      <c r="BM75" s="93"/>
      <c r="BN75" s="93"/>
      <c r="BO75" s="93"/>
      <c r="BP75" s="93"/>
      <c r="BQ75" s="93"/>
      <c r="BR75" s="93"/>
      <c r="BS75" s="93"/>
      <c r="BT75" s="93"/>
      <c r="BU75" s="93"/>
    </row>
    <row r="76" spans="1:73" ht="22.5" customHeight="1">
      <c r="A76" s="24">
        <v>64</v>
      </c>
      <c r="B76" s="25">
        <v>41833</v>
      </c>
      <c r="C76" s="26">
        <v>0.875</v>
      </c>
      <c r="D76" s="106" t="str">
        <f ca="1">IF(TODAY()&gt;$B$69,J69,"61. Meccs győztese")</f>
        <v>Németország</v>
      </c>
      <c r="E76" s="107">
        <v>1</v>
      </c>
      <c r="F76" s="107">
        <v>0</v>
      </c>
      <c r="G76" s="108" t="str">
        <f ca="1">IF(TODAY()&gt;$B$70,J70,"62. Meccs győztese")</f>
        <v>Argentína</v>
      </c>
      <c r="H76" s="107"/>
      <c r="I76" s="90"/>
      <c r="J76" s="80" t="str">
        <f ca="1">IF(ISNUMBER(E76),IF(E76+H76&gt;F76+I76,D76,G76),0)</f>
        <v>Németország</v>
      </c>
      <c r="K76" s="109" t="str">
        <f ca="1">IF(ISNUMBER(E76),IF(E76+H76&lt;F76+I76,D76,G76),0)</f>
        <v>Argentína</v>
      </c>
      <c r="L76" s="33"/>
      <c r="M76" s="7"/>
      <c r="N76" s="7"/>
      <c r="O76" s="7"/>
      <c r="P76" s="7"/>
      <c r="Q76" s="7"/>
      <c r="R76" s="7"/>
      <c r="S76" s="7"/>
      <c r="T76" s="7"/>
      <c r="U76" s="7"/>
      <c r="V76" s="38"/>
      <c r="W76" s="38"/>
      <c r="X76" s="38"/>
      <c r="Y76" s="38"/>
      <c r="Z76" s="38"/>
      <c r="AA76" s="38"/>
      <c r="AB76" s="38"/>
      <c r="AC76" s="38"/>
      <c r="AD76" s="33"/>
      <c r="AE76" s="93"/>
      <c r="AF76" s="102"/>
      <c r="AG76" s="93"/>
      <c r="AH76" s="103"/>
      <c r="AI76" s="104"/>
      <c r="AJ76" s="104"/>
      <c r="AK76" s="104"/>
      <c r="AL76" s="93"/>
      <c r="AM76" s="93"/>
      <c r="AN76" s="93"/>
      <c r="AO76" s="93"/>
      <c r="AP76" s="93"/>
      <c r="AQ76" s="93"/>
      <c r="AR76" s="93"/>
      <c r="AS76" s="93"/>
      <c r="AT76" s="93"/>
      <c r="AU76" s="93"/>
      <c r="AV76" s="93"/>
      <c r="AW76" s="93"/>
      <c r="AX76" s="93"/>
      <c r="AY76" s="93"/>
      <c r="AZ76" s="93"/>
      <c r="BA76" s="93"/>
      <c r="BB76" s="93"/>
      <c r="BC76" s="93"/>
      <c r="BD76" s="93"/>
      <c r="BE76" s="93"/>
      <c r="BF76" s="93"/>
      <c r="BG76" s="93"/>
      <c r="BH76" s="93"/>
      <c r="BI76" s="93"/>
      <c r="BJ76" s="93"/>
      <c r="BK76" s="93"/>
      <c r="BL76" s="93"/>
      <c r="BM76" s="93"/>
      <c r="BN76" s="93"/>
      <c r="BO76" s="93"/>
      <c r="BP76" s="93"/>
      <c r="BQ76" s="93"/>
      <c r="BR76" s="93"/>
      <c r="BS76" s="93"/>
      <c r="BT76" s="93"/>
      <c r="BU76" s="93"/>
    </row>
    <row r="77" spans="1:73" ht="18.75" customHeight="1">
      <c r="A77" s="110"/>
      <c r="B77" s="111"/>
      <c r="C77" s="112"/>
      <c r="D77" s="113"/>
      <c r="E77" s="114"/>
      <c r="F77" s="114"/>
      <c r="G77" s="113"/>
      <c r="H77" s="115"/>
      <c r="I77" s="62"/>
      <c r="J77" s="62"/>
      <c r="K77" s="62"/>
      <c r="L77" s="62"/>
      <c r="M77" s="62"/>
      <c r="N77" s="62"/>
      <c r="O77" s="62"/>
      <c r="P77" s="62"/>
      <c r="Q77" s="62"/>
      <c r="R77" s="62"/>
      <c r="S77" s="62"/>
      <c r="T77" s="62"/>
      <c r="U77" s="62"/>
      <c r="V77" s="62"/>
      <c r="W77" s="62"/>
      <c r="X77" s="62"/>
      <c r="Y77" s="62"/>
      <c r="Z77" s="62"/>
      <c r="AA77" s="62"/>
      <c r="AB77" s="62"/>
      <c r="AC77" s="62"/>
      <c r="AD77" s="62"/>
      <c r="AE77" s="93"/>
      <c r="AF77" s="102"/>
      <c r="AG77" s="93"/>
      <c r="AH77" s="103"/>
      <c r="AI77" s="104"/>
      <c r="AJ77" s="104"/>
      <c r="AK77" s="104"/>
      <c r="AL77" s="93"/>
      <c r="AM77" s="93"/>
      <c r="AN77" s="93"/>
      <c r="AO77" s="93"/>
      <c r="AP77" s="93"/>
      <c r="AQ77" s="93"/>
      <c r="AR77" s="93"/>
      <c r="AS77" s="93"/>
      <c r="AT77" s="93"/>
      <c r="AU77" s="93"/>
      <c r="AV77" s="93"/>
      <c r="AW77" s="93"/>
      <c r="AX77" s="93"/>
      <c r="AY77" s="93"/>
      <c r="AZ77" s="93"/>
      <c r="BA77" s="93"/>
      <c r="BB77" s="93"/>
      <c r="BC77" s="93"/>
      <c r="BD77" s="93"/>
      <c r="BE77" s="93"/>
      <c r="BF77" s="93"/>
      <c r="BG77" s="93"/>
      <c r="BH77" s="93"/>
      <c r="BI77" s="93"/>
      <c r="BJ77" s="93"/>
      <c r="BK77" s="93"/>
      <c r="BL77" s="93"/>
      <c r="BM77" s="93"/>
      <c r="BN77" s="93"/>
      <c r="BO77" s="93"/>
      <c r="BP77" s="93"/>
      <c r="BQ77" s="93"/>
      <c r="BR77" s="93"/>
      <c r="BS77" s="93"/>
      <c r="BT77" s="93"/>
      <c r="BU77" s="93"/>
    </row>
    <row r="78" spans="1:73" ht="18.75" customHeight="1">
      <c r="A78" s="116"/>
      <c r="B78" s="117"/>
      <c r="C78" s="118"/>
      <c r="D78" s="119"/>
      <c r="E78" s="120"/>
      <c r="F78" s="120"/>
      <c r="G78" s="121"/>
      <c r="H78" s="119"/>
      <c r="I78" s="38"/>
      <c r="J78" s="33"/>
      <c r="K78" s="33"/>
      <c r="L78" s="33"/>
      <c r="M78" s="7"/>
      <c r="N78" s="7"/>
      <c r="O78" s="7"/>
      <c r="P78" s="7"/>
      <c r="Q78" s="7"/>
      <c r="R78" s="7"/>
      <c r="S78" s="7"/>
      <c r="T78" s="7"/>
      <c r="U78" s="7"/>
      <c r="V78" s="38"/>
      <c r="W78" s="38"/>
      <c r="X78" s="38"/>
      <c r="Y78" s="38"/>
      <c r="Z78" s="38"/>
      <c r="AA78" s="38"/>
      <c r="AB78" s="38"/>
      <c r="AC78" s="38"/>
      <c r="AD78" s="33"/>
      <c r="AE78" s="122"/>
      <c r="AF78" s="78"/>
      <c r="AG78" s="78"/>
      <c r="AH78" s="78"/>
      <c r="AI78" s="78"/>
      <c r="AJ78" s="78"/>
      <c r="AK78" s="78"/>
      <c r="AL78" s="78"/>
      <c r="AM78" s="38"/>
      <c r="AN78" s="38"/>
      <c r="AO78" s="38"/>
      <c r="AP78" s="38"/>
      <c r="AQ78" s="38"/>
      <c r="AR78" s="33"/>
      <c r="AS78" s="33"/>
      <c r="AT78" s="33"/>
      <c r="AU78" s="33"/>
      <c r="AV78" s="33"/>
      <c r="AW78" s="33"/>
      <c r="AX78" s="33"/>
      <c r="AY78" s="38"/>
      <c r="AZ78" s="38"/>
      <c r="BA78" s="38"/>
      <c r="BB78" s="33"/>
      <c r="BC78" s="38"/>
      <c r="BD78" s="38"/>
      <c r="BE78" s="38"/>
      <c r="BF78" s="38"/>
      <c r="BG78" s="38"/>
      <c r="BH78" s="38"/>
      <c r="BI78" s="38"/>
      <c r="BJ78" s="38"/>
      <c r="BK78" s="38"/>
      <c r="BL78" s="7"/>
      <c r="BM78" s="7"/>
      <c r="BN78" s="7"/>
      <c r="BO78" s="7"/>
      <c r="BP78" s="7"/>
      <c r="BQ78" s="7"/>
      <c r="BR78" s="7"/>
      <c r="BS78" s="38"/>
      <c r="BT78" s="38"/>
    </row>
    <row r="79" spans="1:73" ht="18.75" customHeight="1">
      <c r="A79" s="116"/>
      <c r="B79" s="117"/>
      <c r="C79" s="118"/>
      <c r="D79" s="119"/>
      <c r="E79" s="120"/>
      <c r="F79" s="120"/>
      <c r="G79" s="121"/>
      <c r="H79" s="119"/>
      <c r="I79" s="38"/>
      <c r="J79" s="33"/>
      <c r="K79" s="33"/>
      <c r="L79" s="33"/>
      <c r="M79" s="7"/>
      <c r="N79" s="7"/>
      <c r="O79" s="123"/>
      <c r="P79" s="7"/>
      <c r="Q79" s="7"/>
      <c r="R79" s="7"/>
      <c r="S79" s="7"/>
      <c r="T79" s="7"/>
      <c r="U79" s="7"/>
      <c r="V79" s="38"/>
      <c r="W79" s="38"/>
      <c r="X79" s="38"/>
      <c r="Y79" s="38"/>
      <c r="Z79" s="38"/>
      <c r="AA79" s="38"/>
      <c r="AB79" s="38"/>
      <c r="AC79" s="38"/>
      <c r="AD79" s="33"/>
      <c r="AE79" s="122"/>
      <c r="AF79" s="78"/>
      <c r="AG79" s="78"/>
      <c r="AH79" s="78"/>
      <c r="AI79" s="78"/>
      <c r="AJ79" s="78"/>
      <c r="AK79" s="78"/>
      <c r="AL79" s="78"/>
      <c r="AM79" s="38"/>
      <c r="AN79" s="38"/>
      <c r="AO79" s="38"/>
      <c r="AP79" s="38"/>
      <c r="AQ79" s="38"/>
      <c r="AR79" s="33"/>
      <c r="AS79" s="33"/>
      <c r="AT79" s="33"/>
      <c r="AU79" s="33"/>
      <c r="AV79" s="33"/>
      <c r="AW79" s="33"/>
      <c r="AX79" s="33"/>
      <c r="AY79" s="38"/>
      <c r="AZ79" s="38"/>
      <c r="BA79" s="38"/>
      <c r="BB79" s="33"/>
      <c r="BC79" s="38"/>
      <c r="BD79" s="38"/>
      <c r="BE79" s="38"/>
      <c r="BF79" s="38"/>
      <c r="BG79" s="38"/>
      <c r="BH79" s="38"/>
      <c r="BI79" s="38"/>
      <c r="BJ79" s="38"/>
      <c r="BK79" s="38"/>
      <c r="BL79" s="123"/>
      <c r="BM79" s="123"/>
      <c r="BN79" s="123"/>
      <c r="BO79" s="7"/>
      <c r="BP79" s="7"/>
      <c r="BQ79" s="7"/>
      <c r="BR79" s="7"/>
      <c r="BS79" s="38"/>
      <c r="BT79" s="38"/>
    </row>
    <row r="80" spans="1:73" ht="18.75" customHeight="1">
      <c r="A80" s="116"/>
      <c r="B80" s="117"/>
      <c r="C80" s="118"/>
      <c r="D80" s="119"/>
      <c r="E80" s="120"/>
      <c r="F80" s="120"/>
      <c r="G80" s="121"/>
      <c r="H80" s="119"/>
      <c r="I80" s="38"/>
      <c r="J80" s="33"/>
      <c r="K80" s="33"/>
      <c r="L80" s="33"/>
      <c r="M80" s="7"/>
      <c r="N80" s="7"/>
      <c r="O80" s="123"/>
      <c r="P80" s="7"/>
      <c r="Q80" s="7"/>
      <c r="R80" s="7"/>
      <c r="S80" s="7"/>
      <c r="T80" s="7"/>
      <c r="U80" s="7"/>
      <c r="V80" s="38"/>
      <c r="W80" s="38"/>
      <c r="X80" s="38"/>
      <c r="Y80" s="38"/>
      <c r="Z80" s="38"/>
      <c r="AA80" s="38"/>
      <c r="AB80" s="38"/>
      <c r="AC80" s="38"/>
      <c r="AD80" s="33"/>
      <c r="AE80" s="122"/>
      <c r="AF80" s="78"/>
      <c r="AG80" s="78"/>
      <c r="AH80" s="78"/>
      <c r="AI80" s="78"/>
      <c r="AJ80" s="78"/>
      <c r="AK80" s="78"/>
      <c r="AL80" s="78"/>
      <c r="AM80" s="38"/>
      <c r="AN80" s="38"/>
      <c r="AO80" s="38"/>
      <c r="AP80" s="38"/>
      <c r="AQ80" s="38"/>
      <c r="AR80" s="33"/>
      <c r="AS80" s="33"/>
      <c r="AT80" s="33"/>
      <c r="AU80" s="33"/>
      <c r="AV80" s="33"/>
      <c r="AW80" s="33"/>
      <c r="AX80" s="33"/>
      <c r="AY80" s="38"/>
      <c r="AZ80" s="38"/>
      <c r="BA80" s="38"/>
      <c r="BB80" s="33"/>
      <c r="BC80" s="38"/>
      <c r="BD80" s="38"/>
      <c r="BE80" s="38"/>
      <c r="BF80" s="38"/>
      <c r="BG80" s="38"/>
      <c r="BH80" s="38"/>
      <c r="BI80" s="38"/>
      <c r="BJ80" s="38"/>
      <c r="BK80" s="38"/>
      <c r="BL80" s="123"/>
      <c r="BM80" s="123"/>
      <c r="BN80" s="123"/>
      <c r="BO80" s="7"/>
      <c r="BP80" s="7"/>
      <c r="BQ80" s="7"/>
      <c r="BR80" s="7"/>
      <c r="BS80" s="38"/>
      <c r="BT80" s="38"/>
    </row>
    <row r="81" spans="1:72" ht="18.75" customHeight="1">
      <c r="A81" s="116"/>
      <c r="B81" s="117"/>
      <c r="C81" s="118"/>
      <c r="D81" s="119"/>
      <c r="E81" s="120"/>
      <c r="F81" s="120"/>
      <c r="G81" s="121"/>
      <c r="H81" s="119"/>
      <c r="I81" s="38"/>
      <c r="J81" s="33"/>
      <c r="K81" s="33"/>
      <c r="L81" s="33"/>
      <c r="M81" s="7"/>
      <c r="N81" s="7"/>
      <c r="O81" s="7"/>
      <c r="P81" s="7"/>
      <c r="Q81" s="7"/>
      <c r="R81" s="7"/>
      <c r="S81" s="7"/>
      <c r="T81" s="7"/>
      <c r="U81" s="7"/>
      <c r="V81" s="38"/>
      <c r="W81" s="38"/>
      <c r="X81" s="38"/>
      <c r="Y81" s="38"/>
      <c r="Z81" s="38"/>
      <c r="AA81" s="38"/>
      <c r="AB81" s="38"/>
      <c r="AC81" s="38"/>
      <c r="AD81" s="33"/>
      <c r="AE81" s="122"/>
      <c r="AF81" s="78"/>
      <c r="AG81" s="78"/>
      <c r="AH81" s="78"/>
      <c r="AI81" s="78"/>
      <c r="AJ81" s="78"/>
      <c r="AK81" s="78"/>
      <c r="AL81" s="78"/>
      <c r="AM81" s="38"/>
      <c r="AN81" s="38"/>
      <c r="AO81" s="38"/>
      <c r="AP81" s="38"/>
      <c r="AQ81" s="38"/>
      <c r="AR81" s="33"/>
      <c r="AS81" s="33"/>
      <c r="AT81" s="33"/>
      <c r="AU81" s="33"/>
      <c r="AV81" s="33"/>
      <c r="AW81" s="33"/>
      <c r="AX81" s="33"/>
      <c r="AY81" s="38"/>
      <c r="AZ81" s="38"/>
      <c r="BA81" s="38"/>
      <c r="BB81" s="33"/>
      <c r="BC81" s="38"/>
      <c r="BD81" s="38"/>
      <c r="BE81" s="38"/>
      <c r="BF81" s="38"/>
      <c r="BG81" s="38"/>
      <c r="BH81" s="38"/>
      <c r="BI81" s="38"/>
      <c r="BJ81" s="38"/>
      <c r="BK81" s="38"/>
      <c r="BL81" s="7"/>
      <c r="BM81" s="7"/>
      <c r="BN81" s="7"/>
      <c r="BO81" s="7"/>
      <c r="BP81" s="7"/>
      <c r="BQ81" s="7"/>
      <c r="BR81" s="7"/>
      <c r="BS81" s="38"/>
      <c r="BT81" s="38"/>
    </row>
  </sheetData>
  <sheetProtection password="C80C" sheet="1" objects="1" scenarios="1"/>
  <mergeCells count="6">
    <mergeCell ref="H75:I75"/>
    <mergeCell ref="E2:F2"/>
    <mergeCell ref="H52:I52"/>
    <mergeCell ref="H62:I62"/>
    <mergeCell ref="H68:I68"/>
    <mergeCell ref="H72:I72"/>
  </mergeCells>
  <conditionalFormatting sqref="G3:G76">
    <cfRule type="expression" dxfId="8" priority="1">
      <formula>F3&gt;E3</formula>
    </cfRule>
  </conditionalFormatting>
  <conditionalFormatting sqref="D3:D76">
    <cfRule type="expression" dxfId="7" priority="2">
      <formula>E3&gt;F3</formula>
    </cfRule>
  </conditionalFormatting>
  <conditionalFormatting sqref="D3:D76">
    <cfRule type="expression" dxfId="6" priority="3">
      <formula>AND(ISNUMBER(E3),F3=E3)</formula>
    </cfRule>
  </conditionalFormatting>
  <conditionalFormatting sqref="G3:G76">
    <cfRule type="expression" dxfId="5" priority="4">
      <formula>AND(ISNUMBER(E3),F3=E3)</formula>
    </cfRule>
  </conditionalFormatting>
  <conditionalFormatting sqref="D53:D60 D63:D66 D69:D70 D73 D76 G76 G73 G69:G70 G63:G66 G53:G60">
    <cfRule type="notContainsText" dxfId="4" priority="5" operator="notContains" text="cs">
      <formula>ISERROR(SEARCH(("cs"),(D53)))</formula>
    </cfRule>
  </conditionalFormatting>
  <conditionalFormatting sqref="B3:B31 B33:B76">
    <cfRule type="expression" dxfId="3" priority="6">
      <formula>B3=TODAY()</formula>
    </cfRule>
  </conditionalFormatting>
  <conditionalFormatting sqref="B33">
    <cfRule type="expression" dxfId="2" priority="7">
      <formula>B33=TODAY()</formula>
    </cfRule>
  </conditionalFormatting>
  <conditionalFormatting sqref="B32">
    <cfRule type="expression" dxfId="1" priority="8">
      <formula>B32=TODAY()</formula>
    </cfRule>
  </conditionalFormatting>
  <conditionalFormatting sqref="B32">
    <cfRule type="expression" dxfId="0" priority="9">
      <formula>B32=TODAY()</formula>
    </cfRule>
  </conditionalFormatting>
  <dataValidations count="1">
    <dataValidation type="decimal" operator="greaterThanOrEqual" allowBlank="1" showErrorMessage="1" sqref="AP3:AQ50 E3:F51 F52 E53:F61 E63:F67 E69:F71 E73:F74 E76:F76" xr:uid="{00000000-0002-0000-0000-000000000000}">
      <formula1>0</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7"/>
  <sheetViews>
    <sheetView showGridLines="0" showRowColHeaders="0" tabSelected="1" workbookViewId="0" xr3:uid="{958C4451-9541-5A59-BF78-D2F731DF1C81}">
      <selection sqref="A1:D2"/>
    </sheetView>
  </sheetViews>
  <sheetFormatPr defaultRowHeight="12.75"/>
  <sheetData>
    <row r="1" spans="1:13" ht="102" customHeight="1">
      <c r="A1" s="126" t="s">
        <v>109</v>
      </c>
      <c r="B1" s="126"/>
      <c r="C1" s="126"/>
      <c r="D1" s="126"/>
      <c r="E1" s="124"/>
      <c r="F1" s="124"/>
      <c r="G1" s="124"/>
      <c r="H1" s="124"/>
      <c r="I1" s="124"/>
      <c r="J1" s="124"/>
      <c r="K1" s="124"/>
      <c r="L1" s="124"/>
      <c r="M1" s="124"/>
    </row>
    <row r="2" spans="1:13" ht="15.75">
      <c r="A2" s="126"/>
      <c r="B2" s="126"/>
      <c r="C2" s="126"/>
      <c r="D2" s="126"/>
      <c r="E2" s="124"/>
      <c r="F2" s="124"/>
      <c r="G2" s="124"/>
      <c r="H2" s="124"/>
      <c r="I2" s="124"/>
      <c r="J2" s="124"/>
      <c r="K2" s="124"/>
      <c r="L2" s="124"/>
      <c r="M2" s="124"/>
    </row>
    <row r="3" spans="1:13" ht="15.75">
      <c r="A3" s="124"/>
      <c r="B3" s="124"/>
      <c r="C3" s="124"/>
      <c r="D3" s="124"/>
      <c r="E3" s="124"/>
      <c r="F3" s="124"/>
      <c r="G3" s="124"/>
      <c r="H3" s="124"/>
      <c r="I3" s="124"/>
      <c r="J3" s="124"/>
      <c r="K3" s="124"/>
      <c r="L3" s="124"/>
      <c r="M3" s="124"/>
    </row>
    <row r="4" spans="1:13" ht="15.75">
      <c r="A4" s="124"/>
      <c r="B4" s="124"/>
      <c r="C4" s="124"/>
      <c r="D4" s="124"/>
      <c r="E4" s="124"/>
      <c r="F4" s="124"/>
      <c r="G4" s="124"/>
      <c r="H4" s="124"/>
      <c r="I4" s="124"/>
      <c r="J4" s="124"/>
      <c r="K4" s="124"/>
      <c r="L4" s="124"/>
      <c r="M4" s="124"/>
    </row>
    <row r="5" spans="1:13" ht="15.75">
      <c r="A5" s="124"/>
      <c r="B5" s="124"/>
      <c r="C5" s="124"/>
      <c r="D5" s="124"/>
      <c r="E5" s="124"/>
      <c r="F5" s="124"/>
      <c r="G5" s="124"/>
      <c r="H5" s="124"/>
      <c r="I5" s="124"/>
      <c r="J5" s="124"/>
      <c r="K5" s="124"/>
      <c r="L5" s="124"/>
      <c r="M5" s="124"/>
    </row>
    <row r="6" spans="1:13" ht="15.75">
      <c r="A6" s="131" t="s">
        <v>110</v>
      </c>
      <c r="B6" s="131"/>
      <c r="C6" s="131"/>
      <c r="D6" s="131"/>
      <c r="E6" s="131"/>
      <c r="F6" s="124"/>
      <c r="G6" s="124"/>
      <c r="H6" s="131" t="s">
        <v>111</v>
      </c>
      <c r="I6" s="131"/>
      <c r="J6" s="131"/>
      <c r="K6" s="131"/>
      <c r="L6" s="131"/>
      <c r="M6" s="131"/>
    </row>
    <row r="7" spans="1:13" ht="15.75">
      <c r="A7" s="131"/>
      <c r="B7" s="131"/>
      <c r="C7" s="131"/>
      <c r="D7" s="131"/>
      <c r="E7" s="131"/>
      <c r="F7" s="124"/>
      <c r="G7" s="124"/>
      <c r="H7" s="131"/>
      <c r="I7" s="131"/>
      <c r="J7" s="131"/>
      <c r="K7" s="131"/>
      <c r="L7" s="131"/>
      <c r="M7" s="131"/>
    </row>
    <row r="8" spans="1:13" ht="15.75">
      <c r="A8" s="131"/>
      <c r="B8" s="131"/>
      <c r="C8" s="131"/>
      <c r="D8" s="131"/>
      <c r="E8" s="131"/>
      <c r="F8" s="124"/>
      <c r="G8" s="124"/>
      <c r="H8" s="131"/>
      <c r="I8" s="131"/>
      <c r="J8" s="131"/>
      <c r="K8" s="131"/>
      <c r="L8" s="131"/>
      <c r="M8" s="131"/>
    </row>
    <row r="9" spans="1:13" ht="15.75">
      <c r="A9" s="131"/>
      <c r="B9" s="131"/>
      <c r="C9" s="131"/>
      <c r="D9" s="131"/>
      <c r="E9" s="131"/>
      <c r="F9" s="124"/>
      <c r="G9" s="124"/>
      <c r="H9" s="131"/>
      <c r="I9" s="131"/>
      <c r="J9" s="131"/>
      <c r="K9" s="131"/>
      <c r="L9" s="131"/>
      <c r="M9" s="131"/>
    </row>
    <row r="10" spans="1:13" ht="15.75">
      <c r="A10" s="131"/>
      <c r="B10" s="131"/>
      <c r="C10" s="131"/>
      <c r="D10" s="131"/>
      <c r="E10" s="131"/>
      <c r="F10" s="124"/>
      <c r="G10" s="124"/>
      <c r="H10" s="131"/>
      <c r="I10" s="131"/>
      <c r="J10" s="131"/>
      <c r="K10" s="131"/>
      <c r="L10" s="131"/>
      <c r="M10" s="131"/>
    </row>
    <row r="11" spans="1:13" ht="15.75">
      <c r="A11" s="131"/>
      <c r="B11" s="131"/>
      <c r="C11" s="131"/>
      <c r="D11" s="131"/>
      <c r="E11" s="131"/>
      <c r="F11" s="124"/>
      <c r="G11" s="124"/>
      <c r="H11" s="131"/>
      <c r="I11" s="131"/>
      <c r="J11" s="131"/>
      <c r="K11" s="131"/>
      <c r="L11" s="131"/>
      <c r="M11" s="131"/>
    </row>
    <row r="12" spans="1:13" ht="15.75">
      <c r="A12" s="131"/>
      <c r="B12" s="131"/>
      <c r="C12" s="131"/>
      <c r="D12" s="131"/>
      <c r="E12" s="131"/>
      <c r="F12" s="124"/>
      <c r="G12" s="124"/>
      <c r="H12" s="131"/>
      <c r="I12" s="131"/>
      <c r="J12" s="131"/>
      <c r="K12" s="131"/>
      <c r="L12" s="131"/>
      <c r="M12" s="131"/>
    </row>
    <row r="13" spans="1:13" ht="15.75">
      <c r="A13" s="131"/>
      <c r="B13" s="131"/>
      <c r="C13" s="131"/>
      <c r="D13" s="131"/>
      <c r="E13" s="131"/>
      <c r="F13" s="124"/>
      <c r="G13" s="125"/>
      <c r="H13" s="131"/>
      <c r="I13" s="131"/>
      <c r="J13" s="131"/>
      <c r="K13" s="131"/>
      <c r="L13" s="131"/>
      <c r="M13" s="131"/>
    </row>
    <row r="14" spans="1:13" ht="15.75">
      <c r="A14" s="131"/>
      <c r="B14" s="131"/>
      <c r="C14" s="131"/>
      <c r="D14" s="131"/>
      <c r="E14" s="131"/>
      <c r="F14" s="124"/>
      <c r="G14" s="124"/>
      <c r="H14" s="131"/>
      <c r="I14" s="131"/>
      <c r="J14" s="131"/>
      <c r="K14" s="131"/>
      <c r="L14" s="131"/>
      <c r="M14" s="131"/>
    </row>
    <row r="15" spans="1:13" ht="15.75">
      <c r="A15" s="131"/>
      <c r="B15" s="131"/>
      <c r="C15" s="131"/>
      <c r="D15" s="131"/>
      <c r="E15" s="131"/>
      <c r="F15" s="124"/>
      <c r="G15" s="124"/>
      <c r="H15" s="131"/>
      <c r="I15" s="131"/>
      <c r="J15" s="131"/>
      <c r="K15" s="131"/>
      <c r="L15" s="131"/>
      <c r="M15" s="131"/>
    </row>
    <row r="16" spans="1:13" ht="15.75">
      <c r="A16" s="131"/>
      <c r="B16" s="131"/>
      <c r="C16" s="131"/>
      <c r="D16" s="131"/>
      <c r="E16" s="131"/>
      <c r="F16" s="124"/>
      <c r="G16" s="124"/>
      <c r="H16" s="131"/>
      <c r="I16" s="131"/>
      <c r="J16" s="131"/>
      <c r="K16" s="131"/>
      <c r="L16" s="131"/>
      <c r="M16" s="131"/>
    </row>
    <row r="17" spans="1:13" ht="15.75">
      <c r="A17" s="131"/>
      <c r="B17" s="131"/>
      <c r="C17" s="131"/>
      <c r="D17" s="131"/>
      <c r="E17" s="131"/>
      <c r="F17" s="124"/>
      <c r="G17" s="124"/>
      <c r="H17" s="131"/>
      <c r="I17" s="131"/>
      <c r="J17" s="131"/>
      <c r="K17" s="131"/>
      <c r="L17" s="131"/>
      <c r="M17" s="131"/>
    </row>
  </sheetData>
  <mergeCells count="2">
    <mergeCell ref="A6:E17"/>
    <mergeCell ref="H6:M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Krisztián Kurtisz</cp:lastModifiedBy>
  <cp:revision/>
  <dcterms:created xsi:type="dcterms:W3CDTF">2016-05-24T10:18:13Z</dcterms:created>
  <dcterms:modified xsi:type="dcterms:W3CDTF">2017-11-07T21:26:25Z</dcterms:modified>
  <cp:category/>
  <cp:contentStatus/>
</cp:coreProperties>
</file>